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68C03EBB-A8E3-4CA6-9920-1F1E77F8A527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Sheet1" sheetId="1" r:id="rId1"/>
    <sheet name="Financial Statement" sheetId="3" r:id="rId2"/>
    <sheet name="Debt Schedule" sheetId="5" r:id="rId3"/>
    <sheet name="Reference" sheetId="4" r:id="rId4"/>
  </sheets>
  <definedNames>
    <definedName name="AV">'Financial Statement'!$C$138:$G$138</definedName>
    <definedName name="DCAI">'Financial Statement'!$C$135:$G$135</definedName>
    <definedName name="FORTax">'Financial Statement'!$H$154:$L$154</definedName>
    <definedName name="FX">'Financial Statement'!$C$137:$G$137</definedName>
    <definedName name="GFX">'Financial Statement'!$C$136:$G$136</definedName>
    <definedName name="GROSS">'Financial Statement'!$C$143:$G$143</definedName>
    <definedName name="OEMO">'Financial Statement'!$C$139:$G$139</definedName>
    <definedName name="RD">'Financial Statement'!$C$144:$G$144</definedName>
    <definedName name="Revenue">'Financial Statement'!$C$141:$G$141</definedName>
    <definedName name="SGA">'Financial Statement'!$C$145:$G$145</definedName>
    <definedName name="USTax">'Financial Statement'!$H$39:$L$39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0" i="1"/>
  <c r="C31" i="1" s="1"/>
  <c r="C33" i="1" s="1"/>
  <c r="F19" i="1" s="1"/>
  <c r="C27" i="1"/>
  <c r="C26" i="1"/>
  <c r="C25" i="1" l="1"/>
  <c r="C24" i="1"/>
  <c r="C21" i="1"/>
  <c r="C23" i="1" s="1"/>
  <c r="C19" i="1" s="1"/>
  <c r="H13" i="1"/>
  <c r="G13" i="1"/>
  <c r="F13" i="1"/>
  <c r="E13" i="1"/>
  <c r="D13" i="1"/>
  <c r="I88" i="3"/>
  <c r="J88" i="3" s="1"/>
  <c r="H88" i="3"/>
  <c r="H189" i="3" s="1"/>
  <c r="D189" i="3"/>
  <c r="E189" i="3"/>
  <c r="F189" i="3"/>
  <c r="G189" i="3"/>
  <c r="C189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C6" i="1"/>
  <c r="D3" i="1"/>
  <c r="E3" i="1" s="1"/>
  <c r="F3" i="1" s="1"/>
  <c r="G3" i="1" s="1"/>
  <c r="H3" i="1" s="1"/>
  <c r="K88" i="3" l="1"/>
  <c r="J189" i="3"/>
  <c r="I189" i="3"/>
  <c r="K189" i="3" l="1"/>
  <c r="L88" i="3"/>
  <c r="L189" i="3" s="1"/>
  <c r="G164" i="3" l="1"/>
  <c r="C8" i="1" s="1"/>
  <c r="C9" i="1" s="1"/>
  <c r="I162" i="3"/>
  <c r="J162" i="3" s="1"/>
  <c r="K162" i="3" s="1"/>
  <c r="L162" i="3" s="1"/>
  <c r="I161" i="3"/>
  <c r="J161" i="3" s="1"/>
  <c r="K161" i="3" s="1"/>
  <c r="L161" i="3" s="1"/>
  <c r="H160" i="3"/>
  <c r="I160" i="3" s="1"/>
  <c r="J160" i="3" s="1"/>
  <c r="K160" i="3" s="1"/>
  <c r="L160" i="3" s="1"/>
  <c r="H161" i="3"/>
  <c r="H162" i="3"/>
  <c r="H38" i="3"/>
  <c r="I38" i="3" s="1"/>
  <c r="J38" i="3" s="1"/>
  <c r="K38" i="3" s="1"/>
  <c r="L38" i="3" s="1"/>
  <c r="F38" i="3"/>
  <c r="E38" i="3"/>
  <c r="D38" i="3"/>
  <c r="C38" i="3"/>
  <c r="G38" i="3"/>
  <c r="B34" i="3"/>
  <c r="B33" i="3"/>
  <c r="F30" i="3"/>
  <c r="E30" i="3"/>
  <c r="D30" i="3"/>
  <c r="C30" i="3"/>
  <c r="F29" i="3"/>
  <c r="E29" i="3"/>
  <c r="D29" i="3"/>
  <c r="C29" i="3"/>
  <c r="H149" i="3"/>
  <c r="I149" i="3" s="1"/>
  <c r="J149" i="3" s="1"/>
  <c r="K149" i="3" s="1"/>
  <c r="L149" i="3" s="1"/>
  <c r="H68" i="3"/>
  <c r="I68" i="3" s="1"/>
  <c r="J68" i="3" s="1"/>
  <c r="K68" i="3" s="1"/>
  <c r="L68" i="3" s="1"/>
  <c r="H67" i="3"/>
  <c r="I67" i="3" s="1"/>
  <c r="J67" i="3" s="1"/>
  <c r="K67" i="3" s="1"/>
  <c r="L67" i="3" s="1"/>
  <c r="H64" i="3"/>
  <c r="I64" i="3" s="1"/>
  <c r="J64" i="3" s="1"/>
  <c r="K64" i="3" s="1"/>
  <c r="L64" i="3" s="1"/>
  <c r="H62" i="3"/>
  <c r="I62" i="3" s="1"/>
  <c r="J62" i="3" s="1"/>
  <c r="K62" i="3" s="1"/>
  <c r="L62" i="3" s="1"/>
  <c r="H58" i="3"/>
  <c r="I58" i="3" s="1"/>
  <c r="J58" i="3" s="1"/>
  <c r="K58" i="3" s="1"/>
  <c r="L58" i="3" s="1"/>
  <c r="H55" i="3"/>
  <c r="I55" i="3" s="1"/>
  <c r="J55" i="3" s="1"/>
  <c r="K55" i="3" s="1"/>
  <c r="L55" i="3" s="1"/>
  <c r="H54" i="3"/>
  <c r="H53" i="3"/>
  <c r="I53" i="3" s="1"/>
  <c r="G40" i="3"/>
  <c r="H40" i="3" s="1"/>
  <c r="I40" i="3" s="1"/>
  <c r="J40" i="3" s="1"/>
  <c r="K40" i="3" s="1"/>
  <c r="L40" i="3" s="1"/>
  <c r="F40" i="3"/>
  <c r="E40" i="3"/>
  <c r="D40" i="3"/>
  <c r="C40" i="3"/>
  <c r="F39" i="3"/>
  <c r="E39" i="3"/>
  <c r="D39" i="3"/>
  <c r="C39" i="3"/>
  <c r="G39" i="3"/>
  <c r="G152" i="3"/>
  <c r="L150" i="3"/>
  <c r="K150" i="3"/>
  <c r="J150" i="3"/>
  <c r="I150" i="3"/>
  <c r="H150" i="3"/>
  <c r="H139" i="3"/>
  <c r="H138" i="3"/>
  <c r="I138" i="3" s="1"/>
  <c r="H137" i="3"/>
  <c r="I137" i="3" s="1"/>
  <c r="H136" i="3"/>
  <c r="I136" i="3" s="1"/>
  <c r="H135" i="3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185" i="3"/>
  <c r="G184" i="3"/>
  <c r="G141" i="3"/>
  <c r="B19" i="3"/>
  <c r="B26" i="3" s="1"/>
  <c r="B18" i="3"/>
  <c r="B25" i="3" s="1"/>
  <c r="B17" i="3"/>
  <c r="B24" i="3" s="1"/>
  <c r="B16" i="3"/>
  <c r="B23" i="3" s="1"/>
  <c r="B15" i="3"/>
  <c r="B22" i="3" s="1"/>
  <c r="E141" i="3"/>
  <c r="E34" i="3" s="1"/>
  <c r="E36" i="3" s="1"/>
  <c r="D141" i="3"/>
  <c r="F141" i="3"/>
  <c r="F34" i="3" s="1"/>
  <c r="F36" i="3" s="1"/>
  <c r="C179" i="3"/>
  <c r="C130" i="3"/>
  <c r="C192" i="3" s="1"/>
  <c r="D8" i="3"/>
  <c r="D179" i="3" s="1"/>
  <c r="G34" i="3" l="1"/>
  <c r="G36" i="3" s="1"/>
  <c r="C4" i="1"/>
  <c r="C10" i="1" s="1"/>
  <c r="G165" i="3"/>
  <c r="G42" i="3"/>
  <c r="G43" i="3" s="1"/>
  <c r="C16" i="3" a="1"/>
  <c r="C16" i="3" s="1"/>
  <c r="E35" i="3"/>
  <c r="F35" i="3"/>
  <c r="G35" i="3"/>
  <c r="H63" i="3"/>
  <c r="J53" i="3"/>
  <c r="I54" i="3"/>
  <c r="J54" i="3" s="1"/>
  <c r="K54" i="3" s="1"/>
  <c r="L54" i="3" s="1"/>
  <c r="I152" i="3"/>
  <c r="J152" i="3"/>
  <c r="K152" i="3"/>
  <c r="L152" i="3"/>
  <c r="H152" i="3"/>
  <c r="C19" i="3" a="1"/>
  <c r="C19" i="3" s="1"/>
  <c r="I135" i="3"/>
  <c r="H141" i="3"/>
  <c r="J136" i="3"/>
  <c r="J138" i="3"/>
  <c r="I139" i="3"/>
  <c r="J137" i="3"/>
  <c r="C15" i="3" a="1"/>
  <c r="C15" i="3" s="1"/>
  <c r="C45" i="3" a="1"/>
  <c r="C17" i="3" a="1"/>
  <c r="C17" i="3" s="1"/>
  <c r="C18" i="3" a="1"/>
  <c r="C18" i="3" s="1"/>
  <c r="G188" i="3"/>
  <c r="C46" i="3" a="1"/>
  <c r="C47" i="3" a="1"/>
  <c r="D130" i="3"/>
  <c r="D192" i="3" s="1"/>
  <c r="E8" i="3"/>
  <c r="F8" i="3" s="1"/>
  <c r="G8" i="3" s="1"/>
  <c r="H42" i="3" l="1"/>
  <c r="D4" i="1"/>
  <c r="G29" i="3"/>
  <c r="H29" i="3" s="1"/>
  <c r="G153" i="3"/>
  <c r="G30" i="3"/>
  <c r="H30" i="3" s="1"/>
  <c r="G154" i="3"/>
  <c r="I63" i="3"/>
  <c r="K53" i="3"/>
  <c r="J63" i="3"/>
  <c r="C46" i="3"/>
  <c r="H145" i="3"/>
  <c r="C45" i="3"/>
  <c r="H142" i="3"/>
  <c r="I142" i="3" s="1"/>
  <c r="J142" i="3" s="1"/>
  <c r="K142" i="3" s="1"/>
  <c r="H15" i="3"/>
  <c r="C47" i="3"/>
  <c r="H144" i="3"/>
  <c r="H19" i="3"/>
  <c r="H16" i="3"/>
  <c r="H17" i="3"/>
  <c r="H18" i="3"/>
  <c r="I141" i="3"/>
  <c r="J135" i="3"/>
  <c r="K137" i="3"/>
  <c r="J139" i="3"/>
  <c r="K136" i="3"/>
  <c r="K138" i="3"/>
  <c r="G179" i="3"/>
  <c r="H8" i="3"/>
  <c r="F179" i="3"/>
  <c r="E179" i="3"/>
  <c r="F130" i="3"/>
  <c r="F192" i="3" s="1"/>
  <c r="G130" i="3"/>
  <c r="G192" i="3" s="1"/>
  <c r="E130" i="3"/>
  <c r="E192" i="3" s="1"/>
  <c r="H34" i="3" l="1"/>
  <c r="H36" i="3" s="1"/>
  <c r="I30" i="3"/>
  <c r="I42" i="3"/>
  <c r="E4" i="1"/>
  <c r="I29" i="3"/>
  <c r="H33" i="3"/>
  <c r="H35" i="3" s="1"/>
  <c r="I19" i="3"/>
  <c r="L53" i="3"/>
  <c r="L63" i="3" s="1"/>
  <c r="K63" i="3"/>
  <c r="H147" i="3"/>
  <c r="H143" i="3"/>
  <c r="I145" i="3"/>
  <c r="I144" i="3"/>
  <c r="I143" i="3"/>
  <c r="L142" i="3"/>
  <c r="K135" i="3"/>
  <c r="J141" i="3"/>
  <c r="I15" i="3"/>
  <c r="I16" i="3"/>
  <c r="I17" i="3"/>
  <c r="I18" i="3"/>
  <c r="L136" i="3"/>
  <c r="K139" i="3"/>
  <c r="L137" i="3"/>
  <c r="L138" i="3"/>
  <c r="I8" i="3"/>
  <c r="D4" i="5"/>
  <c r="J30" i="3" l="1"/>
  <c r="I34" i="3"/>
  <c r="I36" i="3" s="1"/>
  <c r="J29" i="3"/>
  <c r="I33" i="3"/>
  <c r="I35" i="3" s="1"/>
  <c r="J42" i="3"/>
  <c r="F4" i="1"/>
  <c r="H148" i="3"/>
  <c r="J19" i="3"/>
  <c r="I147" i="3"/>
  <c r="I148" i="3" s="1"/>
  <c r="J15" i="3"/>
  <c r="J145" i="3"/>
  <c r="J144" i="3"/>
  <c r="J143" i="3"/>
  <c r="J16" i="3"/>
  <c r="J17" i="3"/>
  <c r="J18" i="3"/>
  <c r="K141" i="3"/>
  <c r="L135" i="3"/>
  <c r="L139" i="3"/>
  <c r="F4" i="5"/>
  <c r="J8" i="3"/>
  <c r="I155" i="3" l="1"/>
  <c r="E6" i="1"/>
  <c r="H155" i="3"/>
  <c r="D6" i="1"/>
  <c r="K42" i="3"/>
  <c r="G4" i="1"/>
  <c r="K29" i="3"/>
  <c r="J33" i="3"/>
  <c r="J35" i="3" s="1"/>
  <c r="K30" i="3"/>
  <c r="J34" i="3"/>
  <c r="J36" i="3" s="1"/>
  <c r="H153" i="3"/>
  <c r="H156" i="3" s="1" a="1"/>
  <c r="H154" i="3"/>
  <c r="H157" i="3"/>
  <c r="I154" i="3"/>
  <c r="I157" i="3"/>
  <c r="I153" i="3"/>
  <c r="K19" i="3"/>
  <c r="J147" i="3"/>
  <c r="J148" i="3" s="1"/>
  <c r="K145" i="3"/>
  <c r="K144" i="3"/>
  <c r="K143" i="3"/>
  <c r="K17" i="3"/>
  <c r="K16" i="3"/>
  <c r="K18" i="3"/>
  <c r="L141" i="3"/>
  <c r="K15" i="3"/>
  <c r="H4" i="5"/>
  <c r="K8" i="3"/>
  <c r="L42" i="3" l="1"/>
  <c r="H4" i="1"/>
  <c r="L30" i="3"/>
  <c r="L34" i="3" s="1"/>
  <c r="K34" i="3"/>
  <c r="K36" i="3" s="1"/>
  <c r="J155" i="3"/>
  <c r="F6" i="1"/>
  <c r="L29" i="3"/>
  <c r="L33" i="3" s="1"/>
  <c r="K33" i="3"/>
  <c r="K35" i="3" s="1"/>
  <c r="J154" i="3"/>
  <c r="J157" i="3"/>
  <c r="J153" i="3"/>
  <c r="H156" i="3"/>
  <c r="L35" i="3"/>
  <c r="L36" i="3"/>
  <c r="K147" i="3"/>
  <c r="K148" i="3" s="1"/>
  <c r="L145" i="3"/>
  <c r="L144" i="3"/>
  <c r="L143" i="3"/>
  <c r="L18" i="3"/>
  <c r="L16" i="3"/>
  <c r="L17" i="3"/>
  <c r="L15" i="3"/>
  <c r="L19" i="3"/>
  <c r="J4" i="5"/>
  <c r="L8" i="3"/>
  <c r="L4" i="5" s="1"/>
  <c r="K155" i="3" l="1"/>
  <c r="G6" i="1"/>
  <c r="K157" i="3"/>
  <c r="K154" i="3"/>
  <c r="K153" i="3"/>
  <c r="L147" i="3"/>
  <c r="L148" i="3" s="1"/>
  <c r="L155" i="3" l="1"/>
  <c r="H6" i="1"/>
  <c r="L153" i="3"/>
  <c r="L154" i="3"/>
  <c r="H158" i="3" s="1" a="1"/>
  <c r="L157" i="3"/>
  <c r="H158" i="3" l="1"/>
  <c r="H159" i="3" s="1"/>
  <c r="H164" i="3" s="1"/>
  <c r="L159" i="3"/>
  <c r="L164" i="3" s="1"/>
  <c r="K159" i="3"/>
  <c r="K164" i="3" s="1"/>
  <c r="J159" i="3"/>
  <c r="J164" i="3" s="1"/>
  <c r="I159" i="3"/>
  <c r="I164" i="3" s="1"/>
  <c r="J165" i="3" l="1"/>
  <c r="F8" i="1"/>
  <c r="F9" i="1" s="1"/>
  <c r="K165" i="3"/>
  <c r="G8" i="1"/>
  <c r="G9" i="1" s="1"/>
  <c r="L165" i="3"/>
  <c r="H8" i="1"/>
  <c r="H9" i="1" s="1"/>
  <c r="I165" i="3"/>
  <c r="E8" i="1"/>
  <c r="E9" i="1" s="1"/>
  <c r="H165" i="3"/>
  <c r="D8" i="1"/>
  <c r="D9" i="1" s="1"/>
  <c r="H10" i="1" l="1"/>
  <c r="H14" i="1"/>
  <c r="H16" i="1" s="1"/>
  <c r="F14" i="1"/>
  <c r="F16" i="1" s="1"/>
  <c r="F10" i="1"/>
  <c r="D10" i="1"/>
  <c r="D14" i="1"/>
  <c r="D16" i="1" s="1"/>
  <c r="H17" i="1" s="1"/>
  <c r="E14" i="1"/>
  <c r="E16" i="1" s="1"/>
  <c r="E10" i="1"/>
  <c r="G14" i="1"/>
  <c r="G16" i="1" s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<sst xmlns="http://schemas.openxmlformats.org/spreadsheetml/2006/main" count="400" uniqueCount="249">
  <si>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</si>
  <si>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</si>
  <si>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</si>
  <si>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</si>
  <si>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</si>
  <si>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</si>
  <si>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</si>
  <si>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</si>
  <si>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</si>
  <si>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</si>
  <si>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</si>
  <si>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</si>
  <si>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</si>
  <si>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</si>
  <si>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</si>
  <si>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</si>
  <si>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</si>
  <si>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</si>
  <si>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</si>
  <si>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</si>
  <si>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</si>
  <si>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</si>
  <si>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</si>
  <si>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</si>
  <si>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</si>
  <si>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</si>
  <si>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</si>
  <si>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</si>
  <si>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</si>
  <si>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</si>
  <si>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</si>
  <si>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</si>
  <si>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</si>
  <si>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</si>
  <si>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</si>
  <si>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</si>
  <si>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</si>
  <si>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</si>
  <si>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</si>
  <si>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</si>
  <si>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</si>
  <si>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</si>
  <si>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</si>
  <si>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</si>
  <si>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</si>
  <si>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</si>
  <si>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</si>
  <si>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</si>
  <si>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</si>
  <si>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</si>
  <si>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</si>
  <si>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</si>
  <si>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</si>
  <si>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</si>
  <si>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</si>
  <si>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</si>
  <si>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</si>
  <si>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</si>
  <si>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</si>
  <si>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</si>
  <si>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</si>
  <si>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</si>
  <si>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</si>
  <si>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</si>
  <si>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</si>
  <si>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</si>
  <si>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</si>
  <si>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</si>
  <si>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</si>
  <si>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</si>
  <si>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</si>
  <si>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</si>
  <si>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</si>
  <si>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</si>
  <si>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</si>
  <si>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</si>
  <si>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</si>
  <si>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</si>
  <si>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</si>
  <si>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</si>
  <si>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</si>
  <si>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</si>
  <si>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</si>
  <si>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</si>
  <si>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</si>
  <si>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</si>
  <si>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</si>
  <si>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</si>
  <si>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</si>
  <si>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</si>
  <si>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</si>
  <si>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</si>
  <si>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</si>
  <si>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</si>
  <si>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</si>
  <si>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</si>
  <si>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</si>
  <si>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</si>
  <si>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</si>
  <si>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</si>
  <si>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</si>
  <si>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</si>
  <si>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</si>
  <si>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</si>
  <si>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</si>
  <si>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</si>
  <si>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</si>
  <si>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</si>
  <si>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</si>
  <si>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</si>
  <si>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</si>
  <si>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</si>
  <si>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</si>
  <si>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</si>
  <si>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</si>
  <si>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</si>
  <si>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</si>
  <si>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</si>
  <si>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</si>
  <si>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</si>
  <si>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</si>
  <si>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</si>
  <si>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</si>
  <si>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</si>
  <si>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</si>
  <si>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</si>
  <si>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</si>
  <si>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</si>
  <si>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</si>
  <si>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</si>
  <si>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</si>
  <si>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</si>
  <si>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</si>
  <si>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</si>
  <si>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</si>
  <si>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</si>
  <si>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</si>
  <si>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</si>
  <si>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</si>
  <si>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</si>
  <si>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</si>
  <si>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</si>
  <si>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</si>
  <si>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</si>
  <si>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</si>
  <si>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</si>
  <si>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</si>
  <si>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</si>
  <si>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</si>
  <si>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</si>
  <si>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</si>
  <si>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</si>
  <si>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</si>
  <si>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</si>
  <si>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</si>
  <si>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</si>
  <si>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</si>
  <si>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</si>
  <si>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</si>
  <si>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</si>
  <si>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</si>
  <si>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</si>
  <si>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</si>
  <si>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s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</si>
  <si>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</si>
  <si>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</si>
  <si>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</si>
  <si>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</si>
  <si>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</si>
  <si>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</si>
  <si>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</si>
  <si>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</si>
  <si>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</si>
  <si>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</si>
  <si>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</si>
  <si>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</si>
  <si>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</si>
  <si>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</si>
  <si>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</si>
  <si>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</si>
  <si>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</si>
  <si>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</si>
  <si>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</si>
  <si>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</si>
  <si>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</si>
  <si>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</si>
  <si>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</si>
  <si>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</si>
  <si>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</si>
  <si>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</si>
  <si>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</si>
  <si>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</si>
  <si>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</si>
  <si>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</si>
  <si>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</si>
  <si>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</si>
  <si>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</si>
  <si>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</si>
  <si>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</si>
  <si>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</si>
  <si>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</si>
  <si>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</si>
  <si>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</si>
  <si>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</si>
  <si>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</si>
  <si>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</si>
  <si>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</si>
  <si>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</si>
  <si>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</si>
  <si>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</si>
  <si>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</si>
  <si>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</si>
  <si>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</si>
  <si>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</si>
  <si>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</si>
  <si>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</si>
  <si>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</si>
  <si>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</si>
  <si>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</si>
  <si>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</si>
  <si>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</si>
  <si>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</si>
  <si>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</si>
  <si>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</si>
  <si>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</si>
  <si>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</si>
  <si>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</si>
  <si>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</si>
  <si>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</si>
  <si>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</si>
  <si>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</si>
  <si>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</si>
  <si>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</si>
  <si>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</si>
  <si>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</si>
  <si>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</si>
  <si>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</si>
  <si>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</si>
  <si>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</si>
  <si>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</si>
  <si>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</si>
  <si>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x Beta?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</si>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</sst>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E&quot;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0" fontId="4" fillId="0" borderId="0" xfId="1" applyFont="1" applyBorder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 applyBorder="1"/>
    <xf numFmtId="0" fontId="15" fillId="0" borderId="0" xfId="1" quotePrefix="1" applyFont="1" applyBorder="1"/>
    <xf numFmtId="10" fontId="7" fillId="0" borderId="0" xfId="1" applyNumberFormat="1" applyFont="1" applyFill="1" applyBorder="1" applyAlignment="1">
      <alignment horizontal="right" vertical="top" wrapText="1"/>
    </xf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Font="1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6" fillId="0" borderId="0" xfId="0" applyFont="1" applyFill="1" applyBorder="1"/>
    <xf numFmtId="0" fontId="18" fillId="0" borderId="4" xfId="0" applyFont="1" applyFill="1" applyBorder="1"/>
    <xf numFmtId="0" fontId="18" fillId="0" borderId="4" xfId="0" applyFont="1" applyBorder="1"/>
    <xf numFmtId="9" fontId="0" fillId="0" borderId="0" xfId="0" applyNumberFormat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9" fontId="13" fillId="2" borderId="2" xfId="0" applyNumberFormat="1" applyFont="1" applyFill="1" applyBorder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33"/>
  <sheetViews>
    <sheetView showGridLines="0" tabSelected="1" workbookViewId="0">
      <selection activeCell="G32" sqref="G32"/>
    </sheetView>
  </sheetViews>
  <sheetFormatPr defaultRowHeight="15" x14ac:dyDescent="0.25"/>
  <cols>
    <col min="1" max="1" width="1.7109375" customWidth="1"/>
    <col min="2" max="2" width="26.28515625" bestFit="1" customWidth="1"/>
    <col min="3" max="8" width="16.85546875" customWidth="1"/>
    <col min="9" max="9" width="13.28515625" bestFit="1" customWidth="1"/>
  </cols>
  <sheetData>
    <row r="2" spans="2:8" x14ac:dyDescent="0.25">
      <c r="B2" s="41" t="s">
        <v>218</v>
      </c>
    </row>
    <row r="3" spans="2:8" x14ac:dyDescent="0.25">
      <c r="B3" s="91" t="s">
        <v>224</v>
      </c>
      <c r="C3" s="92">
        <v>2023</v>
      </c>
      <c r="D3" s="92">
        <f>+C3+1</f>
        <v>2024</v>
      </c>
      <c r="E3" s="92">
        <f t="shared" ref="E3:H3" si="0">+D3+1</f>
        <v>2025</v>
      </c>
      <c r="F3" s="92">
        <f t="shared" si="0"/>
        <v>2026</v>
      </c>
      <c r="G3" s="92">
        <f t="shared" si="0"/>
        <v>2027</v>
      </c>
      <c r="H3" s="92">
        <f t="shared" si="0"/>
        <v>2028</v>
      </c>
    </row>
    <row r="4" spans="2:8" x14ac:dyDescent="0.25">
      <c r="B4" t="s">
        <v>160</v>
      </c>
      <c r="C4" s="44">
        <f>+'Financial Statement'!G141</f>
        <v>60922000</v>
      </c>
      <c r="D4" s="44">
        <f>+'Financial Statement'!H141</f>
        <v>63468040</v>
      </c>
      <c r="E4" s="44">
        <f>+'Financial Statement'!I141</f>
        <v>66135547.950000003</v>
      </c>
      <c r="F4" s="44">
        <f>+'Financial Statement'!J141</f>
        <v>68930516.841250002</v>
      </c>
      <c r="G4" s="44">
        <f>+'Financial Statement'!K141</f>
        <v>71859237.933101252</v>
      </c>
      <c r="H4" s="44">
        <f>+'Financial Statement'!L141</f>
        <v>74928315.637095302</v>
      </c>
    </row>
    <row r="5" spans="2:8" x14ac:dyDescent="0.25">
      <c r="B5" s="87" t="s">
        <v>222</v>
      </c>
    </row>
    <row r="6" spans="2:8" x14ac:dyDescent="0.25">
      <c r="B6" t="s">
        <v>219</v>
      </c>
      <c r="C6" s="44">
        <f>+'Financial Statement'!G148</f>
        <v>32972000</v>
      </c>
      <c r="D6" s="44">
        <f>+'Financial Statement'!H148</f>
        <v>25387216</v>
      </c>
      <c r="E6" s="44">
        <f>+'Financial Statement'!I148</f>
        <v>42753551.960000001</v>
      </c>
      <c r="F6" s="44">
        <f>+'Financial Statement'!J148</f>
        <v>51082458.913000003</v>
      </c>
      <c r="G6" s="44">
        <f>+'Financial Statement'!K148</f>
        <v>55862608.522481002</v>
      </c>
      <c r="H6" s="44">
        <f>+'Financial Statement'!L148</f>
        <v>59292739.780076243</v>
      </c>
    </row>
    <row r="7" spans="2:8" x14ac:dyDescent="0.25">
      <c r="B7" s="87" t="s">
        <v>221</v>
      </c>
    </row>
    <row r="8" spans="2:8" x14ac:dyDescent="0.25">
      <c r="B8" s="89" t="s">
        <v>220</v>
      </c>
      <c r="C8" s="90">
        <f>+'Financial Statement'!G164</f>
        <v>4058000</v>
      </c>
      <c r="D8" s="90">
        <f>+'Financial Statement'!H164</f>
        <v>2041521.0495469347</v>
      </c>
      <c r="E8" s="90">
        <f>+'Financial Statement'!I164</f>
        <v>3485349.3954706462</v>
      </c>
      <c r="F8" s="90">
        <f>+'Financial Statement'!J164</f>
        <v>4177153.1941703893</v>
      </c>
      <c r="G8" s="90">
        <f>+'Financial Statement'!K164</f>
        <v>4579693.7782572778</v>
      </c>
      <c r="H8" s="90">
        <f>+'Financial Statement'!L164</f>
        <v>4866305.1938232332</v>
      </c>
    </row>
    <row r="9" spans="2:8" x14ac:dyDescent="0.25">
      <c r="B9" s="88" t="s">
        <v>223</v>
      </c>
      <c r="C9" s="44">
        <f>+C6-C8</f>
        <v>28914000</v>
      </c>
      <c r="D9" s="44">
        <f>+D6-D8</f>
        <v>23345694.950453065</v>
      </c>
      <c r="E9" s="44">
        <f t="shared" ref="E9:H9" si="1">+E6-E8</f>
        <v>39268202.564529352</v>
      </c>
      <c r="F9" s="44">
        <f t="shared" si="1"/>
        <v>46905305.718829617</v>
      </c>
      <c r="G9" s="44">
        <f t="shared" si="1"/>
        <v>51282914.744223721</v>
      </c>
      <c r="H9" s="44">
        <f t="shared" si="1"/>
        <v>54426434.58625301</v>
      </c>
    </row>
    <row r="10" spans="2:8" x14ac:dyDescent="0.25">
      <c r="B10" s="87" t="s">
        <v>225</v>
      </c>
      <c r="C10" s="54">
        <f>+C9/C4</f>
        <v>0.47460687436394078</v>
      </c>
      <c r="D10" s="54">
        <f t="shared" ref="D10:H10" si="2">+D9/D4</f>
        <v>0.36783387277207658</v>
      </c>
      <c r="E10" s="54">
        <f t="shared" si="2"/>
        <v>0.59375334115651413</v>
      </c>
      <c r="F10" s="54">
        <f t="shared" si="2"/>
        <v>0.68047227655139431</v>
      </c>
      <c r="G10" s="54">
        <f t="shared" si="2"/>
        <v>0.71365792651414617</v>
      </c>
      <c r="H10" s="54">
        <f t="shared" si="2"/>
        <v>0.72638006237668207</v>
      </c>
    </row>
    <row r="11" spans="2:8" x14ac:dyDescent="0.25">
      <c r="B11" s="93" t="s">
        <v>226</v>
      </c>
      <c r="D11" s="99">
        <f>+'Financial Statement'!H199</f>
        <v>0</v>
      </c>
      <c r="E11" s="99">
        <f>+'Financial Statement'!I199</f>
        <v>0</v>
      </c>
      <c r="F11" s="99">
        <f>+'Financial Statement'!J199</f>
        <v>0</v>
      </c>
      <c r="G11" s="99">
        <f>+'Financial Statement'!K199</f>
        <v>0</v>
      </c>
      <c r="H11" s="99">
        <f>+'Financial Statement'!L199</f>
        <v>0</v>
      </c>
    </row>
    <row r="12" spans="2:8" x14ac:dyDescent="0.25">
      <c r="B12" s="93" t="s">
        <v>227</v>
      </c>
      <c r="C12" s="99"/>
      <c r="D12" s="99">
        <f>+'Financial Statement'!H229</f>
        <v>0</v>
      </c>
      <c r="E12" s="99">
        <f>+'Financial Statement'!I229</f>
        <v>0</v>
      </c>
      <c r="F12" s="99">
        <f>+'Financial Statement'!J229</f>
        <v>0</v>
      </c>
      <c r="G12" s="99">
        <f>+'Financial Statement'!K229</f>
        <v>0</v>
      </c>
      <c r="H12" s="99">
        <f>+'Financial Statement'!L229</f>
        <v>0</v>
      </c>
    </row>
    <row r="13" spans="2:8" x14ac:dyDescent="0.25">
      <c r="B13" s="94" t="s">
        <v>228</v>
      </c>
      <c r="C13" s="89"/>
      <c r="D13" s="100">
        <f>+'Financial Statement'!H189-'Financial Statement'!G189</f>
        <v>0</v>
      </c>
      <c r="E13" s="100">
        <f>+'Financial Statement'!I189-'Financial Statement'!H189</f>
        <v>0</v>
      </c>
      <c r="F13" s="100">
        <f>+'Financial Statement'!J189-'Financial Statement'!I189</f>
        <v>0</v>
      </c>
      <c r="G13" s="100">
        <f>+'Financial Statement'!K189-'Financial Statement'!J189</f>
        <v>0</v>
      </c>
      <c r="H13" s="100">
        <f>+'Financial Statement'!L189-'Financial Statement'!K189</f>
        <v>0</v>
      </c>
    </row>
    <row r="14" spans="2:8" x14ac:dyDescent="0.25">
      <c r="B14" s="95" t="s">
        <v>229</v>
      </c>
      <c r="C14" s="52"/>
      <c r="D14" s="52">
        <f>+D9+D11-C12-D13</f>
        <v>23345694.950453065</v>
      </c>
      <c r="E14" s="52">
        <f t="shared" ref="D14:H14" si="3">+E9+E11-E12-E13</f>
        <v>39268202.564529352</v>
      </c>
      <c r="F14" s="52">
        <f t="shared" si="3"/>
        <v>46905305.718829617</v>
      </c>
      <c r="G14" s="52">
        <f t="shared" si="3"/>
        <v>51282914.744223721</v>
      </c>
      <c r="H14" s="52">
        <f t="shared" si="3"/>
        <v>54426434.58625301</v>
      </c>
    </row>
    <row r="15" spans="2:8" x14ac:dyDescent="0.25">
      <c r="B15" s="96" t="s">
        <v>230</v>
      </c>
      <c r="C15" s="97"/>
      <c r="D15" s="97">
        <v>0</v>
      </c>
      <c r="E15" s="97">
        <f>+D15+1</f>
        <v>1</v>
      </c>
      <c r="F15" s="97">
        <f t="shared" ref="F15:H15" si="4">+E15+1</f>
        <v>2</v>
      </c>
      <c r="G15" s="97">
        <f t="shared" si="4"/>
        <v>3</v>
      </c>
      <c r="H15" s="97">
        <f t="shared" si="4"/>
        <v>4</v>
      </c>
    </row>
    <row r="16" spans="2:8" ht="17.25" x14ac:dyDescent="0.4">
      <c r="B16" s="95" t="s">
        <v>231</v>
      </c>
      <c r="C16" s="41"/>
      <c r="D16" s="45">
        <f>+D14/(1+$C$19)^D15</f>
        <v>23345694.950453065</v>
      </c>
      <c r="E16" s="45">
        <f>+E14/(1+$C$19)^E15</f>
        <v>34143962.77197016</v>
      </c>
      <c r="F16" s="45">
        <f>+F14/(1+$C$19)^F15</f>
        <v>35462371.419557504</v>
      </c>
      <c r="G16" s="45">
        <f>+G14/(1+$C$19)^G15</f>
        <v>33712534.646616437</v>
      </c>
      <c r="H16" s="102">
        <f>+H14/(1+$C$19)^H15</f>
        <v>31110106.04406371</v>
      </c>
    </row>
    <row r="17" spans="2:8" x14ac:dyDescent="0.25">
      <c r="H17" s="52">
        <f>+SUM(D16:H16)</f>
        <v>157774669.83266088</v>
      </c>
    </row>
    <row r="19" spans="2:8" x14ac:dyDescent="0.25">
      <c r="B19" s="86" t="s">
        <v>232</v>
      </c>
      <c r="C19" s="98">
        <f>+(C23/SUM(C23:C24)*C25+(C24/SUM(C23:C24))*C26*(1-C27))</f>
        <v>0.15007747714526698</v>
      </c>
      <c r="E19" s="105" t="s">
        <v>248</v>
      </c>
      <c r="F19" s="106">
        <f>+C33/C21</f>
        <v>797.69913164888396</v>
      </c>
    </row>
    <row r="20" spans="2:8" x14ac:dyDescent="0.25">
      <c r="B20" s="86" t="s">
        <v>240</v>
      </c>
      <c r="C20" s="98">
        <v>5.5E-2</v>
      </c>
    </row>
    <row r="21" spans="2:8" x14ac:dyDescent="0.25">
      <c r="B21" s="86" t="s">
        <v>234</v>
      </c>
      <c r="C21" s="43">
        <f>+'Financial Statement'!G166</f>
        <v>2469000</v>
      </c>
    </row>
    <row r="22" spans="2:8" x14ac:dyDescent="0.25">
      <c r="B22" s="86" t="s">
        <v>235</v>
      </c>
      <c r="C22" s="43">
        <v>805</v>
      </c>
    </row>
    <row r="23" spans="2:8" x14ac:dyDescent="0.25">
      <c r="B23" s="86" t="s">
        <v>236</v>
      </c>
      <c r="C23" s="44">
        <f>+C21*C22</f>
        <v>1987545000</v>
      </c>
    </row>
    <row r="24" spans="2:8" x14ac:dyDescent="0.25">
      <c r="B24" s="86" t="s">
        <v>237</v>
      </c>
      <c r="C24" s="44">
        <f>+SUM('Debt Schedule'!B13)</f>
        <v>9750000</v>
      </c>
    </row>
    <row r="25" spans="2:8" x14ac:dyDescent="0.25">
      <c r="B25" s="86" t="s">
        <v>238</v>
      </c>
      <c r="C25" s="54">
        <f>+C20+(C20)*1.74</f>
        <v>0.1507</v>
      </c>
      <c r="D25" s="101" t="s">
        <v>241</v>
      </c>
    </row>
    <row r="26" spans="2:8" x14ac:dyDescent="0.25">
      <c r="B26" s="86" t="s">
        <v>239</v>
      </c>
      <c r="C26" s="54">
        <f>+SUMPRODUCT('Debt Schedule'!B5:B12,'Debt Schedule'!C5:C12)/SUM('Debt Schedule'!B5:B12)</f>
        <v>2.6335897435897437E-2</v>
      </c>
    </row>
    <row r="27" spans="2:8" x14ac:dyDescent="0.25">
      <c r="B27" s="86" t="s">
        <v>242</v>
      </c>
      <c r="C27" s="54">
        <f>+'Financial Statement'!G164/'Financial Statement'!G155</f>
        <v>0.1199952687917677</v>
      </c>
    </row>
    <row r="29" spans="2:8" x14ac:dyDescent="0.25">
      <c r="B29" t="s">
        <v>243</v>
      </c>
      <c r="C29" s="107">
        <v>0.03</v>
      </c>
    </row>
    <row r="30" spans="2:8" ht="17.25" x14ac:dyDescent="0.4">
      <c r="B30" t="s">
        <v>244</v>
      </c>
      <c r="C30" s="103">
        <f>+H14/C29</f>
        <v>1814214486.2084336</v>
      </c>
    </row>
    <row r="31" spans="2:8" x14ac:dyDescent="0.25">
      <c r="B31" s="41" t="s">
        <v>245</v>
      </c>
      <c r="C31" s="52">
        <f>+C30+H17</f>
        <v>1971989156.0410945</v>
      </c>
    </row>
    <row r="32" spans="2:8" ht="17.25" x14ac:dyDescent="0.4">
      <c r="B32" s="93" t="s">
        <v>246</v>
      </c>
      <c r="C32" s="104">
        <f>+'Debt Schedule'!B13-'Financial Statement'!H53</f>
        <v>2470000</v>
      </c>
    </row>
    <row r="33" spans="2:3" x14ac:dyDescent="0.25">
      <c r="B33" s="41" t="s">
        <v>247</v>
      </c>
      <c r="C33" s="52">
        <f>+C31-C32</f>
        <v>1969519156.0410945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O238"/>
  <sheetViews>
    <sheetView showGridLines="0" zoomScaleNormal="100" workbookViewId="0">
      <pane xSplit="1" ySplit="8" topLeftCell="B45" activePane="bottomRight" state="frozen"/>
      <selection pane="topRight" activeCell="B1" sqref="B1"/>
      <selection pane="bottomLeft" activeCell="A9" sqref="A9"/>
      <selection pane="bottomRight" activeCell="A164" sqref="A164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2" width="15.140625" style="3" customWidth="1"/>
    <col min="13" max="13" width="13.28515625" style="3" bestFit="1" customWidth="1"/>
    <col min="14" max="14" width="14.28515625" style="3" bestFit="1" customWidth="1"/>
    <col min="15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180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181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182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2" t="s">
        <v>210</v>
      </c>
      <c r="M14" s="8"/>
      <c r="N14" s="8"/>
    </row>
    <row r="15" spans="1:15" x14ac:dyDescent="0.25">
      <c r="A15" s="16"/>
      <c r="B15" s="34" t="str">
        <f>+B135</f>
        <v>Computer &amp; Networking</v>
      </c>
      <c r="C15" s="42" cm="1">
        <f t="array" ref="C15:G15">+DCAI/Revenue</f>
        <v>0</v>
      </c>
      <c r="D15" s="42">
        <v>0.40155922038980507</v>
      </c>
      <c r="E15" s="42">
        <v>0.39433008842981349</v>
      </c>
      <c r="F15" s="42">
        <v>0.55627641432490549</v>
      </c>
      <c r="G15" s="42">
        <v>0.78009586028035849</v>
      </c>
      <c r="H15" s="54">
        <f>+H135/H$141</f>
        <v>0.78624217795287199</v>
      </c>
      <c r="I15" s="54">
        <f>+I135/I$141</f>
        <v>0.79225642070150859</v>
      </c>
      <c r="J15" s="54">
        <f>+J135/J$141</f>
        <v>0.79813891794405878</v>
      </c>
      <c r="K15" s="54">
        <f>+K135/K$141</f>
        <v>0.80389016350311493</v>
      </c>
      <c r="L15" s="54">
        <f>+L135/L$141</f>
        <v>0.80951080699034761</v>
      </c>
      <c r="M15" s="8"/>
      <c r="N15" s="8"/>
    </row>
    <row r="16" spans="1:15" x14ac:dyDescent="0.25">
      <c r="A16" s="16"/>
      <c r="B16" s="34" t="str">
        <f>+B136</f>
        <v>Graphics</v>
      </c>
      <c r="C16" s="42" cm="1">
        <f t="array" ref="C16:G16">+GFX/Revenue</f>
        <v>0</v>
      </c>
      <c r="D16" s="42">
        <v>0.46530734632683657</v>
      </c>
      <c r="E16" s="42">
        <v>0.46303039310396077</v>
      </c>
      <c r="F16" s="42">
        <v>0.3361385037443464</v>
      </c>
      <c r="G16" s="42">
        <v>0.17148156659334887</v>
      </c>
      <c r="H16" s="54">
        <f>+H136/H$141</f>
        <v>0.1662485559661209</v>
      </c>
      <c r="I16" s="54">
        <f>+I136/I$141</f>
        <v>0.16113852580547039</v>
      </c>
      <c r="J16" s="54">
        <f>+J136/J$141</f>
        <v>0.15615078836256135</v>
      </c>
      <c r="K16" s="54">
        <f>+K136/K$141</f>
        <v>0.15128451685767591</v>
      </c>
      <c r="L16" s="54">
        <f>+L136/L$141</f>
        <v>0.1465387537412999</v>
      </c>
      <c r="M16" s="8"/>
      <c r="N16" s="8"/>
    </row>
    <row r="17" spans="1:14" x14ac:dyDescent="0.25">
      <c r="A17" s="16"/>
      <c r="B17" s="34" t="str">
        <f>+B137</f>
        <v>Professional Visualization</v>
      </c>
      <c r="C17" s="42" cm="1">
        <f t="array" ref="C17:G17">+FX/Revenue</f>
        <v>0</v>
      </c>
      <c r="D17" s="42">
        <v>6.3148425787106444E-2</v>
      </c>
      <c r="E17" s="42">
        <v>7.843501523370737E-2</v>
      </c>
      <c r="F17" s="42">
        <v>5.7240305479350488E-2</v>
      </c>
      <c r="G17" s="42">
        <v>2.5491612225468634E-2</v>
      </c>
      <c r="H17" s="54">
        <f>+H137/H$141</f>
        <v>2.4958388505458812E-2</v>
      </c>
      <c r="I17" s="54">
        <f>+I137/I$141</f>
        <v>2.4430752448313234E-2</v>
      </c>
      <c r="J17" s="54">
        <f>+J137/J$141</f>
        <v>2.3908946276952271E-2</v>
      </c>
      <c r="K17" s="54">
        <f>+K137/K$141</f>
        <v>2.3393194707199309E-2</v>
      </c>
      <c r="L17" s="54">
        <f>+L137/L$141</f>
        <v>2.2883705215985425E-2</v>
      </c>
      <c r="M17" s="8"/>
      <c r="N17" s="8"/>
    </row>
    <row r="18" spans="1:14" x14ac:dyDescent="0.25">
      <c r="A18" s="16"/>
      <c r="B18" s="34" t="str">
        <f>+B138</f>
        <v>Automotive</v>
      </c>
      <c r="C18" s="42" cm="1">
        <f t="array" ref="C18:G18">+AV/Revenue</f>
        <v>0</v>
      </c>
      <c r="D18" s="42">
        <v>3.2143928035982011E-2</v>
      </c>
      <c r="E18" s="42">
        <v>2.1029947239354984E-2</v>
      </c>
      <c r="F18" s="42">
        <v>3.3476681248609773E-2</v>
      </c>
      <c r="G18" s="42">
        <v>1.7908144840944159E-2</v>
      </c>
      <c r="H18" s="54">
        <f>+H138/H$141</f>
        <v>1.7705446709871613E-2</v>
      </c>
      <c r="I18" s="54">
        <f>+I138/I$141</f>
        <v>1.7501055572640797E-2</v>
      </c>
      <c r="J18" s="54">
        <f>+J138/J$141</f>
        <v>1.7295172176724116E-2</v>
      </c>
      <c r="K18" s="54">
        <f>+K138/K$141</f>
        <v>1.7087992400547935E-2</v>
      </c>
      <c r="L18" s="54">
        <f>+L138/L$141</f>
        <v>1.6879707014728917E-2</v>
      </c>
      <c r="M18" s="8"/>
      <c r="N18" s="8"/>
    </row>
    <row r="19" spans="1:14" x14ac:dyDescent="0.25">
      <c r="A19" s="16"/>
      <c r="B19" s="34" t="str">
        <f>+B139</f>
        <v>OEM &amp; Other</v>
      </c>
      <c r="C19" s="42" cm="1">
        <f t="array" ref="C19:G19">+OEMO/Revenue</f>
        <v>0</v>
      </c>
      <c r="D19" s="42">
        <v>3.7841079460269864E-2</v>
      </c>
      <c r="E19" s="42">
        <v>4.3174555993163409E-2</v>
      </c>
      <c r="F19" s="42">
        <v>1.6868095202787869E-2</v>
      </c>
      <c r="G19" s="42">
        <v>5.0228160598798461E-3</v>
      </c>
      <c r="H19" s="54">
        <f>+H139/H$141</f>
        <v>4.8454308656766453E-3</v>
      </c>
      <c r="I19" s="54">
        <f>+I139/I$141</f>
        <v>4.6732454720668859E-3</v>
      </c>
      <c r="J19" s="54">
        <f>+J139/J$141</f>
        <v>4.5061752397034128E-3</v>
      </c>
      <c r="K19" s="54">
        <f>+K139/K$141</f>
        <v>4.3441325314619514E-3</v>
      </c>
      <c r="L19" s="54">
        <f>+L139/L$141</f>
        <v>4.1870270376381854E-3</v>
      </c>
      <c r="M19" s="8"/>
      <c r="N19" s="8"/>
    </row>
    <row r="20" spans="1:14" x14ac:dyDescent="0.25">
      <c r="A20" s="16"/>
      <c r="H20" s="62">
        <v>1</v>
      </c>
      <c r="I20" s="3">
        <v>1</v>
      </c>
      <c r="J20" s="3">
        <v>1</v>
      </c>
      <c r="K20" s="3">
        <v>1</v>
      </c>
      <c r="L20" s="3">
        <v>1</v>
      </c>
      <c r="M20" s="8"/>
      <c r="N20" s="8"/>
    </row>
    <row r="21" spans="1:14" x14ac:dyDescent="0.25">
      <c r="A21" s="16"/>
      <c r="B21" s="2" t="s">
        <v>179</v>
      </c>
      <c r="M21" s="8"/>
      <c r="N21" s="8"/>
    </row>
    <row r="22" spans="1:14" x14ac:dyDescent="0.25">
      <c r="A22" s="16"/>
      <c r="B22" s="6" t="str">
        <f>+B15</f>
        <v>Computer &amp; Networking</v>
      </c>
      <c r="H22" s="39">
        <v>0.05</v>
      </c>
      <c r="I22" s="39">
        <v>0.05</v>
      </c>
      <c r="J22" s="39">
        <v>0.05</v>
      </c>
      <c r="K22" s="39">
        <v>0.05</v>
      </c>
      <c r="L22" s="39">
        <v>0.05</v>
      </c>
      <c r="M22" s="8"/>
      <c r="N22" s="8"/>
    </row>
    <row r="23" spans="1:14" x14ac:dyDescent="0.25">
      <c r="A23" s="16"/>
      <c r="B23" s="6" t="str">
        <f t="shared" ref="B23:B26" si="1">+B16</f>
        <v>Graphics</v>
      </c>
      <c r="H23" s="39">
        <v>0.01</v>
      </c>
      <c r="I23" s="39">
        <v>0.01</v>
      </c>
      <c r="J23" s="39">
        <v>0.01</v>
      </c>
      <c r="K23" s="39">
        <v>0.01</v>
      </c>
      <c r="L23" s="39">
        <v>0.01</v>
      </c>
      <c r="M23" s="8"/>
      <c r="N23" s="8"/>
    </row>
    <row r="24" spans="1:14" x14ac:dyDescent="0.25">
      <c r="A24" s="16"/>
      <c r="B24" s="6" t="str">
        <f t="shared" si="1"/>
        <v>Professional Visualization</v>
      </c>
      <c r="H24" s="39">
        <v>0.02</v>
      </c>
      <c r="I24" s="39">
        <v>0.02</v>
      </c>
      <c r="J24" s="39">
        <v>0.02</v>
      </c>
      <c r="K24" s="39">
        <v>0.02</v>
      </c>
      <c r="L24" s="39">
        <v>0.02</v>
      </c>
      <c r="M24" s="8"/>
      <c r="N24" s="8"/>
    </row>
    <row r="25" spans="1:14" x14ac:dyDescent="0.25">
      <c r="A25" s="16"/>
      <c r="B25" s="6" t="str">
        <f t="shared" si="1"/>
        <v>Automotive</v>
      </c>
      <c r="H25" s="39">
        <v>0.03</v>
      </c>
      <c r="I25" s="39">
        <v>0.03</v>
      </c>
      <c r="J25" s="39">
        <v>0.03</v>
      </c>
      <c r="K25" s="39">
        <v>0.03</v>
      </c>
      <c r="L25" s="39">
        <v>0.03</v>
      </c>
      <c r="M25" s="8"/>
      <c r="N25" s="8"/>
    </row>
    <row r="26" spans="1:14" x14ac:dyDescent="0.25">
      <c r="A26" s="16"/>
      <c r="B26" s="6" t="str">
        <f t="shared" si="1"/>
        <v>OEM &amp; Other</v>
      </c>
      <c r="C26" s="8"/>
      <c r="D26" s="8"/>
      <c r="E26" s="8"/>
      <c r="F26" s="8"/>
      <c r="G26" s="8"/>
      <c r="H26" s="39">
        <v>5.0000000000000001E-3</v>
      </c>
      <c r="I26" s="39">
        <v>5.0000000000000001E-3</v>
      </c>
      <c r="J26" s="39">
        <v>5.0000000000000001E-3</v>
      </c>
      <c r="K26" s="39">
        <v>5.0000000000000001E-3</v>
      </c>
      <c r="L26" s="39">
        <v>5.0000000000000001E-3</v>
      </c>
      <c r="M26" s="8"/>
      <c r="N26" s="8"/>
    </row>
    <row r="27" spans="1:14" x14ac:dyDescent="0.25">
      <c r="A27" s="16"/>
      <c r="B27" s="6"/>
      <c r="C27" s="8"/>
      <c r="D27" s="8"/>
      <c r="E27" s="8"/>
      <c r="F27" s="8"/>
      <c r="G27" s="8"/>
      <c r="H27"/>
      <c r="I27"/>
      <c r="J27"/>
      <c r="K27"/>
      <c r="L27"/>
      <c r="M27" s="8"/>
      <c r="N27" s="8"/>
    </row>
    <row r="28" spans="1:14" x14ac:dyDescent="0.25">
      <c r="A28" s="16"/>
      <c r="B28" s="9" t="s">
        <v>212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16"/>
      <c r="B29" s="3" t="s">
        <v>185</v>
      </c>
      <c r="C29" s="59">
        <f>+C153/SUM(C148:C152,-C150)</f>
        <v>0.19707565162110616</v>
      </c>
      <c r="D29" s="59">
        <f>+D153/SUM(D148:D152,-D150)</f>
        <v>0.32147651006711409</v>
      </c>
      <c r="E29" s="59">
        <f>+E153/SUM(E148:E152,-E150)</f>
        <v>0.83814627369256722</v>
      </c>
      <c r="F29" s="59">
        <f>+F153/SUM(F148:F152,-F150)</f>
        <v>0.79022727272727278</v>
      </c>
      <c r="G29" s="59">
        <f>+G35</f>
        <v>0.4426315616690194</v>
      </c>
      <c r="H29" s="39">
        <f>+G29</f>
        <v>0.4426315616690194</v>
      </c>
      <c r="I29" s="39">
        <f t="shared" ref="I29:L29" si="2">+H29</f>
        <v>0.4426315616690194</v>
      </c>
      <c r="J29" s="39">
        <f t="shared" si="2"/>
        <v>0.4426315616690194</v>
      </c>
      <c r="K29" s="39">
        <f t="shared" si="2"/>
        <v>0.4426315616690194</v>
      </c>
      <c r="L29" s="39">
        <f t="shared" si="2"/>
        <v>0.4426315616690194</v>
      </c>
      <c r="M29" s="8"/>
      <c r="N29" s="8"/>
    </row>
    <row r="30" spans="1:14" x14ac:dyDescent="0.25">
      <c r="A30" s="16"/>
      <c r="B30" s="7" t="s">
        <v>184</v>
      </c>
      <c r="C30" s="59">
        <f>+C154/SUM(C149:C153,-C151)</f>
        <v>2.4127310061601643</v>
      </c>
      <c r="D30" s="59">
        <f>+D154/SUM(D149:D153,-D151)</f>
        <v>1.9112540192926044</v>
      </c>
      <c r="E30" s="59">
        <f>+E154/SUM(E149:E153,-E151)</f>
        <v>0.17361514342120543</v>
      </c>
      <c r="F30" s="59">
        <f>+F154/SUM(F149:F153,-F151)</f>
        <v>0.17764319959626546</v>
      </c>
      <c r="G30" s="59">
        <f>+G36</f>
        <v>0.5573684383309806</v>
      </c>
      <c r="H30" s="39">
        <f>+G30</f>
        <v>0.5573684383309806</v>
      </c>
      <c r="I30" s="39">
        <f t="shared" ref="I30:L30" si="3">+H30</f>
        <v>0.5573684383309806</v>
      </c>
      <c r="J30" s="39">
        <f t="shared" si="3"/>
        <v>0.5573684383309806</v>
      </c>
      <c r="K30" s="39">
        <f t="shared" si="3"/>
        <v>0.5573684383309806</v>
      </c>
      <c r="L30" s="39">
        <f t="shared" si="3"/>
        <v>0.5573684383309806</v>
      </c>
      <c r="M30" s="8"/>
      <c r="N30" s="8"/>
    </row>
    <row r="31" spans="1:14" x14ac:dyDescent="0.25">
      <c r="A31" s="16"/>
      <c r="C31" s="59"/>
      <c r="D31" s="59"/>
      <c r="E31" s="59"/>
      <c r="F31" s="59"/>
      <c r="G31" s="59"/>
      <c r="H31"/>
      <c r="I31"/>
      <c r="J31"/>
      <c r="K31"/>
      <c r="L31"/>
      <c r="M31" s="8"/>
      <c r="N31" s="8"/>
    </row>
    <row r="32" spans="1:14" x14ac:dyDescent="0.25">
      <c r="A32" s="16"/>
      <c r="B32" s="2" t="s">
        <v>183</v>
      </c>
      <c r="C32" s="59"/>
      <c r="D32" s="59"/>
      <c r="E32" s="59"/>
      <c r="F32" s="61"/>
      <c r="G32" s="61"/>
      <c r="H32"/>
      <c r="I32"/>
      <c r="J32"/>
      <c r="K32"/>
      <c r="L32"/>
      <c r="M32" s="8"/>
      <c r="N32" s="8"/>
    </row>
    <row r="33" spans="1:14" x14ac:dyDescent="0.25">
      <c r="A33" s="16"/>
      <c r="B33" s="3" t="str">
        <f>+B29</f>
        <v>United States</v>
      </c>
      <c r="C33" s="56"/>
      <c r="D33" s="56"/>
      <c r="E33" s="58">
        <v>4349000</v>
      </c>
      <c r="F33" s="58">
        <v>8292000</v>
      </c>
      <c r="G33" s="58">
        <v>26966000</v>
      </c>
      <c r="H33" s="43">
        <f>+H29*H$141</f>
        <v>28092957.661271792</v>
      </c>
      <c r="I33" s="43">
        <f t="shared" ref="I33:L33" si="4">+I29*I$141</f>
        <v>29273680.870944817</v>
      </c>
      <c r="J33" s="43">
        <f t="shared" si="4"/>
        <v>30510822.316095132</v>
      </c>
      <c r="K33" s="43">
        <f t="shared" si="4"/>
        <v>31807166.706674244</v>
      </c>
      <c r="L33" s="43">
        <f t="shared" si="4"/>
        <v>33165637.363676701</v>
      </c>
      <c r="M33" s="8"/>
      <c r="N33" s="8"/>
    </row>
    <row r="34" spans="1:14" x14ac:dyDescent="0.25">
      <c r="A34" s="16"/>
      <c r="B34" s="3" t="str">
        <f>+B30</f>
        <v>Outside of U.S.</v>
      </c>
      <c r="C34" s="56"/>
      <c r="D34" s="56"/>
      <c r="E34" s="58">
        <f>+E141-E33</f>
        <v>22565000</v>
      </c>
      <c r="F34" s="58">
        <f>+F141-F33</f>
        <v>18682000</v>
      </c>
      <c r="G34" s="58">
        <f>+G141-G33</f>
        <v>33956000</v>
      </c>
      <c r="H34" s="43">
        <f>+H30*H$141</f>
        <v>35375082.338728212</v>
      </c>
      <c r="I34" s="43">
        <f t="shared" ref="I34:L34" si="5">+I30*I$141</f>
        <v>36861867.07905519</v>
      </c>
      <c r="J34" s="43">
        <f t="shared" si="5"/>
        <v>38419694.525154874</v>
      </c>
      <c r="K34" s="43">
        <f t="shared" si="5"/>
        <v>40052071.226427004</v>
      </c>
      <c r="L34" s="43">
        <f t="shared" si="5"/>
        <v>41762678.273418605</v>
      </c>
      <c r="M34" s="8"/>
      <c r="N34" s="8"/>
    </row>
    <row r="35" spans="1:14" x14ac:dyDescent="0.25">
      <c r="A35" s="16"/>
      <c r="B35" s="60" t="s">
        <v>213</v>
      </c>
      <c r="C35" s="56"/>
      <c r="D35" s="56"/>
      <c r="E35" s="85">
        <f>+E33/E$141</f>
        <v>0.1615887642119343</v>
      </c>
      <c r="F35" s="85">
        <f>+F33/F$141</f>
        <v>0.3074071327945429</v>
      </c>
      <c r="G35" s="85">
        <f>+G33/G$141</f>
        <v>0.4426315616690194</v>
      </c>
      <c r="H35" s="85">
        <f>+H33/H$141</f>
        <v>0.4426315616690194</v>
      </c>
      <c r="I35" s="85">
        <f>+I33/I$141</f>
        <v>0.4426315616690194</v>
      </c>
      <c r="J35" s="85">
        <f>+J33/J$141</f>
        <v>0.4426315616690194</v>
      </c>
      <c r="K35" s="85">
        <f>+K33/K$141</f>
        <v>0.4426315616690194</v>
      </c>
      <c r="L35" s="85">
        <f>+L33/L$141</f>
        <v>0.4426315616690194</v>
      </c>
      <c r="M35" s="8"/>
      <c r="N35" s="8"/>
    </row>
    <row r="36" spans="1:14" x14ac:dyDescent="0.25">
      <c r="A36" s="16"/>
      <c r="B36" s="60" t="s">
        <v>213</v>
      </c>
      <c r="C36" s="56"/>
      <c r="D36" s="56"/>
      <c r="E36" s="85">
        <f>+E34/E$141</f>
        <v>0.83841123578806565</v>
      </c>
      <c r="F36" s="85">
        <f>+F34/F$141</f>
        <v>0.6925928672054571</v>
      </c>
      <c r="G36" s="85">
        <f>+G34/G$141</f>
        <v>0.5573684383309806</v>
      </c>
      <c r="H36" s="85">
        <f>+H34/H$141</f>
        <v>0.5573684383309806</v>
      </c>
      <c r="I36" s="85">
        <f>+I34/I$141</f>
        <v>0.5573684383309806</v>
      </c>
      <c r="J36" s="85">
        <f>+J34/J$141</f>
        <v>0.5573684383309806</v>
      </c>
      <c r="K36" s="85">
        <f>+K34/K$141</f>
        <v>0.5573684383309806</v>
      </c>
      <c r="L36" s="85">
        <f>+L34/L$141</f>
        <v>0.5573684383309806</v>
      </c>
      <c r="M36" s="8"/>
      <c r="N36" s="8"/>
    </row>
    <row r="37" spans="1:14" x14ac:dyDescent="0.25">
      <c r="A37" s="16"/>
      <c r="H37" s="43"/>
      <c r="I37" s="43"/>
      <c r="J37" s="43"/>
      <c r="K37" s="43"/>
      <c r="L37" s="43"/>
      <c r="M37" s="8"/>
      <c r="N37" s="8"/>
    </row>
    <row r="38" spans="1:14" x14ac:dyDescent="0.25">
      <c r="A38" s="16"/>
      <c r="B38" s="3" t="s">
        <v>217</v>
      </c>
      <c r="C38" s="62">
        <f t="shared" ref="C38:G38" si="6">+C157/C155</f>
        <v>1.3468013468013469E-3</v>
      </c>
      <c r="D38" s="62">
        <f t="shared" si="6"/>
        <v>2.2680880018144704E-4</v>
      </c>
      <c r="E38" s="62">
        <f t="shared" si="6"/>
        <v>4.2249270697112965E-3</v>
      </c>
      <c r="F38" s="62">
        <f t="shared" si="6"/>
        <v>1.1002152595072949E-2</v>
      </c>
      <c r="G38" s="62">
        <f>+G157/G155</f>
        <v>9.9059672363829912E-3</v>
      </c>
      <c r="H38" s="39">
        <f>+G38</f>
        <v>9.9059672363829912E-3</v>
      </c>
      <c r="I38" s="39">
        <f t="shared" ref="I38:L38" si="7">+H38</f>
        <v>9.9059672363829912E-3</v>
      </c>
      <c r="J38" s="39">
        <f t="shared" si="7"/>
        <v>9.9059672363829912E-3</v>
      </c>
      <c r="K38" s="39">
        <f t="shared" si="7"/>
        <v>9.9059672363829912E-3</v>
      </c>
      <c r="L38" s="39">
        <f t="shared" si="7"/>
        <v>9.9059672363829912E-3</v>
      </c>
      <c r="M38" s="8"/>
      <c r="N38" s="8"/>
    </row>
    <row r="39" spans="1:14" x14ac:dyDescent="0.25">
      <c r="A39" s="16"/>
      <c r="B39" s="7" t="s">
        <v>216</v>
      </c>
      <c r="C39" s="65">
        <f t="shared" ref="C39:G39" si="8">+C156/C155</f>
        <v>2.1885521885521887E-2</v>
      </c>
      <c r="D39" s="65">
        <f t="shared" si="8"/>
        <v>4.4681333635745064E-2</v>
      </c>
      <c r="E39" s="65">
        <f t="shared" si="8"/>
        <v>4.848606780002012E-2</v>
      </c>
      <c r="F39" s="65">
        <f t="shared" si="8"/>
        <v>0.40731882324802676</v>
      </c>
      <c r="G39" s="65">
        <f>+G156/G155</f>
        <v>0.16884499379028919</v>
      </c>
      <c r="H39" s="39">
        <v>0.21</v>
      </c>
      <c r="I39" s="39">
        <v>0.21</v>
      </c>
      <c r="J39" s="39">
        <v>0.21</v>
      </c>
      <c r="K39" s="39">
        <v>0.21</v>
      </c>
      <c r="L39" s="39">
        <v>0.21</v>
      </c>
      <c r="M39" s="8"/>
      <c r="N39" s="8"/>
    </row>
    <row r="40" spans="1:14" x14ac:dyDescent="0.25">
      <c r="A40" s="16"/>
      <c r="B40" s="7" t="s">
        <v>211</v>
      </c>
      <c r="C40" s="65">
        <f t="shared" ref="C40:G40" si="9">+C157/C156</f>
        <v>6.1538461538461542E-2</v>
      </c>
      <c r="D40" s="65">
        <f t="shared" si="9"/>
        <v>5.076142131979695E-3</v>
      </c>
      <c r="E40" s="65">
        <f t="shared" si="9"/>
        <v>8.7136929460580909E-2</v>
      </c>
      <c r="F40" s="65">
        <f t="shared" si="9"/>
        <v>2.7011156782149149E-2</v>
      </c>
      <c r="G40" s="65">
        <f t="shared" si="9"/>
        <v>5.8669001751313482E-2</v>
      </c>
      <c r="H40" s="39">
        <f>+G40</f>
        <v>5.8669001751313482E-2</v>
      </c>
      <c r="I40" s="39">
        <f t="shared" ref="I40:L40" si="10">+H40</f>
        <v>5.8669001751313482E-2</v>
      </c>
      <c r="J40" s="39">
        <f t="shared" si="10"/>
        <v>5.8669001751313482E-2</v>
      </c>
      <c r="K40" s="39">
        <f t="shared" si="10"/>
        <v>5.8669001751313482E-2</v>
      </c>
      <c r="L40" s="39">
        <f t="shared" si="10"/>
        <v>5.8669001751313482E-2</v>
      </c>
      <c r="M40" s="8"/>
      <c r="N40" s="8"/>
    </row>
    <row r="41" spans="1:14" x14ac:dyDescent="0.25">
      <c r="A41" s="16"/>
      <c r="B41" s="66" t="s">
        <v>189</v>
      </c>
      <c r="G41" s="39">
        <v>0.375</v>
      </c>
      <c r="H41" s="39">
        <v>0.375</v>
      </c>
      <c r="I41" s="39">
        <v>0.375</v>
      </c>
      <c r="J41" s="39">
        <v>0.375</v>
      </c>
      <c r="K41" s="39">
        <v>0.375</v>
      </c>
      <c r="L41" s="39">
        <v>0.375</v>
      </c>
      <c r="M41" s="8"/>
      <c r="N41" s="8"/>
    </row>
    <row r="42" spans="1:14" x14ac:dyDescent="0.25">
      <c r="A42" s="16"/>
      <c r="B42" s="67" t="s">
        <v>215</v>
      </c>
      <c r="G42" s="68">
        <f>(G87-SUM(G78:G86))/G141</f>
        <v>0.81423787794228686</v>
      </c>
      <c r="H42" s="68">
        <f t="shared" ref="H42:L42" si="11">(H87-SUM(H78:H86))/H141</f>
        <v>0</v>
      </c>
      <c r="I42" s="68">
        <f t="shared" si="11"/>
        <v>0</v>
      </c>
      <c r="J42" s="68">
        <f t="shared" si="11"/>
        <v>0</v>
      </c>
      <c r="K42" s="68">
        <f t="shared" si="11"/>
        <v>0</v>
      </c>
      <c r="L42" s="68">
        <f t="shared" si="11"/>
        <v>0</v>
      </c>
      <c r="M42" s="8"/>
      <c r="N42" s="8"/>
    </row>
    <row r="43" spans="1:14" x14ac:dyDescent="0.25">
      <c r="A43" s="16"/>
      <c r="B43" s="3" t="s">
        <v>214</v>
      </c>
      <c r="G43" s="62">
        <f>+((1-G42)*(1-G41))*H39</f>
        <v>2.4381278520074851E-2</v>
      </c>
      <c r="H43" s="62">
        <v>0.13125000000000001</v>
      </c>
      <c r="I43" s="62">
        <v>0.13125000000000001</v>
      </c>
      <c r="J43" s="62">
        <v>0.13125000000000001</v>
      </c>
      <c r="K43" s="62">
        <v>0.13125000000000001</v>
      </c>
      <c r="L43" s="62">
        <v>0.13125000000000001</v>
      </c>
    </row>
    <row r="44" spans="1:14" x14ac:dyDescent="0.25">
      <c r="A44" s="16"/>
      <c r="B44" s="55"/>
    </row>
    <row r="45" spans="1:14" x14ac:dyDescent="0.25">
      <c r="A45" s="16"/>
      <c r="B45" s="7" t="s">
        <v>186</v>
      </c>
      <c r="C45" s="38" cm="1">
        <f t="array" ref="C45:G45">+GROSS/Revenue</f>
        <v>0.61989375343469499</v>
      </c>
      <c r="D45" s="38">
        <v>0.62344827586206897</v>
      </c>
      <c r="E45" s="38">
        <v>0.64929033216913135</v>
      </c>
      <c r="F45" s="38">
        <v>0.56928894490991322</v>
      </c>
      <c r="G45" s="38">
        <v>0.72717573290436954</v>
      </c>
      <c r="H45" s="39">
        <v>0.6</v>
      </c>
      <c r="I45" s="39">
        <v>0.6</v>
      </c>
      <c r="J45" s="39">
        <v>0.6</v>
      </c>
      <c r="K45" s="39">
        <v>0.6</v>
      </c>
      <c r="L45" s="39">
        <v>0.6</v>
      </c>
      <c r="M45" s="8"/>
      <c r="N45" s="8"/>
    </row>
    <row r="46" spans="1:14" x14ac:dyDescent="0.25">
      <c r="A46" s="16"/>
      <c r="B46" s="7" t="s">
        <v>187</v>
      </c>
      <c r="C46" s="38" cm="1">
        <f t="array" ref="C46:G46">+SGA/Revenue</f>
        <v>0.10010991023997069</v>
      </c>
      <c r="D46" s="38">
        <v>0.11634182908545727</v>
      </c>
      <c r="E46" s="38">
        <v>8.0478561343538674E-2</v>
      </c>
      <c r="F46" s="38">
        <v>9.0457477570994288E-2</v>
      </c>
      <c r="G46" s="38">
        <v>4.3563901382095135E-2</v>
      </c>
      <c r="H46" s="39">
        <v>0.05</v>
      </c>
      <c r="I46" s="39">
        <v>0.05</v>
      </c>
      <c r="J46" s="39">
        <v>0.05</v>
      </c>
      <c r="K46" s="39">
        <v>0.05</v>
      </c>
      <c r="L46" s="39">
        <v>0.05</v>
      </c>
      <c r="M46" s="8"/>
      <c r="N46" s="8"/>
    </row>
    <row r="47" spans="1:14" x14ac:dyDescent="0.25">
      <c r="A47" s="16"/>
      <c r="B47" s="7" t="s">
        <v>188</v>
      </c>
      <c r="C47" s="38" cm="1">
        <f t="array" ref="C47:G47">+RD/Revenue</f>
        <v>0.25911339073090311</v>
      </c>
      <c r="D47" s="38">
        <v>0.2353223388305847</v>
      </c>
      <c r="E47" s="38">
        <v>0.19573456193802483</v>
      </c>
      <c r="F47" s="38">
        <v>0.27207681471046191</v>
      </c>
      <c r="G47" s="38">
        <v>0.14239519385443683</v>
      </c>
      <c r="H47" s="39">
        <v>0.15</v>
      </c>
      <c r="I47" s="39">
        <v>0.15</v>
      </c>
      <c r="J47" s="39">
        <v>0.15</v>
      </c>
      <c r="K47" s="39">
        <v>0.15</v>
      </c>
      <c r="L47" s="39">
        <v>0.15</v>
      </c>
      <c r="M47" s="8"/>
      <c r="N47" s="8"/>
    </row>
    <row r="48" spans="1:14" x14ac:dyDescent="0.25">
      <c r="A48" s="16"/>
      <c r="M48" s="8"/>
      <c r="N48" s="8"/>
    </row>
    <row r="49" spans="1:14" hidden="1" outlineLevel="1" x14ac:dyDescent="0.25">
      <c r="A49" s="16"/>
      <c r="B49" s="20" t="s">
        <v>78</v>
      </c>
      <c r="C49" s="17" t="s">
        <v>77</v>
      </c>
      <c r="D49" s="17" t="s">
        <v>77</v>
      </c>
      <c r="E49" s="17" t="s">
        <v>77</v>
      </c>
      <c r="F49" s="17" t="s">
        <v>77</v>
      </c>
      <c r="G49" s="17" t="s">
        <v>77</v>
      </c>
      <c r="H49" s="8"/>
      <c r="I49" s="8"/>
      <c r="J49" s="13"/>
      <c r="K49" s="8"/>
      <c r="L49" s="13"/>
      <c r="M49" s="8"/>
      <c r="N49" s="8"/>
    </row>
    <row r="50" spans="1:14" hidden="1" outlineLevel="1" x14ac:dyDescent="0.25">
      <c r="A50" s="16"/>
      <c r="B50" s="20" t="s">
        <v>76</v>
      </c>
      <c r="C50" s="17" t="s">
        <v>75</v>
      </c>
      <c r="D50" s="17" t="s">
        <v>75</v>
      </c>
      <c r="E50" s="17" t="s">
        <v>75</v>
      </c>
      <c r="F50" s="17" t="s">
        <v>75</v>
      </c>
      <c r="G50" s="17" t="s">
        <v>75</v>
      </c>
      <c r="H50" s="8"/>
      <c r="I50" s="8"/>
      <c r="J50" s="13"/>
      <c r="K50" s="8"/>
      <c r="L50" s="13"/>
      <c r="M50" s="8"/>
      <c r="N50" s="8"/>
    </row>
    <row r="51" spans="1:14" hidden="1" outlineLevel="1" x14ac:dyDescent="0.25">
      <c r="A51" s="16"/>
      <c r="B51" s="20" t="s">
        <v>74</v>
      </c>
      <c r="C51" s="17" t="s">
        <v>73</v>
      </c>
      <c r="D51" s="17" t="s">
        <v>73</v>
      </c>
      <c r="E51" s="17" t="s">
        <v>73</v>
      </c>
      <c r="F51" s="17" t="s">
        <v>73</v>
      </c>
      <c r="G51" s="17" t="s">
        <v>73</v>
      </c>
      <c r="H51" s="8"/>
      <c r="I51" s="8"/>
      <c r="J51" s="13"/>
      <c r="K51" s="8"/>
      <c r="L51" s="13"/>
      <c r="M51" s="8"/>
      <c r="N51" s="8"/>
    </row>
    <row r="52" spans="1:14" ht="15.75" collapsed="1" thickBot="1" x14ac:dyDescent="0.3">
      <c r="A52" s="16"/>
      <c r="B52" s="21" t="s">
        <v>72</v>
      </c>
      <c r="C52" s="22" t="s">
        <v>71</v>
      </c>
      <c r="D52" s="22" t="s">
        <v>71</v>
      </c>
      <c r="E52" s="22" t="s">
        <v>71</v>
      </c>
      <c r="F52" s="22" t="s">
        <v>71</v>
      </c>
      <c r="G52" s="22" t="s">
        <v>71</v>
      </c>
      <c r="H52" s="22" t="s">
        <v>71</v>
      </c>
      <c r="I52" s="22" t="s">
        <v>71</v>
      </c>
      <c r="J52" s="22" t="s">
        <v>71</v>
      </c>
      <c r="K52" s="22" t="s">
        <v>71</v>
      </c>
      <c r="L52" s="22" t="s">
        <v>71</v>
      </c>
      <c r="M52" s="8"/>
      <c r="N52" s="8"/>
    </row>
    <row r="53" spans="1:14" x14ac:dyDescent="0.25">
      <c r="A53" s="16" t="s">
        <v>89</v>
      </c>
      <c r="B53" s="23" t="s">
        <v>70</v>
      </c>
      <c r="C53" s="70">
        <v>10896000</v>
      </c>
      <c r="D53" s="70">
        <v>847000</v>
      </c>
      <c r="E53" s="70">
        <v>1990000</v>
      </c>
      <c r="F53" s="70">
        <v>3389000</v>
      </c>
      <c r="G53" s="70">
        <v>7280000</v>
      </c>
      <c r="H53" s="58">
        <f>+G53+H234</f>
        <v>7280000</v>
      </c>
      <c r="I53" s="58">
        <f t="shared" ref="I53:L53" si="12">+H53+I234</f>
        <v>7280000</v>
      </c>
      <c r="J53" s="58">
        <f t="shared" si="12"/>
        <v>7280000</v>
      </c>
      <c r="K53" s="58">
        <f t="shared" si="12"/>
        <v>7280000</v>
      </c>
      <c r="L53" s="58">
        <f t="shared" si="12"/>
        <v>7280000</v>
      </c>
      <c r="M53" s="8"/>
      <c r="N53" s="8"/>
    </row>
    <row r="54" spans="1:14" x14ac:dyDescent="0.25">
      <c r="A54" s="16"/>
      <c r="B54" s="25" t="s">
        <v>69</v>
      </c>
      <c r="C54" s="71">
        <v>1000</v>
      </c>
      <c r="D54" s="71">
        <v>10714000</v>
      </c>
      <c r="E54" s="71">
        <v>19218000</v>
      </c>
      <c r="F54" s="71">
        <v>9907000</v>
      </c>
      <c r="G54" s="71">
        <v>18704000</v>
      </c>
      <c r="H54" s="58">
        <f>+G54</f>
        <v>18704000</v>
      </c>
      <c r="I54" s="58">
        <f t="shared" ref="I54:L54" si="13">+H54</f>
        <v>18704000</v>
      </c>
      <c r="J54" s="58">
        <f t="shared" si="13"/>
        <v>18704000</v>
      </c>
      <c r="K54" s="58">
        <f t="shared" si="13"/>
        <v>18704000</v>
      </c>
      <c r="L54" s="58">
        <f t="shared" si="13"/>
        <v>18704000</v>
      </c>
      <c r="M54" s="8"/>
      <c r="N54" s="8"/>
    </row>
    <row r="55" spans="1:14" x14ac:dyDescent="0.25">
      <c r="A55" s="16"/>
      <c r="B55" s="23" t="s">
        <v>66</v>
      </c>
      <c r="C55" s="72">
        <v>1657000</v>
      </c>
      <c r="D55" s="72">
        <v>2429000</v>
      </c>
      <c r="E55" s="72">
        <v>0</v>
      </c>
      <c r="F55" s="72">
        <v>0</v>
      </c>
      <c r="G55" s="72">
        <v>9999000</v>
      </c>
      <c r="H55" s="72">
        <f>+G55</f>
        <v>9999000</v>
      </c>
      <c r="I55" s="72">
        <f t="shared" ref="I55:L55" si="14">+H55</f>
        <v>9999000</v>
      </c>
      <c r="J55" s="72">
        <f t="shared" si="14"/>
        <v>9999000</v>
      </c>
      <c r="K55" s="72">
        <f t="shared" si="14"/>
        <v>9999000</v>
      </c>
      <c r="L55" s="72">
        <f t="shared" si="14"/>
        <v>9999000</v>
      </c>
      <c r="M55" s="8"/>
      <c r="N55" s="8"/>
    </row>
    <row r="56" spans="1:14" x14ac:dyDescent="0.25">
      <c r="A56" s="16"/>
      <c r="B56" s="28" t="s">
        <v>68</v>
      </c>
      <c r="C56" s="71">
        <v>1668000</v>
      </c>
      <c r="D56" s="71">
        <v>2450000</v>
      </c>
      <c r="E56" s="73">
        <v>0</v>
      </c>
      <c r="F56" s="73">
        <v>0</v>
      </c>
      <c r="G56" s="71">
        <v>10003000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8"/>
      <c r="N56" s="8"/>
    </row>
    <row r="57" spans="1:14" x14ac:dyDescent="0.25">
      <c r="A57" s="16"/>
      <c r="B57" s="28" t="s">
        <v>67</v>
      </c>
      <c r="C57" s="71">
        <v>11000</v>
      </c>
      <c r="D57" s="71">
        <v>21000</v>
      </c>
      <c r="E57" s="73">
        <v>0</v>
      </c>
      <c r="F57" s="73">
        <v>0</v>
      </c>
      <c r="G57" s="71">
        <v>4000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8"/>
      <c r="N57" s="8"/>
    </row>
    <row r="58" spans="1:14" x14ac:dyDescent="0.25">
      <c r="A58" s="16"/>
      <c r="B58" s="27" t="s">
        <v>62</v>
      </c>
      <c r="C58" s="72">
        <v>979000</v>
      </c>
      <c r="D58" s="72">
        <v>1826000</v>
      </c>
      <c r="E58" s="72">
        <v>2605000</v>
      </c>
      <c r="F58" s="72">
        <v>5159000</v>
      </c>
      <c r="G58" s="72">
        <v>5282000</v>
      </c>
      <c r="H58" s="72">
        <f>+G58</f>
        <v>5282000</v>
      </c>
      <c r="I58" s="72">
        <f t="shared" ref="I58:L58" si="15">+H58</f>
        <v>5282000</v>
      </c>
      <c r="J58" s="72">
        <f t="shared" si="15"/>
        <v>5282000</v>
      </c>
      <c r="K58" s="72">
        <f t="shared" si="15"/>
        <v>5282000</v>
      </c>
      <c r="L58" s="72">
        <f t="shared" si="15"/>
        <v>5282000</v>
      </c>
      <c r="M58" s="8"/>
      <c r="N58" s="8"/>
    </row>
    <row r="59" spans="1:14" x14ac:dyDescent="0.25">
      <c r="A59" s="16"/>
      <c r="B59" s="28" t="s">
        <v>65</v>
      </c>
      <c r="C59" s="71">
        <v>249000</v>
      </c>
      <c r="D59" s="71">
        <v>632000</v>
      </c>
      <c r="E59" s="71">
        <v>791000</v>
      </c>
      <c r="F59" s="71">
        <v>2430000</v>
      </c>
      <c r="G59" s="71">
        <v>1719000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8"/>
      <c r="N59" s="8"/>
    </row>
    <row r="60" spans="1:14" x14ac:dyDescent="0.25">
      <c r="A60" s="16"/>
      <c r="B60" s="28" t="s">
        <v>64</v>
      </c>
      <c r="C60" s="71">
        <v>265000</v>
      </c>
      <c r="D60" s="71">
        <v>457000</v>
      </c>
      <c r="E60" s="71">
        <v>692000</v>
      </c>
      <c r="F60" s="71">
        <v>466000</v>
      </c>
      <c r="G60" s="71">
        <v>1505000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8"/>
      <c r="N60" s="8"/>
    </row>
    <row r="61" spans="1:14" x14ac:dyDescent="0.25">
      <c r="A61" s="16"/>
      <c r="B61" s="28" t="s">
        <v>63</v>
      </c>
      <c r="C61" s="71">
        <v>465000</v>
      </c>
      <c r="D61" s="71">
        <v>737000</v>
      </c>
      <c r="E61" s="71">
        <v>1122000</v>
      </c>
      <c r="F61" s="71">
        <v>2263000</v>
      </c>
      <c r="G61" s="71">
        <v>2058000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8"/>
      <c r="N61" s="8"/>
    </row>
    <row r="62" spans="1:14" x14ac:dyDescent="0.25">
      <c r="A62" s="16"/>
      <c r="B62" s="23" t="s">
        <v>61</v>
      </c>
      <c r="C62" s="70">
        <v>157000</v>
      </c>
      <c r="D62" s="70">
        <v>239000</v>
      </c>
      <c r="E62" s="70">
        <v>366000</v>
      </c>
      <c r="F62" s="70">
        <v>791000</v>
      </c>
      <c r="G62" s="70">
        <v>3080000</v>
      </c>
      <c r="H62" s="72">
        <f>+G62</f>
        <v>3080000</v>
      </c>
      <c r="I62" s="72">
        <f t="shared" ref="I62:L62" si="16">+H62</f>
        <v>3080000</v>
      </c>
      <c r="J62" s="72">
        <f t="shared" si="16"/>
        <v>3080000</v>
      </c>
      <c r="K62" s="72">
        <f t="shared" si="16"/>
        <v>3080000</v>
      </c>
      <c r="L62" s="72">
        <f t="shared" si="16"/>
        <v>3080000</v>
      </c>
      <c r="M62" s="8"/>
      <c r="N62" s="8"/>
    </row>
    <row r="63" spans="1:14" x14ac:dyDescent="0.25">
      <c r="A63" s="16" t="s">
        <v>89</v>
      </c>
      <c r="B63" s="23" t="s">
        <v>60</v>
      </c>
      <c r="C63" s="70">
        <v>13690000</v>
      </c>
      <c r="D63" s="70">
        <v>16055000</v>
      </c>
      <c r="E63" s="70">
        <v>24179000</v>
      </c>
      <c r="F63" s="70">
        <v>19246000</v>
      </c>
      <c r="G63" s="70">
        <v>44345000</v>
      </c>
      <c r="H63" s="70">
        <f>+H53+H54+H55+H58+H62</f>
        <v>44345000</v>
      </c>
      <c r="I63" s="70">
        <f t="shared" ref="I63:L63" si="17">+I53+I54+I55+I58+I62</f>
        <v>44345000</v>
      </c>
      <c r="J63" s="70">
        <f t="shared" si="17"/>
        <v>44345000</v>
      </c>
      <c r="K63" s="70">
        <f t="shared" si="17"/>
        <v>44345000</v>
      </c>
      <c r="L63" s="70">
        <f t="shared" si="17"/>
        <v>44345000</v>
      </c>
      <c r="M63" s="8"/>
      <c r="N63" s="8"/>
    </row>
    <row r="64" spans="1:14" x14ac:dyDescent="0.25">
      <c r="A64" s="16"/>
      <c r="B64" s="25" t="s">
        <v>59</v>
      </c>
      <c r="C64" s="71">
        <v>218000</v>
      </c>
      <c r="D64" s="71">
        <v>218000</v>
      </c>
      <c r="E64" s="71">
        <v>218000</v>
      </c>
      <c r="F64" s="71">
        <v>218000</v>
      </c>
      <c r="G64" s="71">
        <v>218000</v>
      </c>
      <c r="H64" s="58">
        <f>+G64</f>
        <v>218000</v>
      </c>
      <c r="I64" s="58">
        <f t="shared" ref="I64:L64" si="18">+H64</f>
        <v>218000</v>
      </c>
      <c r="J64" s="58">
        <f t="shared" si="18"/>
        <v>218000</v>
      </c>
      <c r="K64" s="58">
        <f t="shared" si="18"/>
        <v>218000</v>
      </c>
      <c r="L64" s="58">
        <f t="shared" si="18"/>
        <v>218000</v>
      </c>
      <c r="M64" s="8"/>
      <c r="N64" s="8"/>
    </row>
    <row r="65" spans="1:14" x14ac:dyDescent="0.25">
      <c r="A65" s="16"/>
      <c r="B65" s="25" t="s">
        <v>58</v>
      </c>
      <c r="C65" s="73">
        <v>0</v>
      </c>
      <c r="D65" s="73">
        <v>0</v>
      </c>
      <c r="E65" s="71">
        <v>874000</v>
      </c>
      <c r="F65" s="71">
        <v>1598000</v>
      </c>
      <c r="G65" s="73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8"/>
      <c r="N65" s="8"/>
    </row>
    <row r="66" spans="1:14" x14ac:dyDescent="0.25">
      <c r="A66" s="16"/>
      <c r="B66" s="25" t="s">
        <v>57</v>
      </c>
      <c r="C66" s="73">
        <v>0</v>
      </c>
      <c r="D66" s="73">
        <v>0</v>
      </c>
      <c r="E66" s="71">
        <v>2852000</v>
      </c>
      <c r="F66" s="71">
        <v>4303000</v>
      </c>
      <c r="G66" s="73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8"/>
      <c r="N66" s="8"/>
    </row>
    <row r="67" spans="1:14" x14ac:dyDescent="0.25">
      <c r="A67" s="16"/>
      <c r="B67" s="25" t="s">
        <v>56</v>
      </c>
      <c r="C67" s="71">
        <v>340000</v>
      </c>
      <c r="D67" s="71">
        <v>341000</v>
      </c>
      <c r="E67" s="73">
        <v>0</v>
      </c>
      <c r="F67" s="73">
        <v>0</v>
      </c>
      <c r="G67" s="71">
        <v>1816000</v>
      </c>
      <c r="H67" s="58">
        <f>+G67</f>
        <v>1816000</v>
      </c>
      <c r="I67" s="58">
        <f t="shared" ref="I67:L67" si="19">+H67</f>
        <v>1816000</v>
      </c>
      <c r="J67" s="58">
        <f t="shared" si="19"/>
        <v>1816000</v>
      </c>
      <c r="K67" s="58">
        <f t="shared" si="19"/>
        <v>1816000</v>
      </c>
      <c r="L67" s="58">
        <f t="shared" si="19"/>
        <v>1816000</v>
      </c>
      <c r="M67" s="8"/>
      <c r="N67" s="8"/>
    </row>
    <row r="68" spans="1:14" x14ac:dyDescent="0.25">
      <c r="A68" s="16"/>
      <c r="B68" s="25" t="s">
        <v>55</v>
      </c>
      <c r="C68" s="71">
        <v>532000</v>
      </c>
      <c r="D68" s="71">
        <v>782000</v>
      </c>
      <c r="E68" s="73">
        <v>0</v>
      </c>
      <c r="F68" s="73">
        <v>0</v>
      </c>
      <c r="G68" s="71">
        <v>5200000</v>
      </c>
      <c r="H68" s="58">
        <f>+G68</f>
        <v>5200000</v>
      </c>
      <c r="I68" s="58">
        <f t="shared" ref="I68:L68" si="20">+H68</f>
        <v>5200000</v>
      </c>
      <c r="J68" s="58">
        <f t="shared" si="20"/>
        <v>5200000</v>
      </c>
      <c r="K68" s="58">
        <f t="shared" si="20"/>
        <v>5200000</v>
      </c>
      <c r="L68" s="58">
        <f t="shared" si="20"/>
        <v>5200000</v>
      </c>
      <c r="M68" s="8"/>
      <c r="N68" s="8"/>
    </row>
    <row r="69" spans="1:14" x14ac:dyDescent="0.25">
      <c r="A69" s="16"/>
      <c r="B69" s="25" t="s">
        <v>54</v>
      </c>
      <c r="C69" s="71">
        <v>621000</v>
      </c>
      <c r="D69" s="71">
        <v>1187000</v>
      </c>
      <c r="E69" s="73">
        <v>0</v>
      </c>
      <c r="F69" s="73">
        <v>0</v>
      </c>
      <c r="G69" s="73">
        <v>0</v>
      </c>
      <c r="H69" s="56"/>
      <c r="I69" s="56"/>
      <c r="J69" s="63"/>
      <c r="K69" s="56"/>
      <c r="L69" s="63"/>
      <c r="M69" s="8"/>
      <c r="N69" s="8"/>
    </row>
    <row r="70" spans="1:14" x14ac:dyDescent="0.25">
      <c r="A70" s="16"/>
      <c r="B70" s="25" t="s">
        <v>53</v>
      </c>
      <c r="C70" s="71">
        <v>293000</v>
      </c>
      <c r="D70" s="71">
        <v>385000</v>
      </c>
      <c r="E70" s="73">
        <v>0</v>
      </c>
      <c r="F70" s="73">
        <v>0</v>
      </c>
      <c r="G70" s="73">
        <v>0</v>
      </c>
      <c r="H70" s="56"/>
      <c r="I70" s="56"/>
      <c r="J70" s="63"/>
      <c r="K70" s="56"/>
      <c r="L70" s="63"/>
      <c r="M70" s="8"/>
      <c r="N70" s="8"/>
    </row>
    <row r="71" spans="1:14" x14ac:dyDescent="0.25">
      <c r="A71" s="16"/>
      <c r="B71" s="25" t="s">
        <v>52</v>
      </c>
      <c r="C71" s="71">
        <v>287000</v>
      </c>
      <c r="D71" s="73">
        <v>0</v>
      </c>
      <c r="E71" s="73">
        <v>0</v>
      </c>
      <c r="F71" s="73">
        <v>0</v>
      </c>
      <c r="G71" s="73">
        <v>0</v>
      </c>
      <c r="H71" s="56"/>
      <c r="I71" s="56"/>
      <c r="J71" s="63"/>
      <c r="K71" s="56"/>
      <c r="L71" s="63"/>
      <c r="M71" s="8"/>
      <c r="N71" s="8"/>
    </row>
    <row r="72" spans="1:14" x14ac:dyDescent="0.25">
      <c r="A72" s="16"/>
      <c r="B72" s="25" t="s">
        <v>51</v>
      </c>
      <c r="C72" s="71">
        <v>74000</v>
      </c>
      <c r="D72" s="71">
        <v>86000</v>
      </c>
      <c r="E72" s="73">
        <v>0</v>
      </c>
      <c r="F72" s="73">
        <v>0</v>
      </c>
      <c r="G72" s="73">
        <v>0</v>
      </c>
      <c r="H72" s="56"/>
      <c r="I72" s="56"/>
      <c r="J72" s="63"/>
      <c r="K72" s="56"/>
      <c r="L72" s="63"/>
      <c r="M72" s="8"/>
      <c r="N72" s="8"/>
    </row>
    <row r="73" spans="1:14" x14ac:dyDescent="0.25">
      <c r="A73" s="16"/>
      <c r="B73" s="25" t="s">
        <v>50</v>
      </c>
      <c r="C73" s="71">
        <v>320000</v>
      </c>
      <c r="D73" s="71">
        <v>558000</v>
      </c>
      <c r="E73" s="71">
        <v>737000</v>
      </c>
      <c r="F73" s="71">
        <v>382000</v>
      </c>
      <c r="G73" s="71">
        <v>189000</v>
      </c>
      <c r="H73" s="56"/>
      <c r="I73" s="56"/>
      <c r="J73" s="63"/>
      <c r="K73" s="56"/>
      <c r="L73" s="63"/>
      <c r="M73" s="8"/>
      <c r="N73" s="8"/>
    </row>
    <row r="74" spans="1:14" ht="17.25" x14ac:dyDescent="0.4">
      <c r="A74" s="16"/>
      <c r="B74" s="23" t="s">
        <v>49</v>
      </c>
      <c r="C74" s="74">
        <v>2685000</v>
      </c>
      <c r="D74" s="74">
        <v>3557000</v>
      </c>
      <c r="E74" s="74">
        <v>4681000</v>
      </c>
      <c r="F74" s="74">
        <v>6501000</v>
      </c>
      <c r="G74" s="74">
        <v>7423000</v>
      </c>
      <c r="H74" s="56"/>
      <c r="I74" s="56"/>
      <c r="J74" s="63"/>
      <c r="K74" s="56"/>
      <c r="L74" s="63"/>
      <c r="M74" s="8"/>
      <c r="N74" s="8"/>
    </row>
    <row r="75" spans="1:14" x14ac:dyDescent="0.25">
      <c r="A75" s="16"/>
      <c r="B75" s="25" t="s">
        <v>48</v>
      </c>
      <c r="C75" s="71">
        <v>1011000</v>
      </c>
      <c r="D75" s="71">
        <v>1408000</v>
      </c>
      <c r="E75" s="71">
        <v>1903000</v>
      </c>
      <c r="F75" s="71">
        <v>2694000</v>
      </c>
      <c r="G75" s="71">
        <v>3509000</v>
      </c>
      <c r="H75" s="56"/>
      <c r="I75" s="56"/>
      <c r="J75" s="63"/>
      <c r="K75" s="56"/>
      <c r="L75" s="63"/>
      <c r="M75" s="8"/>
      <c r="N75" s="8"/>
    </row>
    <row r="76" spans="1:14" x14ac:dyDescent="0.25">
      <c r="A76" s="16"/>
      <c r="B76" s="23" t="s">
        <v>47</v>
      </c>
      <c r="C76" s="70">
        <v>1674000</v>
      </c>
      <c r="D76" s="70">
        <v>2149000</v>
      </c>
      <c r="E76" s="70">
        <v>2778000</v>
      </c>
      <c r="F76" s="70">
        <v>3807000</v>
      </c>
      <c r="G76" s="70">
        <v>3914000</v>
      </c>
      <c r="H76" s="56"/>
      <c r="I76" s="56"/>
      <c r="J76" s="63"/>
      <c r="K76" s="56"/>
      <c r="L76" s="63"/>
      <c r="M76" s="8"/>
      <c r="N76" s="8"/>
    </row>
    <row r="77" spans="1:14" x14ac:dyDescent="0.25">
      <c r="A77" s="16"/>
      <c r="B77" s="25" t="s">
        <v>46</v>
      </c>
      <c r="C77" s="71">
        <v>618000</v>
      </c>
      <c r="D77" s="71">
        <v>707000</v>
      </c>
      <c r="E77" s="71">
        <v>829000</v>
      </c>
      <c r="F77" s="71">
        <v>1038000</v>
      </c>
      <c r="G77" s="71">
        <v>1346000</v>
      </c>
      <c r="H77" s="56"/>
      <c r="I77" s="56"/>
      <c r="J77" s="63"/>
      <c r="K77" s="56"/>
      <c r="L77" s="63"/>
      <c r="M77" s="8"/>
      <c r="N77" s="8"/>
    </row>
    <row r="78" spans="1:14" x14ac:dyDescent="0.25">
      <c r="A78" s="16"/>
      <c r="B78" s="25" t="s">
        <v>45</v>
      </c>
      <c r="C78" s="71">
        <v>618000</v>
      </c>
      <c r="D78" s="71">
        <v>4193000</v>
      </c>
      <c r="E78" s="71">
        <v>4349000</v>
      </c>
      <c r="F78" s="71">
        <v>4372000</v>
      </c>
      <c r="G78" s="71">
        <v>4430000</v>
      </c>
      <c r="H78" s="56"/>
      <c r="I78" s="56"/>
      <c r="J78" s="63"/>
      <c r="K78" s="56"/>
      <c r="L78" s="63"/>
      <c r="M78" s="8"/>
      <c r="N78" s="8"/>
    </row>
    <row r="79" spans="1:14" x14ac:dyDescent="0.25">
      <c r="A79" s="16"/>
      <c r="B79" s="25" t="s">
        <v>44</v>
      </c>
      <c r="C79" s="71">
        <v>49000</v>
      </c>
      <c r="D79" s="71">
        <v>2737000</v>
      </c>
      <c r="E79" s="71">
        <v>2339000</v>
      </c>
      <c r="F79" s="71">
        <v>1676000</v>
      </c>
      <c r="G79" s="71">
        <v>1112000</v>
      </c>
      <c r="H79" s="56"/>
      <c r="I79" s="56"/>
      <c r="J79" s="63"/>
      <c r="K79" s="56"/>
      <c r="L79" s="63"/>
      <c r="M79" s="8"/>
      <c r="N79" s="8"/>
    </row>
    <row r="80" spans="1:14" x14ac:dyDescent="0.25">
      <c r="A80" s="16"/>
      <c r="B80" s="25" t="s">
        <v>43</v>
      </c>
      <c r="C80" s="71">
        <v>548000</v>
      </c>
      <c r="D80" s="71">
        <v>806000</v>
      </c>
      <c r="E80" s="71">
        <v>1222000</v>
      </c>
      <c r="F80" s="71">
        <v>3396000</v>
      </c>
      <c r="G80" s="71">
        <v>6081000</v>
      </c>
      <c r="H80" s="56"/>
      <c r="I80" s="56"/>
      <c r="J80" s="63"/>
      <c r="K80" s="56"/>
      <c r="L80" s="63"/>
      <c r="M80" s="8"/>
      <c r="N80" s="8"/>
    </row>
    <row r="81" spans="1:14" x14ac:dyDescent="0.25">
      <c r="A81" s="16"/>
      <c r="B81" s="25" t="s">
        <v>42</v>
      </c>
      <c r="C81" s="73">
        <v>0</v>
      </c>
      <c r="D81" s="73">
        <v>0</v>
      </c>
      <c r="E81" s="71">
        <v>1747000</v>
      </c>
      <c r="F81" s="71">
        <v>2989000</v>
      </c>
      <c r="G81" s="73">
        <v>0</v>
      </c>
      <c r="H81" s="56"/>
      <c r="I81" s="56"/>
      <c r="J81" s="63"/>
      <c r="K81" s="56"/>
      <c r="L81" s="63"/>
      <c r="M81" s="8"/>
      <c r="N81" s="8"/>
    </row>
    <row r="82" spans="1:14" x14ac:dyDescent="0.25">
      <c r="A82" s="16"/>
      <c r="B82" s="25" t="s">
        <v>41</v>
      </c>
      <c r="C82" s="73">
        <v>0</v>
      </c>
      <c r="D82" s="73">
        <v>0</v>
      </c>
      <c r="E82" s="71">
        <v>1357000</v>
      </c>
      <c r="F82" s="73">
        <v>0</v>
      </c>
      <c r="G82" s="73">
        <v>0</v>
      </c>
      <c r="H82" s="56"/>
      <c r="I82" s="56"/>
      <c r="J82" s="63"/>
      <c r="K82" s="56"/>
      <c r="L82" s="63"/>
      <c r="M82" s="8"/>
      <c r="N82" s="8"/>
    </row>
    <row r="83" spans="1:14" x14ac:dyDescent="0.25">
      <c r="A83" s="16"/>
      <c r="B83" s="25" t="s">
        <v>40</v>
      </c>
      <c r="C83" s="73">
        <v>0</v>
      </c>
      <c r="D83" s="73">
        <v>0</v>
      </c>
      <c r="E83" s="71">
        <v>409000</v>
      </c>
      <c r="F83" s="71">
        <v>387000</v>
      </c>
      <c r="G83" s="73">
        <v>0</v>
      </c>
      <c r="H83" s="56"/>
      <c r="I83" s="56"/>
      <c r="J83" s="63"/>
      <c r="K83" s="56"/>
      <c r="L83" s="63"/>
      <c r="M83" s="8"/>
      <c r="N83" s="8"/>
    </row>
    <row r="84" spans="1:14" x14ac:dyDescent="0.25">
      <c r="A84" s="16"/>
      <c r="B84" s="25" t="s">
        <v>39</v>
      </c>
      <c r="C84" s="73">
        <v>0</v>
      </c>
      <c r="D84" s="73">
        <v>0</v>
      </c>
      <c r="E84" s="71">
        <v>266000</v>
      </c>
      <c r="F84" s="71">
        <v>299000</v>
      </c>
      <c r="G84" s="73">
        <v>0</v>
      </c>
      <c r="H84" s="56"/>
      <c r="I84" s="56"/>
      <c r="J84" s="63"/>
      <c r="K84" s="56"/>
      <c r="L84" s="63"/>
      <c r="M84" s="8"/>
      <c r="N84" s="8"/>
    </row>
    <row r="85" spans="1:14" x14ac:dyDescent="0.25">
      <c r="A85" s="16"/>
      <c r="B85" s="25" t="s">
        <v>38</v>
      </c>
      <c r="C85" s="73">
        <v>0</v>
      </c>
      <c r="D85" s="73">
        <v>0</v>
      </c>
      <c r="E85" s="71">
        <v>62000</v>
      </c>
      <c r="F85" s="71">
        <v>145000</v>
      </c>
      <c r="G85" s="73">
        <v>0</v>
      </c>
      <c r="H85" s="56"/>
      <c r="I85" s="56"/>
      <c r="J85" s="63"/>
      <c r="K85" s="56"/>
      <c r="L85" s="63"/>
      <c r="M85" s="8"/>
      <c r="N85" s="8"/>
    </row>
    <row r="86" spans="1:14" x14ac:dyDescent="0.25">
      <c r="A86" s="16"/>
      <c r="B86" s="25" t="s">
        <v>38</v>
      </c>
      <c r="C86" s="71">
        <v>118000</v>
      </c>
      <c r="D86" s="71">
        <v>2144000</v>
      </c>
      <c r="E86" s="71">
        <v>3841000</v>
      </c>
      <c r="F86" s="71">
        <v>3820000</v>
      </c>
      <c r="G86" s="71">
        <v>4500000</v>
      </c>
      <c r="H86" s="56"/>
      <c r="I86" s="56"/>
      <c r="J86" s="63"/>
      <c r="K86" s="56"/>
      <c r="L86" s="63"/>
      <c r="M86" s="8"/>
      <c r="N86" s="8"/>
    </row>
    <row r="87" spans="1:14" x14ac:dyDescent="0.25">
      <c r="A87" s="16" t="s">
        <v>89</v>
      </c>
      <c r="B87" s="23" t="s">
        <v>37</v>
      </c>
      <c r="C87" s="70">
        <v>17315000</v>
      </c>
      <c r="D87" s="70">
        <v>28791000</v>
      </c>
      <c r="E87" s="70">
        <v>44187000</v>
      </c>
      <c r="F87" s="70">
        <v>41182000</v>
      </c>
      <c r="G87" s="70">
        <v>65728000</v>
      </c>
      <c r="H87" s="56"/>
      <c r="I87" s="56"/>
      <c r="J87" s="63"/>
      <c r="K87" s="56"/>
      <c r="L87" s="63"/>
      <c r="M87" s="8"/>
      <c r="N87" s="8"/>
    </row>
    <row r="88" spans="1:14" x14ac:dyDescent="0.25">
      <c r="A88" s="16"/>
      <c r="B88" s="25" t="s">
        <v>36</v>
      </c>
      <c r="C88" s="71">
        <v>687000</v>
      </c>
      <c r="D88" s="71">
        <v>1201000</v>
      </c>
      <c r="E88" s="71">
        <v>1783000</v>
      </c>
      <c r="F88" s="71">
        <v>1193000</v>
      </c>
      <c r="G88" s="71">
        <v>2699000</v>
      </c>
      <c r="H88" s="56">
        <f>+G88</f>
        <v>2699000</v>
      </c>
      <c r="I88" s="56">
        <f t="shared" ref="I88:L88" si="21">+H88</f>
        <v>2699000</v>
      </c>
      <c r="J88" s="56">
        <f t="shared" si="21"/>
        <v>2699000</v>
      </c>
      <c r="K88" s="56">
        <f t="shared" si="21"/>
        <v>2699000</v>
      </c>
      <c r="L88" s="56">
        <f t="shared" si="21"/>
        <v>2699000</v>
      </c>
      <c r="M88" s="8"/>
      <c r="N88" s="8"/>
    </row>
    <row r="89" spans="1:14" x14ac:dyDescent="0.25">
      <c r="A89" s="16"/>
      <c r="B89" s="25" t="s">
        <v>35</v>
      </c>
      <c r="C89" s="71">
        <v>462000</v>
      </c>
      <c r="D89" s="71">
        <v>630000</v>
      </c>
      <c r="E89" s="71">
        <v>1000000</v>
      </c>
      <c r="F89" s="71">
        <v>1196000</v>
      </c>
      <c r="G89" s="71">
        <v>2081000</v>
      </c>
      <c r="H89" s="56"/>
      <c r="I89" s="56"/>
      <c r="J89" s="63"/>
      <c r="K89" s="56"/>
      <c r="L89" s="63"/>
      <c r="M89" s="8"/>
      <c r="N89" s="8"/>
    </row>
    <row r="90" spans="1:14" x14ac:dyDescent="0.25">
      <c r="A90" s="16"/>
      <c r="B90" s="25" t="s">
        <v>34</v>
      </c>
      <c r="C90" s="71">
        <v>185000</v>
      </c>
      <c r="D90" s="71">
        <v>297000</v>
      </c>
      <c r="E90" s="71">
        <v>409000</v>
      </c>
      <c r="F90" s="71">
        <v>530000</v>
      </c>
      <c r="G90" s="71">
        <v>675000</v>
      </c>
      <c r="H90" s="56"/>
      <c r="I90" s="56"/>
      <c r="J90" s="63"/>
      <c r="K90" s="56"/>
      <c r="L90" s="63"/>
      <c r="M90" s="8"/>
      <c r="N90" s="8"/>
    </row>
    <row r="91" spans="1:14" x14ac:dyDescent="0.25">
      <c r="A91" s="16"/>
      <c r="B91" s="25" t="s">
        <v>13</v>
      </c>
      <c r="C91" s="71">
        <v>141000</v>
      </c>
      <c r="D91" s="71">
        <v>288000</v>
      </c>
      <c r="E91" s="71">
        <v>300000</v>
      </c>
      <c r="F91" s="71">
        <v>354000</v>
      </c>
      <c r="G91" s="71">
        <v>764000</v>
      </c>
      <c r="H91" s="56"/>
      <c r="I91" s="56"/>
      <c r="J91" s="63"/>
      <c r="K91" s="56"/>
      <c r="L91" s="63"/>
      <c r="M91" s="8"/>
      <c r="N91" s="8"/>
    </row>
    <row r="92" spans="1:14" x14ac:dyDescent="0.25">
      <c r="A92" s="16"/>
      <c r="B92" s="25" t="s">
        <v>33</v>
      </c>
      <c r="C92" s="73">
        <v>0</v>
      </c>
      <c r="D92" s="73">
        <v>0</v>
      </c>
      <c r="E92" s="71">
        <v>196000</v>
      </c>
      <c r="F92" s="71">
        <v>954000</v>
      </c>
      <c r="G92" s="73" t="s">
        <v>0</v>
      </c>
      <c r="H92" s="56"/>
      <c r="I92" s="56"/>
      <c r="J92" s="63"/>
      <c r="K92" s="56"/>
      <c r="L92" s="63"/>
      <c r="M92" s="8"/>
      <c r="N92" s="8"/>
    </row>
    <row r="93" spans="1:14" x14ac:dyDescent="0.25">
      <c r="A93" s="16"/>
      <c r="B93" s="25" t="s">
        <v>32</v>
      </c>
      <c r="C93" s="73">
        <v>0</v>
      </c>
      <c r="D93" s="71">
        <v>128000</v>
      </c>
      <c r="E93" s="73" t="s">
        <v>0</v>
      </c>
      <c r="F93" s="73" t="s">
        <v>0</v>
      </c>
      <c r="G93" s="71">
        <v>182000</v>
      </c>
      <c r="H93" s="56"/>
      <c r="I93" s="56"/>
      <c r="J93" s="63"/>
      <c r="K93" s="56"/>
      <c r="L93" s="63"/>
      <c r="M93" s="8"/>
      <c r="N93" s="8"/>
    </row>
    <row r="94" spans="1:14" x14ac:dyDescent="0.25">
      <c r="A94" s="16"/>
      <c r="B94" s="25" t="s">
        <v>31</v>
      </c>
      <c r="C94" s="71">
        <v>91000</v>
      </c>
      <c r="D94" s="71">
        <v>121000</v>
      </c>
      <c r="E94" s="73" t="s">
        <v>0</v>
      </c>
      <c r="F94" s="71">
        <v>176000</v>
      </c>
      <c r="G94" s="71">
        <v>228000</v>
      </c>
      <c r="H94" s="56"/>
      <c r="I94" s="56"/>
      <c r="J94" s="63"/>
      <c r="K94" s="56"/>
      <c r="L94" s="63"/>
      <c r="M94" s="8"/>
      <c r="N94" s="8"/>
    </row>
    <row r="95" spans="1:14" x14ac:dyDescent="0.25">
      <c r="A95" s="16"/>
      <c r="B95" s="25" t="s">
        <v>30</v>
      </c>
      <c r="C95" s="73">
        <v>0</v>
      </c>
      <c r="D95" s="71">
        <v>74000</v>
      </c>
      <c r="E95" s="73" t="s">
        <v>0</v>
      </c>
      <c r="F95" s="73" t="s">
        <v>0</v>
      </c>
      <c r="G95" s="73" t="s">
        <v>0</v>
      </c>
      <c r="H95" s="56"/>
      <c r="I95" s="56"/>
      <c r="J95" s="63"/>
      <c r="K95" s="56"/>
      <c r="L95" s="63"/>
      <c r="M95" s="8"/>
      <c r="N95" s="8"/>
    </row>
    <row r="96" spans="1:14" x14ac:dyDescent="0.25">
      <c r="A96" s="16"/>
      <c r="B96" s="25" t="s">
        <v>29</v>
      </c>
      <c r="C96" s="71">
        <v>61000</v>
      </c>
      <c r="D96" s="71">
        <v>61000</v>
      </c>
      <c r="E96" s="73" t="s">
        <v>0</v>
      </c>
      <c r="F96" s="71">
        <v>467000</v>
      </c>
      <c r="G96" s="71">
        <v>296000</v>
      </c>
      <c r="H96" s="56"/>
      <c r="I96" s="56"/>
      <c r="J96" s="63"/>
      <c r="K96" s="56"/>
      <c r="L96" s="63"/>
      <c r="M96" s="8"/>
      <c r="N96" s="8"/>
    </row>
    <row r="97" spans="1:14" x14ac:dyDescent="0.25">
      <c r="A97" s="16"/>
      <c r="B97" s="25" t="s">
        <v>12</v>
      </c>
      <c r="C97" s="71">
        <v>54000</v>
      </c>
      <c r="D97" s="73">
        <v>0</v>
      </c>
      <c r="E97" s="73" t="s">
        <v>0</v>
      </c>
      <c r="F97" s="73" t="s">
        <v>0</v>
      </c>
      <c r="G97" s="73" t="s">
        <v>0</v>
      </c>
      <c r="H97" s="56"/>
      <c r="I97" s="56"/>
      <c r="J97" s="63"/>
      <c r="K97" s="56"/>
      <c r="L97" s="63"/>
      <c r="M97" s="8"/>
      <c r="N97" s="8"/>
    </row>
    <row r="98" spans="1:14" x14ac:dyDescent="0.25">
      <c r="A98" s="16"/>
      <c r="B98" s="25" t="s">
        <v>28</v>
      </c>
      <c r="C98" s="73">
        <v>0</v>
      </c>
      <c r="D98" s="71">
        <v>39000</v>
      </c>
      <c r="E98" s="73" t="s">
        <v>0</v>
      </c>
      <c r="F98" s="73" t="s">
        <v>0</v>
      </c>
      <c r="G98" s="71">
        <v>415000</v>
      </c>
      <c r="H98" s="56"/>
      <c r="I98" s="56"/>
      <c r="J98" s="63"/>
      <c r="K98" s="56"/>
      <c r="L98" s="63"/>
      <c r="M98" s="8"/>
      <c r="N98" s="8"/>
    </row>
    <row r="99" spans="1:14" x14ac:dyDescent="0.25">
      <c r="A99" s="16"/>
      <c r="B99" s="25" t="s">
        <v>27</v>
      </c>
      <c r="C99" s="71">
        <v>18000</v>
      </c>
      <c r="D99" s="71">
        <v>26000</v>
      </c>
      <c r="E99" s="73" t="s">
        <v>0</v>
      </c>
      <c r="F99" s="73" t="s">
        <v>0</v>
      </c>
      <c r="G99" s="73" t="s">
        <v>0</v>
      </c>
      <c r="H99" s="56"/>
      <c r="I99" s="56"/>
      <c r="J99" s="63"/>
      <c r="K99" s="56"/>
      <c r="L99" s="63"/>
      <c r="M99" s="8"/>
      <c r="N99" s="8"/>
    </row>
    <row r="100" spans="1:14" x14ac:dyDescent="0.25">
      <c r="A100" s="16"/>
      <c r="B100" s="25" t="s">
        <v>26</v>
      </c>
      <c r="C100" s="73">
        <v>0</v>
      </c>
      <c r="D100" s="73">
        <v>0</v>
      </c>
      <c r="E100" s="73" t="s">
        <v>0</v>
      </c>
      <c r="F100" s="73" t="s">
        <v>0</v>
      </c>
      <c r="G100" s="71">
        <v>6682000</v>
      </c>
      <c r="H100" s="56"/>
      <c r="I100" s="56"/>
      <c r="J100" s="63"/>
      <c r="K100" s="56"/>
      <c r="L100" s="63"/>
      <c r="M100" s="8"/>
      <c r="N100" s="8"/>
    </row>
    <row r="101" spans="1:14" x14ac:dyDescent="0.25">
      <c r="A101" s="16"/>
      <c r="B101" s="25" t="s">
        <v>25</v>
      </c>
      <c r="C101" s="73">
        <v>0</v>
      </c>
      <c r="D101" s="73">
        <v>0</v>
      </c>
      <c r="E101" s="73" t="s">
        <v>0</v>
      </c>
      <c r="F101" s="73" t="s">
        <v>0</v>
      </c>
      <c r="G101" s="71">
        <v>1842000</v>
      </c>
      <c r="H101" s="56"/>
      <c r="I101" s="56"/>
      <c r="J101" s="63"/>
      <c r="K101" s="56"/>
      <c r="L101" s="63"/>
      <c r="M101" s="8"/>
      <c r="N101" s="8"/>
    </row>
    <row r="102" spans="1:14" x14ac:dyDescent="0.25">
      <c r="A102" s="16"/>
      <c r="B102" s="25" t="s">
        <v>24</v>
      </c>
      <c r="C102" s="71">
        <v>85000</v>
      </c>
      <c r="D102" s="71">
        <v>61000</v>
      </c>
      <c r="E102" s="71">
        <v>647000</v>
      </c>
      <c r="F102" s="71">
        <v>443000</v>
      </c>
      <c r="G102" s="73" t="s">
        <v>0</v>
      </c>
      <c r="H102" s="56"/>
      <c r="I102" s="56"/>
      <c r="J102" s="63"/>
      <c r="K102" s="56"/>
      <c r="L102" s="63"/>
      <c r="M102" s="8"/>
      <c r="N102" s="8"/>
    </row>
    <row r="103" spans="1:14" x14ac:dyDescent="0.25">
      <c r="A103" s="16"/>
      <c r="B103" s="25" t="s">
        <v>23</v>
      </c>
      <c r="C103" s="71">
        <v>1097000</v>
      </c>
      <c r="D103" s="71">
        <v>1725000</v>
      </c>
      <c r="E103" s="71">
        <v>2552000</v>
      </c>
      <c r="F103" s="71">
        <v>4120000</v>
      </c>
      <c r="G103" s="71">
        <v>199000</v>
      </c>
      <c r="H103" s="56"/>
      <c r="I103" s="56"/>
      <c r="J103" s="63"/>
      <c r="K103" s="56"/>
      <c r="L103" s="63"/>
      <c r="M103" s="8"/>
      <c r="N103" s="8"/>
    </row>
    <row r="104" spans="1:14" x14ac:dyDescent="0.25">
      <c r="A104" s="16"/>
      <c r="B104" s="25" t="s">
        <v>22</v>
      </c>
      <c r="C104" s="73" t="s">
        <v>0</v>
      </c>
      <c r="D104" s="71">
        <v>999000</v>
      </c>
      <c r="E104" s="73" t="s">
        <v>0</v>
      </c>
      <c r="F104" s="71">
        <v>1250000</v>
      </c>
      <c r="G104" s="71">
        <v>1250000</v>
      </c>
      <c r="H104" s="56"/>
      <c r="I104" s="56"/>
      <c r="J104" s="63"/>
      <c r="K104" s="56"/>
      <c r="L104" s="63"/>
      <c r="M104" s="8"/>
      <c r="N104" s="8"/>
    </row>
    <row r="105" spans="1:14" x14ac:dyDescent="0.25">
      <c r="A105" s="16" t="s">
        <v>89</v>
      </c>
      <c r="B105" s="23" t="s">
        <v>21</v>
      </c>
      <c r="C105" s="70">
        <v>1784000</v>
      </c>
      <c r="D105" s="70">
        <v>3925000</v>
      </c>
      <c r="E105" s="70">
        <v>4335000</v>
      </c>
      <c r="F105" s="70">
        <v>6563000</v>
      </c>
      <c r="G105" s="70">
        <v>10631000</v>
      </c>
      <c r="H105" s="56"/>
      <c r="I105" s="56"/>
      <c r="J105" s="63"/>
      <c r="K105" s="56"/>
      <c r="L105" s="63"/>
      <c r="M105" s="8"/>
      <c r="N105" s="8"/>
    </row>
    <row r="106" spans="1:14" x14ac:dyDescent="0.25">
      <c r="A106" s="16"/>
      <c r="B106" s="25" t="s">
        <v>20</v>
      </c>
      <c r="C106" s="71">
        <v>2000000</v>
      </c>
      <c r="D106" s="71">
        <v>6963000</v>
      </c>
      <c r="E106" s="71">
        <v>11000000</v>
      </c>
      <c r="F106" s="71">
        <v>11000000</v>
      </c>
      <c r="G106" s="71">
        <v>8459000</v>
      </c>
      <c r="H106" s="56"/>
      <c r="I106" s="56"/>
      <c r="J106" s="63"/>
      <c r="K106" s="56"/>
      <c r="L106" s="63"/>
      <c r="M106" s="8"/>
      <c r="N106" s="8"/>
    </row>
    <row r="107" spans="1:14" x14ac:dyDescent="0.25">
      <c r="A107" s="16"/>
      <c r="B107" s="25" t="s">
        <v>19</v>
      </c>
      <c r="C107" s="71">
        <v>-9000</v>
      </c>
      <c r="D107" s="71">
        <v>-999000</v>
      </c>
      <c r="E107" s="71">
        <v>-54000</v>
      </c>
      <c r="F107" s="71">
        <v>-47000</v>
      </c>
      <c r="G107" s="73" t="s">
        <v>0</v>
      </c>
      <c r="H107" s="56"/>
      <c r="I107" s="56"/>
      <c r="J107" s="63"/>
      <c r="K107" s="56"/>
      <c r="L107" s="63"/>
      <c r="M107" s="8"/>
      <c r="N107" s="8"/>
    </row>
    <row r="108" spans="1:14" x14ac:dyDescent="0.25">
      <c r="A108" s="16"/>
      <c r="B108" s="25" t="s">
        <v>18</v>
      </c>
      <c r="C108" s="73" t="s">
        <v>0</v>
      </c>
      <c r="D108" s="73" t="s">
        <v>0</v>
      </c>
      <c r="E108" s="73" t="s">
        <v>0</v>
      </c>
      <c r="F108" s="71">
        <v>-1250000</v>
      </c>
      <c r="G108" s="73" t="s">
        <v>0</v>
      </c>
      <c r="H108" s="56"/>
      <c r="I108" s="56"/>
      <c r="J108" s="63"/>
      <c r="K108" s="56"/>
      <c r="L108" s="63"/>
      <c r="M108" s="8"/>
      <c r="N108" s="8"/>
    </row>
    <row r="109" spans="1:14" x14ac:dyDescent="0.25">
      <c r="A109" s="16"/>
      <c r="B109" s="25" t="s">
        <v>17</v>
      </c>
      <c r="C109" s="71">
        <v>1991000</v>
      </c>
      <c r="D109" s="71">
        <v>5964000</v>
      </c>
      <c r="E109" s="71">
        <v>10946000</v>
      </c>
      <c r="F109" s="71">
        <v>9703000</v>
      </c>
      <c r="G109" s="73" t="s">
        <v>0</v>
      </c>
      <c r="H109" s="56"/>
      <c r="I109" s="56"/>
      <c r="J109" s="63"/>
      <c r="K109" s="56"/>
      <c r="L109" s="63"/>
      <c r="M109" s="8"/>
      <c r="N109" s="8"/>
    </row>
    <row r="110" spans="1:14" x14ac:dyDescent="0.25">
      <c r="A110" s="16"/>
      <c r="B110" s="25" t="s">
        <v>16</v>
      </c>
      <c r="C110" s="71">
        <v>561000</v>
      </c>
      <c r="D110" s="71">
        <v>634000</v>
      </c>
      <c r="E110" s="71">
        <v>741000</v>
      </c>
      <c r="F110" s="71">
        <v>902000</v>
      </c>
      <c r="G110" s="71">
        <v>1119000</v>
      </c>
      <c r="H110" s="56"/>
      <c r="I110" s="56"/>
      <c r="J110" s="63"/>
      <c r="K110" s="56"/>
      <c r="L110" s="63"/>
      <c r="M110" s="8"/>
      <c r="N110" s="8"/>
    </row>
    <row r="111" spans="1:14" x14ac:dyDescent="0.25">
      <c r="A111" s="16"/>
      <c r="B111" s="25" t="s">
        <v>15</v>
      </c>
      <c r="C111" s="71">
        <v>528000</v>
      </c>
      <c r="D111" s="71">
        <v>836000</v>
      </c>
      <c r="E111" s="71">
        <v>980000</v>
      </c>
      <c r="F111" s="71">
        <v>1204000</v>
      </c>
      <c r="G111" s="71">
        <v>1361000</v>
      </c>
      <c r="H111" s="56"/>
      <c r="I111" s="56"/>
      <c r="J111" s="63"/>
      <c r="K111" s="56"/>
      <c r="L111" s="63"/>
      <c r="M111" s="8"/>
      <c r="N111" s="8"/>
    </row>
    <row r="112" spans="1:14" x14ac:dyDescent="0.25">
      <c r="A112" s="16"/>
      <c r="B112" s="25" t="s">
        <v>14</v>
      </c>
      <c r="C112" s="73" t="s">
        <v>0</v>
      </c>
      <c r="D112" s="71">
        <v>241000</v>
      </c>
      <c r="E112" s="71">
        <v>245000</v>
      </c>
      <c r="F112" s="71">
        <v>247000</v>
      </c>
      <c r="G112" s="71">
        <v>462000</v>
      </c>
      <c r="H112" s="56"/>
      <c r="I112" s="56"/>
      <c r="J112" s="63"/>
      <c r="K112" s="56"/>
      <c r="L112" s="63"/>
      <c r="M112" s="8"/>
      <c r="N112" s="8"/>
    </row>
    <row r="113" spans="1:14" x14ac:dyDescent="0.25">
      <c r="A113" s="16"/>
      <c r="B113" s="25" t="s">
        <v>13</v>
      </c>
      <c r="C113" s="71">
        <v>60000</v>
      </c>
      <c r="D113" s="71">
        <v>163000</v>
      </c>
      <c r="E113" s="71">
        <v>202000</v>
      </c>
      <c r="F113" s="71">
        <v>218000</v>
      </c>
      <c r="G113" s="71">
        <v>573000</v>
      </c>
      <c r="H113" s="56"/>
      <c r="I113" s="56"/>
      <c r="J113" s="63"/>
      <c r="K113" s="56"/>
      <c r="L113" s="63"/>
      <c r="M113" s="8"/>
      <c r="N113" s="8"/>
    </row>
    <row r="114" spans="1:14" x14ac:dyDescent="0.25">
      <c r="A114" s="16"/>
      <c r="B114" s="25" t="s">
        <v>12</v>
      </c>
      <c r="C114" s="71">
        <v>110000</v>
      </c>
      <c r="D114" s="71">
        <v>56000</v>
      </c>
      <c r="E114" s="73">
        <v>0</v>
      </c>
      <c r="F114" s="71">
        <v>181000</v>
      </c>
      <c r="G114" s="71">
        <v>80000</v>
      </c>
      <c r="H114" s="56"/>
      <c r="I114" s="56"/>
      <c r="J114" s="63"/>
      <c r="K114" s="56"/>
      <c r="L114" s="63"/>
      <c r="M114" s="8"/>
      <c r="N114" s="8"/>
    </row>
    <row r="115" spans="1:14" x14ac:dyDescent="0.25">
      <c r="A115" s="16"/>
      <c r="B115" s="25" t="s">
        <v>11</v>
      </c>
      <c r="C115" s="71">
        <v>29000</v>
      </c>
      <c r="D115" s="73">
        <v>0</v>
      </c>
      <c r="E115" s="73">
        <v>0</v>
      </c>
      <c r="F115" s="73">
        <v>0</v>
      </c>
      <c r="G115" s="73">
        <v>0</v>
      </c>
      <c r="H115" s="56"/>
      <c r="I115" s="56"/>
      <c r="J115" s="63"/>
      <c r="K115" s="56"/>
      <c r="L115" s="63"/>
      <c r="M115" s="8"/>
      <c r="N115" s="8"/>
    </row>
    <row r="116" spans="1:14" x14ac:dyDescent="0.25">
      <c r="A116" s="16"/>
      <c r="B116" s="25" t="s">
        <v>10</v>
      </c>
      <c r="C116" s="71">
        <v>22000</v>
      </c>
      <c r="D116" s="71">
        <v>33000</v>
      </c>
      <c r="E116" s="73">
        <v>0</v>
      </c>
      <c r="F116" s="73">
        <v>0</v>
      </c>
      <c r="G116" s="73">
        <v>0</v>
      </c>
      <c r="H116" s="56"/>
      <c r="I116" s="56"/>
      <c r="J116" s="63"/>
      <c r="K116" s="56"/>
      <c r="L116" s="63"/>
      <c r="M116" s="8"/>
      <c r="N116" s="8"/>
    </row>
    <row r="117" spans="1:14" x14ac:dyDescent="0.25">
      <c r="A117" s="16"/>
      <c r="B117" s="25" t="s">
        <v>9</v>
      </c>
      <c r="C117" s="71">
        <v>26000</v>
      </c>
      <c r="D117" s="71">
        <v>46000</v>
      </c>
      <c r="E117" s="71">
        <v>126000</v>
      </c>
      <c r="F117" s="71">
        <v>63000</v>
      </c>
      <c r="G117" s="73">
        <v>0</v>
      </c>
      <c r="H117" s="56"/>
      <c r="I117" s="56"/>
      <c r="J117" s="63"/>
      <c r="K117" s="56"/>
      <c r="L117" s="63"/>
      <c r="M117" s="8"/>
      <c r="N117" s="8"/>
    </row>
    <row r="118" spans="1:14" x14ac:dyDescent="0.25">
      <c r="A118" s="16"/>
      <c r="B118" s="25" t="s">
        <v>9</v>
      </c>
      <c r="C118" s="71">
        <v>775000</v>
      </c>
      <c r="D118" s="71">
        <v>1375000</v>
      </c>
      <c r="E118" s="71">
        <v>1553000</v>
      </c>
      <c r="F118" s="71">
        <v>1913000</v>
      </c>
      <c r="G118" s="71">
        <v>2541000</v>
      </c>
      <c r="H118" s="56"/>
      <c r="I118" s="56"/>
      <c r="J118" s="63"/>
      <c r="K118" s="56"/>
      <c r="L118" s="63"/>
      <c r="M118" s="8"/>
      <c r="N118" s="8"/>
    </row>
    <row r="119" spans="1:14" x14ac:dyDescent="0.25">
      <c r="A119" s="16"/>
      <c r="B119" s="25" t="s">
        <v>8</v>
      </c>
      <c r="C119" s="73">
        <v>0</v>
      </c>
      <c r="D119" s="73">
        <v>0</v>
      </c>
      <c r="E119" s="73">
        <v>0</v>
      </c>
      <c r="F119" s="73">
        <v>0</v>
      </c>
      <c r="G119" s="71">
        <v>65000</v>
      </c>
      <c r="H119" s="56"/>
      <c r="I119" s="56"/>
      <c r="J119" s="63"/>
      <c r="K119" s="56"/>
      <c r="L119" s="63"/>
      <c r="M119" s="8"/>
      <c r="N119" s="8"/>
    </row>
    <row r="120" spans="1:14" x14ac:dyDescent="0.25">
      <c r="A120" s="16" t="s">
        <v>89</v>
      </c>
      <c r="B120" s="23" t="s">
        <v>7</v>
      </c>
      <c r="C120" s="70">
        <v>5111000</v>
      </c>
      <c r="D120" s="70">
        <v>11898000</v>
      </c>
      <c r="E120" s="70">
        <v>17575000</v>
      </c>
      <c r="F120" s="70">
        <v>19081000</v>
      </c>
      <c r="G120" s="70">
        <v>22750000</v>
      </c>
      <c r="H120" s="56"/>
      <c r="I120" s="56"/>
      <c r="J120" s="63"/>
      <c r="K120" s="56"/>
      <c r="L120" s="63"/>
      <c r="M120" s="8"/>
      <c r="N120" s="8"/>
    </row>
    <row r="121" spans="1:14" x14ac:dyDescent="0.25">
      <c r="A121" s="16"/>
      <c r="B121" s="25" t="s">
        <v>6</v>
      </c>
      <c r="C121" s="71">
        <v>1000</v>
      </c>
      <c r="D121" s="71">
        <v>1000</v>
      </c>
      <c r="E121" s="71">
        <v>3000</v>
      </c>
      <c r="F121" s="71">
        <v>2000</v>
      </c>
      <c r="G121" s="71">
        <v>2000</v>
      </c>
      <c r="H121" s="56"/>
      <c r="I121" s="56"/>
      <c r="J121" s="63"/>
      <c r="K121" s="56"/>
      <c r="L121" s="63"/>
      <c r="M121" s="8"/>
      <c r="N121" s="8"/>
    </row>
    <row r="122" spans="1:14" x14ac:dyDescent="0.25">
      <c r="A122" s="16"/>
      <c r="B122" s="25" t="s">
        <v>5</v>
      </c>
      <c r="C122" s="71">
        <v>7045000</v>
      </c>
      <c r="D122" s="71">
        <v>8721000</v>
      </c>
      <c r="E122" s="71">
        <v>10385000</v>
      </c>
      <c r="F122" s="71">
        <v>11971000</v>
      </c>
      <c r="G122" s="71">
        <v>13132000</v>
      </c>
      <c r="H122" s="56"/>
      <c r="I122" s="56"/>
      <c r="J122" s="63"/>
      <c r="K122" s="56"/>
      <c r="L122" s="63"/>
      <c r="M122" s="8"/>
      <c r="N122" s="8"/>
    </row>
    <row r="123" spans="1:14" x14ac:dyDescent="0.25">
      <c r="A123" s="16"/>
      <c r="B123" s="25" t="s">
        <v>4</v>
      </c>
      <c r="C123" s="71">
        <v>9814000</v>
      </c>
      <c r="D123" s="71">
        <v>10756000</v>
      </c>
      <c r="E123" s="73">
        <v>0</v>
      </c>
      <c r="F123" s="73">
        <v>0</v>
      </c>
      <c r="G123" s="73">
        <v>0</v>
      </c>
      <c r="H123" s="56"/>
      <c r="I123" s="56"/>
      <c r="J123" s="63"/>
      <c r="K123" s="56"/>
      <c r="L123" s="63"/>
      <c r="M123" s="8"/>
      <c r="N123" s="8"/>
    </row>
    <row r="124" spans="1:14" x14ac:dyDescent="0.25">
      <c r="A124" s="16"/>
      <c r="B124" s="25" t="s">
        <v>3</v>
      </c>
      <c r="C124" s="71">
        <v>1000</v>
      </c>
      <c r="D124" s="71">
        <v>19000</v>
      </c>
      <c r="E124" s="71">
        <v>-11000</v>
      </c>
      <c r="F124" s="71">
        <v>-43000</v>
      </c>
      <c r="G124" s="71">
        <v>27000</v>
      </c>
      <c r="H124" s="56"/>
      <c r="I124" s="56"/>
      <c r="J124" s="63"/>
      <c r="K124" s="56"/>
      <c r="L124" s="63"/>
      <c r="M124" s="8"/>
      <c r="N124" s="8"/>
    </row>
    <row r="125" spans="1:14" x14ac:dyDescent="0.25">
      <c r="A125" s="16"/>
      <c r="B125" s="25" t="s">
        <v>2</v>
      </c>
      <c r="C125" s="71">
        <v>14971000</v>
      </c>
      <c r="D125" s="71">
        <v>18908000</v>
      </c>
      <c r="E125" s="71">
        <v>16235000</v>
      </c>
      <c r="F125" s="71">
        <v>10171000</v>
      </c>
      <c r="G125" s="71">
        <v>29817000</v>
      </c>
      <c r="H125" s="56"/>
      <c r="I125" s="56"/>
      <c r="J125" s="63"/>
      <c r="K125" s="56"/>
      <c r="L125" s="63"/>
      <c r="M125" s="8"/>
      <c r="N125" s="8"/>
    </row>
    <row r="126" spans="1:14" x14ac:dyDescent="0.25">
      <c r="A126" s="16"/>
      <c r="B126" s="23" t="s">
        <v>1</v>
      </c>
      <c r="C126" s="70">
        <v>31832000</v>
      </c>
      <c r="D126" s="70">
        <v>38405000</v>
      </c>
      <c r="E126" s="70">
        <v>26612000</v>
      </c>
      <c r="F126" s="70">
        <v>22101000</v>
      </c>
      <c r="G126" s="70">
        <v>42978000</v>
      </c>
      <c r="H126" s="56"/>
      <c r="I126" s="56"/>
      <c r="J126" s="63"/>
      <c r="K126" s="56"/>
      <c r="L126" s="63"/>
      <c r="M126" s="8"/>
      <c r="N126" s="8"/>
    </row>
    <row r="127" spans="1:14" x14ac:dyDescent="0.25">
      <c r="A127" s="16"/>
      <c r="B127" s="30" t="s">
        <v>162</v>
      </c>
      <c r="C127" s="75">
        <v>0.47</v>
      </c>
      <c r="D127" s="75">
        <v>0.56999999999999995</v>
      </c>
      <c r="E127" s="75">
        <v>1</v>
      </c>
      <c r="F127" s="75">
        <v>1</v>
      </c>
      <c r="G127" s="75">
        <v>1</v>
      </c>
      <c r="H127" s="56"/>
      <c r="I127" s="56"/>
      <c r="J127" s="63"/>
      <c r="K127" s="56"/>
      <c r="L127" s="63"/>
      <c r="M127" s="8"/>
      <c r="N127" s="8"/>
    </row>
    <row r="128" spans="1:14" x14ac:dyDescent="0.25">
      <c r="A128" s="16"/>
      <c r="B128" s="8"/>
      <c r="C128" s="18"/>
      <c r="D128" s="18"/>
      <c r="E128" s="18"/>
      <c r="F128" s="18"/>
      <c r="G128" s="18"/>
      <c r="H128" s="8"/>
      <c r="I128" s="8"/>
      <c r="J128" s="8"/>
      <c r="K128" s="8"/>
      <c r="L128" s="8"/>
      <c r="M128" s="8"/>
      <c r="N128" s="8"/>
    </row>
    <row r="129" spans="1:14" hidden="1" outlineLevel="1" x14ac:dyDescent="0.25">
      <c r="A129" s="16"/>
      <c r="B129" s="10" t="s">
        <v>161</v>
      </c>
      <c r="C129" s="18"/>
      <c r="D129" s="18"/>
      <c r="E129" s="18"/>
      <c r="F129" s="18"/>
      <c r="G129" s="18"/>
      <c r="H129" s="8"/>
      <c r="I129" s="8"/>
      <c r="J129" s="8"/>
      <c r="K129" s="8"/>
      <c r="L129" s="8"/>
      <c r="M129" s="8"/>
      <c r="N129" s="8"/>
    </row>
    <row r="130" spans="1:14" hidden="1" outlineLevel="1" x14ac:dyDescent="0.25">
      <c r="A130" s="16"/>
      <c r="B130" s="11" t="s">
        <v>79</v>
      </c>
      <c r="C130" s="17">
        <f>+C8</f>
        <v>2019</v>
      </c>
      <c r="D130" s="17">
        <f>+D8</f>
        <v>2020</v>
      </c>
      <c r="E130" s="17">
        <f>+E8</f>
        <v>2021</v>
      </c>
      <c r="F130" s="17">
        <f>+F8</f>
        <v>2022</v>
      </c>
      <c r="G130" s="17">
        <f>+G8</f>
        <v>2023</v>
      </c>
      <c r="H130" s="8"/>
      <c r="I130" s="8"/>
      <c r="J130" s="13"/>
      <c r="K130" s="8"/>
      <c r="L130" s="13"/>
      <c r="M130" s="8"/>
      <c r="N130" s="8"/>
    </row>
    <row r="131" spans="1:14" hidden="1" outlineLevel="1" x14ac:dyDescent="0.25">
      <c r="A131" s="16"/>
      <c r="B131" s="11" t="s">
        <v>78</v>
      </c>
      <c r="C131" s="17" t="s">
        <v>77</v>
      </c>
      <c r="D131" s="17" t="s">
        <v>77</v>
      </c>
      <c r="E131" s="17" t="s">
        <v>77</v>
      </c>
      <c r="F131" s="17" t="s">
        <v>77</v>
      </c>
      <c r="G131" s="17" t="s">
        <v>77</v>
      </c>
      <c r="H131" s="8"/>
      <c r="I131" s="8"/>
      <c r="J131" s="13"/>
      <c r="K131" s="8"/>
      <c r="L131" s="13"/>
      <c r="M131" s="8"/>
      <c r="N131" s="8"/>
    </row>
    <row r="132" spans="1:14" hidden="1" outlineLevel="1" x14ac:dyDescent="0.25">
      <c r="A132" s="16"/>
      <c r="B132" s="11" t="s">
        <v>76</v>
      </c>
      <c r="C132" s="17" t="s">
        <v>75</v>
      </c>
      <c r="D132" s="17" t="s">
        <v>75</v>
      </c>
      <c r="E132" s="17" t="s">
        <v>75</v>
      </c>
      <c r="F132" s="17" t="s">
        <v>75</v>
      </c>
      <c r="G132" s="17" t="s">
        <v>75</v>
      </c>
      <c r="H132" s="8"/>
      <c r="I132" s="8"/>
      <c r="J132" s="13"/>
      <c r="K132" s="8"/>
      <c r="L132" s="13"/>
      <c r="M132" s="8"/>
      <c r="N132" s="8"/>
    </row>
    <row r="133" spans="1:14" hidden="1" outlineLevel="1" x14ac:dyDescent="0.25">
      <c r="A133" s="16"/>
      <c r="B133" s="11" t="s">
        <v>74</v>
      </c>
      <c r="C133" s="17" t="s">
        <v>73</v>
      </c>
      <c r="D133" s="17" t="s">
        <v>73</v>
      </c>
      <c r="E133" s="17" t="s">
        <v>73</v>
      </c>
      <c r="F133" s="17" t="s">
        <v>73</v>
      </c>
      <c r="G133" s="17" t="s">
        <v>73</v>
      </c>
      <c r="H133" s="8"/>
      <c r="I133" s="8"/>
      <c r="J133" s="13"/>
      <c r="K133" s="8"/>
      <c r="L133" s="13"/>
      <c r="M133" s="8"/>
      <c r="N133" s="8"/>
    </row>
    <row r="134" spans="1:14" hidden="1" outlineLevel="1" x14ac:dyDescent="0.25">
      <c r="A134" s="16"/>
      <c r="B134" s="11" t="s">
        <v>72</v>
      </c>
      <c r="C134" s="17" t="s">
        <v>71</v>
      </c>
      <c r="D134" s="17" t="s">
        <v>71</v>
      </c>
      <c r="E134" s="17" t="s">
        <v>71</v>
      </c>
      <c r="F134" s="17" t="s">
        <v>71</v>
      </c>
      <c r="G134" s="17" t="s">
        <v>71</v>
      </c>
      <c r="H134" s="8"/>
      <c r="I134" s="8"/>
      <c r="J134" s="13"/>
      <c r="K134" s="8"/>
      <c r="L134" s="13"/>
      <c r="M134" s="8"/>
      <c r="N134" s="8"/>
    </row>
    <row r="135" spans="1:14" collapsed="1" x14ac:dyDescent="0.25">
      <c r="A135" s="16"/>
      <c r="B135" s="15" t="s">
        <v>164</v>
      </c>
      <c r="C135" s="76"/>
      <c r="D135" s="58">
        <v>6696000</v>
      </c>
      <c r="E135" s="77">
        <v>10613000</v>
      </c>
      <c r="F135" s="77">
        <v>15005000</v>
      </c>
      <c r="G135" s="77">
        <v>47525000</v>
      </c>
      <c r="H135" s="58">
        <f>+G135*(1+H22)</f>
        <v>49901250</v>
      </c>
      <c r="I135" s="58">
        <f>+H135*(1+I22)</f>
        <v>52396312.5</v>
      </c>
      <c r="J135" s="58">
        <f>+I135*(1+J22)</f>
        <v>55016128.125</v>
      </c>
      <c r="K135" s="58">
        <f>+J135*(1+K22)</f>
        <v>57766934.53125</v>
      </c>
      <c r="L135" s="58">
        <f>+K135*(1+L22)</f>
        <v>60655281.2578125</v>
      </c>
      <c r="M135" s="8"/>
      <c r="N135" s="8"/>
    </row>
    <row r="136" spans="1:14" x14ac:dyDescent="0.25">
      <c r="A136" s="16"/>
      <c r="B136" s="15" t="s">
        <v>165</v>
      </c>
      <c r="C136" s="76"/>
      <c r="D136" s="58">
        <v>7759000</v>
      </c>
      <c r="E136" s="77">
        <v>12462000</v>
      </c>
      <c r="F136" s="77">
        <v>9067000</v>
      </c>
      <c r="G136" s="77">
        <v>10447000</v>
      </c>
      <c r="H136" s="58">
        <f>+G136*(1+H23)</f>
        <v>10551470</v>
      </c>
      <c r="I136" s="58">
        <f>+H136*(1+I23)</f>
        <v>10656984.699999999</v>
      </c>
      <c r="J136" s="58">
        <f>+I136*(1+J23)</f>
        <v>10763554.547</v>
      </c>
      <c r="K136" s="58">
        <f>+J136*(1+K23)</f>
        <v>10871190.09247</v>
      </c>
      <c r="L136" s="58">
        <f>+K136*(1+L23)</f>
        <v>10979901.993394699</v>
      </c>
      <c r="M136" s="8"/>
      <c r="N136" s="8"/>
    </row>
    <row r="137" spans="1:14" x14ac:dyDescent="0.25">
      <c r="A137" s="16"/>
      <c r="B137" s="15" t="s">
        <v>192</v>
      </c>
      <c r="C137" s="76"/>
      <c r="D137" s="77">
        <v>1053000</v>
      </c>
      <c r="E137" s="77">
        <v>2111000</v>
      </c>
      <c r="F137" s="77">
        <v>1544000</v>
      </c>
      <c r="G137" s="77">
        <v>1553000</v>
      </c>
      <c r="H137" s="58">
        <f>+G137*(1+H24)</f>
        <v>1584060</v>
      </c>
      <c r="I137" s="58">
        <f>+H137*(1+I24)</f>
        <v>1615741.2</v>
      </c>
      <c r="J137" s="58">
        <f>+I137*(1+J24)</f>
        <v>1648056.024</v>
      </c>
      <c r="K137" s="58">
        <f>+J137*(1+K24)</f>
        <v>1681017.14448</v>
      </c>
      <c r="L137" s="58">
        <f>+K137*(1+L24)</f>
        <v>1714637.4873696</v>
      </c>
      <c r="M137" s="8"/>
      <c r="N137" s="8"/>
    </row>
    <row r="138" spans="1:14" x14ac:dyDescent="0.25">
      <c r="A138" s="16"/>
      <c r="B138" s="15" t="s">
        <v>178</v>
      </c>
      <c r="C138" s="76"/>
      <c r="D138" s="77">
        <v>536000</v>
      </c>
      <c r="E138" s="77">
        <v>566000</v>
      </c>
      <c r="F138" s="77">
        <v>903000</v>
      </c>
      <c r="G138" s="77">
        <v>1091000</v>
      </c>
      <c r="H138" s="58">
        <f>+G138*(1+H25)</f>
        <v>1123730</v>
      </c>
      <c r="I138" s="58">
        <f>+H138*(1+I25)</f>
        <v>1157441.9000000001</v>
      </c>
      <c r="J138" s="58">
        <f>+I138*(1+J25)</f>
        <v>1192165.1570000001</v>
      </c>
      <c r="K138" s="58">
        <f>+J138*(1+K25)</f>
        <v>1227930.1117100001</v>
      </c>
      <c r="L138" s="58">
        <f>+K138*(1+L25)</f>
        <v>1264768.0150613</v>
      </c>
      <c r="M138" s="8"/>
      <c r="N138" s="8"/>
    </row>
    <row r="139" spans="1:14" x14ac:dyDescent="0.25">
      <c r="A139" s="16"/>
      <c r="B139" s="15" t="s">
        <v>193</v>
      </c>
      <c r="C139" s="76"/>
      <c r="D139" s="77">
        <v>631000</v>
      </c>
      <c r="E139" s="77">
        <v>1162000</v>
      </c>
      <c r="F139" s="77">
        <v>455000</v>
      </c>
      <c r="G139" s="77">
        <v>306000</v>
      </c>
      <c r="H139" s="58">
        <f>+G139*(1+H26)</f>
        <v>307529.99999999994</v>
      </c>
      <c r="I139" s="58">
        <f>+H139*(1+I26)</f>
        <v>309067.64999999991</v>
      </c>
      <c r="J139" s="58">
        <f>+I139*(1+J26)</f>
        <v>310612.98824999988</v>
      </c>
      <c r="K139" s="58">
        <f>+J139*(1+K26)</f>
        <v>312166.05319124984</v>
      </c>
      <c r="L139" s="58">
        <f>+K139*(1+L26)</f>
        <v>313726.88345720607</v>
      </c>
      <c r="M139" s="8"/>
    </row>
    <row r="140" spans="1:14" x14ac:dyDescent="0.25">
      <c r="A140" s="16"/>
      <c r="B140" s="15"/>
      <c r="C140" s="76"/>
      <c r="D140" s="76"/>
      <c r="E140" s="76"/>
      <c r="F140" s="76"/>
      <c r="G140" s="76"/>
      <c r="H140" s="69"/>
      <c r="I140" s="70"/>
      <c r="J140" s="78"/>
      <c r="K140" s="56"/>
      <c r="L140" s="78"/>
      <c r="M140" s="8"/>
    </row>
    <row r="141" spans="1:14" x14ac:dyDescent="0.25">
      <c r="A141" s="16" t="s">
        <v>89</v>
      </c>
      <c r="B141" s="9" t="s">
        <v>160</v>
      </c>
      <c r="C141" s="70">
        <v>10918000</v>
      </c>
      <c r="D141" s="70">
        <f t="shared" ref="D141:E141" si="22">+SUM(D135:D139)</f>
        <v>16675000</v>
      </c>
      <c r="E141" s="70">
        <f t="shared" si="22"/>
        <v>26914000</v>
      </c>
      <c r="F141" s="70">
        <f>+SUM(F135:F139)</f>
        <v>26974000</v>
      </c>
      <c r="G141" s="70">
        <f>+SUM(G135:G139)</f>
        <v>60922000</v>
      </c>
      <c r="H141" s="79">
        <f>+SUM(H135:H139)</f>
        <v>63468040</v>
      </c>
      <c r="I141" s="79">
        <f t="shared" ref="I141:L141" si="23">+SUM(I135:I139)</f>
        <v>66135547.950000003</v>
      </c>
      <c r="J141" s="79">
        <f t="shared" si="23"/>
        <v>68930516.841250002</v>
      </c>
      <c r="K141" s="79">
        <f t="shared" si="23"/>
        <v>71859237.933101252</v>
      </c>
      <c r="L141" s="79">
        <f t="shared" si="23"/>
        <v>74928315.637095302</v>
      </c>
      <c r="M141" s="8"/>
    </row>
    <row r="142" spans="1:14" ht="17.25" x14ac:dyDescent="0.4">
      <c r="A142" s="16"/>
      <c r="B142" s="7" t="s">
        <v>159</v>
      </c>
      <c r="C142" s="80">
        <v>4150000</v>
      </c>
      <c r="D142" s="80">
        <v>6279000</v>
      </c>
      <c r="E142" s="80">
        <v>9439000</v>
      </c>
      <c r="F142" s="80">
        <v>11618000</v>
      </c>
      <c r="G142" s="80">
        <v>16621000</v>
      </c>
      <c r="H142" s="80">
        <f>+H141*(1-H45)</f>
        <v>25387216</v>
      </c>
      <c r="I142" s="80">
        <f t="shared" ref="I142:L142" si="24">+H142*(1-I45)</f>
        <v>10154886.4</v>
      </c>
      <c r="J142" s="80">
        <f t="shared" si="24"/>
        <v>4061954.5600000005</v>
      </c>
      <c r="K142" s="80">
        <f t="shared" si="24"/>
        <v>1624781.8240000003</v>
      </c>
      <c r="L142" s="80">
        <f t="shared" si="24"/>
        <v>649912.7296000002</v>
      </c>
      <c r="M142" s="8"/>
    </row>
    <row r="143" spans="1:14" x14ac:dyDescent="0.25">
      <c r="A143" s="16"/>
      <c r="B143" s="9" t="s">
        <v>158</v>
      </c>
      <c r="C143" s="70">
        <v>6768000</v>
      </c>
      <c r="D143" s="70">
        <v>10396000</v>
      </c>
      <c r="E143" s="70">
        <v>17475000</v>
      </c>
      <c r="F143" s="70">
        <v>15356000</v>
      </c>
      <c r="G143" s="70">
        <v>44301000</v>
      </c>
      <c r="H143" s="72">
        <f>+H141-H142</f>
        <v>38080824</v>
      </c>
      <c r="I143" s="72">
        <f t="shared" ref="I143:L143" si="25">+I141-I142</f>
        <v>55980661.550000004</v>
      </c>
      <c r="J143" s="72">
        <f t="shared" si="25"/>
        <v>64868562.28125</v>
      </c>
      <c r="K143" s="72">
        <f t="shared" si="25"/>
        <v>70234456.109101251</v>
      </c>
      <c r="L143" s="72">
        <f t="shared" si="25"/>
        <v>74278402.907495305</v>
      </c>
      <c r="M143" s="8"/>
    </row>
    <row r="144" spans="1:14" x14ac:dyDescent="0.25">
      <c r="A144" s="16"/>
      <c r="B144" s="7" t="s">
        <v>157</v>
      </c>
      <c r="C144" s="71">
        <v>2829000</v>
      </c>
      <c r="D144" s="71">
        <v>3924000</v>
      </c>
      <c r="E144" s="71">
        <v>5268000</v>
      </c>
      <c r="F144" s="71">
        <v>7339000</v>
      </c>
      <c r="G144" s="71">
        <v>8675000</v>
      </c>
      <c r="H144" s="71">
        <f>+H141*(H47)</f>
        <v>9520206</v>
      </c>
      <c r="I144" s="71">
        <f t="shared" ref="I144:L144" si="26">+I141*(I47)</f>
        <v>9920332.1925000008</v>
      </c>
      <c r="J144" s="71">
        <f t="shared" si="26"/>
        <v>10339577.5261875</v>
      </c>
      <c r="K144" s="71">
        <f t="shared" si="26"/>
        <v>10778885.689965187</v>
      </c>
      <c r="L144" s="71">
        <f t="shared" si="26"/>
        <v>11239247.345564295</v>
      </c>
      <c r="M144" s="8"/>
      <c r="N144" s="8"/>
    </row>
    <row r="145" spans="1:14" x14ac:dyDescent="0.25">
      <c r="A145" s="16"/>
      <c r="B145" s="7" t="s">
        <v>156</v>
      </c>
      <c r="C145" s="71">
        <v>1093000</v>
      </c>
      <c r="D145" s="71">
        <v>1940000</v>
      </c>
      <c r="E145" s="71">
        <v>2166000</v>
      </c>
      <c r="F145" s="71">
        <v>2440000</v>
      </c>
      <c r="G145" s="71">
        <v>2654000</v>
      </c>
      <c r="H145" s="71">
        <f>+H141*H46</f>
        <v>3173402</v>
      </c>
      <c r="I145" s="71">
        <f t="shared" ref="I145:L145" si="27">+I141*I46</f>
        <v>3306777.3975000004</v>
      </c>
      <c r="J145" s="71">
        <f t="shared" si="27"/>
        <v>3446525.8420625003</v>
      </c>
      <c r="K145" s="71">
        <f t="shared" si="27"/>
        <v>3592961.8966550627</v>
      </c>
      <c r="L145" s="71">
        <f t="shared" si="27"/>
        <v>3746415.7818547655</v>
      </c>
      <c r="M145" s="8"/>
      <c r="N145" s="8"/>
    </row>
    <row r="146" spans="1:14" ht="17.25" x14ac:dyDescent="0.4">
      <c r="A146" s="16"/>
      <c r="B146" s="7" t="s">
        <v>117</v>
      </c>
      <c r="C146" s="81">
        <v>0</v>
      </c>
      <c r="D146" s="81">
        <v>0</v>
      </c>
      <c r="E146" s="81">
        <v>0</v>
      </c>
      <c r="F146" s="80">
        <v>1353000</v>
      </c>
      <c r="G146" s="81">
        <v>0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8"/>
      <c r="N146" s="8"/>
    </row>
    <row r="147" spans="1:14" x14ac:dyDescent="0.25">
      <c r="A147" s="16" t="s">
        <v>89</v>
      </c>
      <c r="B147" s="9" t="s">
        <v>155</v>
      </c>
      <c r="C147" s="70">
        <v>3922000</v>
      </c>
      <c r="D147" s="70">
        <v>5864000</v>
      </c>
      <c r="E147" s="70">
        <v>7434000</v>
      </c>
      <c r="F147" s="70">
        <v>11132000</v>
      </c>
      <c r="G147" s="70">
        <v>11329000</v>
      </c>
      <c r="H147" s="72">
        <f>+SUM(H144:H146)</f>
        <v>12693608</v>
      </c>
      <c r="I147" s="72">
        <f t="shared" ref="I147:L147" si="28">+SUM(I144:I146)</f>
        <v>13227109.590000002</v>
      </c>
      <c r="J147" s="72">
        <f t="shared" si="28"/>
        <v>13786103.368250001</v>
      </c>
      <c r="K147" s="72">
        <f t="shared" si="28"/>
        <v>14371847.586620249</v>
      </c>
      <c r="L147" s="72">
        <f t="shared" si="28"/>
        <v>14985663.12741906</v>
      </c>
      <c r="M147" s="8"/>
      <c r="N147" s="8"/>
    </row>
    <row r="148" spans="1:14" x14ac:dyDescent="0.25">
      <c r="A148" s="16"/>
      <c r="B148" s="7" t="s">
        <v>154</v>
      </c>
      <c r="C148" s="71">
        <v>2846000</v>
      </c>
      <c r="D148" s="71">
        <v>4532000</v>
      </c>
      <c r="E148" s="71">
        <v>10041000</v>
      </c>
      <c r="F148" s="71">
        <v>4224000</v>
      </c>
      <c r="G148" s="71">
        <v>32972000</v>
      </c>
      <c r="H148" s="58">
        <f>+H143-H147</f>
        <v>25387216</v>
      </c>
      <c r="I148" s="58">
        <f t="shared" ref="I148:L148" si="29">+I143-I147</f>
        <v>42753551.960000001</v>
      </c>
      <c r="J148" s="58">
        <f t="shared" si="29"/>
        <v>51082458.913000003</v>
      </c>
      <c r="K148" s="58">
        <f t="shared" si="29"/>
        <v>55862608.522481002</v>
      </c>
      <c r="L148" s="58">
        <f t="shared" si="29"/>
        <v>59292739.780076243</v>
      </c>
      <c r="M148" s="8"/>
      <c r="N148" s="8"/>
    </row>
    <row r="149" spans="1:14" x14ac:dyDescent="0.25">
      <c r="A149" s="16"/>
      <c r="B149" s="7" t="s">
        <v>153</v>
      </c>
      <c r="C149" s="71">
        <v>178000</v>
      </c>
      <c r="D149" s="71">
        <v>57000</v>
      </c>
      <c r="E149" s="71">
        <v>29000</v>
      </c>
      <c r="F149" s="71">
        <v>267000</v>
      </c>
      <c r="G149" s="71">
        <v>866000</v>
      </c>
      <c r="H149" s="82">
        <f>+G149</f>
        <v>866000</v>
      </c>
      <c r="I149" s="82">
        <f t="shared" ref="I149:L149" si="30">+H149</f>
        <v>866000</v>
      </c>
      <c r="J149" s="82">
        <f t="shared" si="30"/>
        <v>866000</v>
      </c>
      <c r="K149" s="82">
        <f t="shared" si="30"/>
        <v>866000</v>
      </c>
      <c r="L149" s="82">
        <f t="shared" si="30"/>
        <v>866000</v>
      </c>
      <c r="M149" s="8"/>
      <c r="N149" s="8"/>
    </row>
    <row r="150" spans="1:14" x14ac:dyDescent="0.25">
      <c r="A150" s="16"/>
      <c r="B150" s="7" t="s">
        <v>152</v>
      </c>
      <c r="C150" s="71">
        <v>52000</v>
      </c>
      <c r="D150" s="71">
        <v>184000</v>
      </c>
      <c r="E150" s="71">
        <v>236000</v>
      </c>
      <c r="F150" s="71">
        <v>262000</v>
      </c>
      <c r="G150" s="71">
        <v>257000</v>
      </c>
      <c r="H150" s="71">
        <f>+'Debt Schedule'!C15</f>
        <v>513550</v>
      </c>
      <c r="I150" s="71">
        <f>+'Debt Schedule'!C16</f>
        <v>497050</v>
      </c>
      <c r="J150" s="71">
        <f>+'Debt Schedule'!C17</f>
        <v>497050</v>
      </c>
      <c r="K150" s="71">
        <f>+'Debt Schedule'!C18</f>
        <v>430850</v>
      </c>
      <c r="L150" s="71">
        <f>+'Debt Schedule'!C19</f>
        <v>410350</v>
      </c>
      <c r="M150" s="8"/>
      <c r="N150" s="8"/>
    </row>
    <row r="151" spans="1:14" x14ac:dyDescent="0.25">
      <c r="A151" s="16"/>
      <c r="B151" s="7" t="s">
        <v>151</v>
      </c>
      <c r="C151" s="71">
        <v>-2000</v>
      </c>
      <c r="D151" s="71">
        <v>4000</v>
      </c>
      <c r="E151" s="71">
        <v>107000</v>
      </c>
      <c r="F151" s="71">
        <v>-48000</v>
      </c>
      <c r="G151" s="71">
        <v>237000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8"/>
      <c r="N151" s="8"/>
    </row>
    <row r="152" spans="1:14" x14ac:dyDescent="0.25">
      <c r="A152" s="16"/>
      <c r="B152" s="7" t="s">
        <v>150</v>
      </c>
      <c r="C152" s="71">
        <v>124000</v>
      </c>
      <c r="D152" s="71">
        <v>-123000</v>
      </c>
      <c r="E152" s="71">
        <v>-100000</v>
      </c>
      <c r="F152" s="71">
        <v>-43000</v>
      </c>
      <c r="G152" s="71">
        <f>+G149-G150+G151</f>
        <v>846000</v>
      </c>
      <c r="H152" s="71">
        <f t="shared" ref="H152:L152" si="31">+H149-H150+H151</f>
        <v>352450</v>
      </c>
      <c r="I152" s="71">
        <f t="shared" si="31"/>
        <v>368950</v>
      </c>
      <c r="J152" s="71">
        <f t="shared" si="31"/>
        <v>368950</v>
      </c>
      <c r="K152" s="71">
        <f t="shared" si="31"/>
        <v>435150</v>
      </c>
      <c r="L152" s="71">
        <f t="shared" si="31"/>
        <v>455650</v>
      </c>
      <c r="M152" s="8"/>
      <c r="N152" s="8"/>
    </row>
    <row r="153" spans="1:14" x14ac:dyDescent="0.25">
      <c r="A153" s="16"/>
      <c r="B153" s="7" t="s">
        <v>149</v>
      </c>
      <c r="C153" s="71">
        <v>620000</v>
      </c>
      <c r="D153" s="71">
        <v>1437000</v>
      </c>
      <c r="E153" s="71">
        <v>8446000</v>
      </c>
      <c r="F153" s="71">
        <v>3477000</v>
      </c>
      <c r="G153" s="73">
        <f>+G35*G155</f>
        <v>14968914.152522897</v>
      </c>
      <c r="H153" s="73">
        <f>+H155*H29</f>
        <v>11393188.558418961</v>
      </c>
      <c r="I153" s="73">
        <f t="shared" ref="I153:L153" si="32">+I155*I29</f>
        <v>19087380.385630149</v>
      </c>
      <c r="J153" s="73">
        <f t="shared" si="32"/>
        <v>22774017.477232493</v>
      </c>
      <c r="K153" s="73">
        <f t="shared" si="32"/>
        <v>24919164.773271114</v>
      </c>
      <c r="L153" s="73">
        <f t="shared" si="32"/>
        <v>26446523.075564425</v>
      </c>
      <c r="M153" s="8"/>
      <c r="N153" s="8"/>
    </row>
    <row r="154" spans="1:14" x14ac:dyDescent="0.25">
      <c r="A154" s="16"/>
      <c r="B154" s="7" t="s">
        <v>148</v>
      </c>
      <c r="C154" s="71">
        <v>2350000</v>
      </c>
      <c r="D154" s="71">
        <v>2972000</v>
      </c>
      <c r="E154" s="71">
        <v>1495000</v>
      </c>
      <c r="F154" s="71">
        <v>704000</v>
      </c>
      <c r="G154" s="73">
        <f>+G36*G155</f>
        <v>18849085.847477101</v>
      </c>
      <c r="H154" s="73">
        <f>+H155*H30</f>
        <v>14346477.441581039</v>
      </c>
      <c r="I154" s="73">
        <f t="shared" ref="I154:L154" si="33">+I155*I30</f>
        <v>24035121.574369851</v>
      </c>
      <c r="J154" s="73">
        <f t="shared" si="33"/>
        <v>28677391.435767509</v>
      </c>
      <c r="K154" s="73">
        <f t="shared" si="33"/>
        <v>31378593.749209888</v>
      </c>
      <c r="L154" s="73">
        <f t="shared" si="33"/>
        <v>33301866.704511818</v>
      </c>
      <c r="M154" s="8"/>
      <c r="N154" s="8"/>
    </row>
    <row r="155" spans="1:14" x14ac:dyDescent="0.25">
      <c r="A155" s="16"/>
      <c r="B155" s="9" t="s">
        <v>147</v>
      </c>
      <c r="C155" s="83">
        <v>2970000</v>
      </c>
      <c r="D155" s="83">
        <v>4409000</v>
      </c>
      <c r="E155" s="83">
        <v>9941000</v>
      </c>
      <c r="F155" s="83">
        <v>4181000</v>
      </c>
      <c r="G155" s="83">
        <v>33818000</v>
      </c>
      <c r="H155" s="84">
        <f>+H148+H149-H150+H151</f>
        <v>25739666</v>
      </c>
      <c r="I155" s="84">
        <f t="shared" ref="I155:L155" si="34">+I148+I149-I150+I151</f>
        <v>43122501.960000001</v>
      </c>
      <c r="J155" s="84">
        <f t="shared" si="34"/>
        <v>51451408.913000003</v>
      </c>
      <c r="K155" s="84">
        <f t="shared" si="34"/>
        <v>56297758.522481002</v>
      </c>
      <c r="L155" s="84">
        <f t="shared" si="34"/>
        <v>59748389.780076243</v>
      </c>
      <c r="M155" s="8"/>
      <c r="N155" s="8"/>
    </row>
    <row r="156" spans="1:14" x14ac:dyDescent="0.25">
      <c r="A156" s="16"/>
      <c r="B156" s="7" t="s">
        <v>146</v>
      </c>
      <c r="C156" s="71">
        <v>65000</v>
      </c>
      <c r="D156" s="71">
        <v>197000</v>
      </c>
      <c r="E156" s="71">
        <v>482000</v>
      </c>
      <c r="F156" s="71">
        <v>1703000</v>
      </c>
      <c r="G156" s="71">
        <v>5710000</v>
      </c>
      <c r="H156" s="58" cm="1">
        <f t="array" ref="H156:L156">+H153*USTax</f>
        <v>2392569.5972679816</v>
      </c>
      <c r="I156" s="58">
        <v>2392569.5972679816</v>
      </c>
      <c r="J156" s="64">
        <v>2392569.5972679816</v>
      </c>
      <c r="K156" s="58">
        <v>2392569.5972679816</v>
      </c>
      <c r="L156" s="64">
        <v>2392569.5972679816</v>
      </c>
      <c r="M156" s="8"/>
      <c r="N156" s="8"/>
    </row>
    <row r="157" spans="1:14" x14ac:dyDescent="0.25">
      <c r="A157" s="16"/>
      <c r="B157" s="7" t="s">
        <v>145</v>
      </c>
      <c r="C157" s="71">
        <v>4000</v>
      </c>
      <c r="D157" s="71">
        <v>1000</v>
      </c>
      <c r="E157" s="71">
        <v>42000</v>
      </c>
      <c r="F157" s="71">
        <v>46000</v>
      </c>
      <c r="G157" s="71">
        <v>335000</v>
      </c>
      <c r="H157" s="69">
        <f>+H155*H38</f>
        <v>254976.28807144123</v>
      </c>
      <c r="I157" s="69">
        <f t="shared" ref="I157:L157" si="35">+I155*I38</f>
        <v>427170.09156662133</v>
      </c>
      <c r="J157" s="69">
        <f t="shared" si="35"/>
        <v>509675.97095792182</v>
      </c>
      <c r="K157" s="69">
        <f t="shared" si="35"/>
        <v>557683.75140549813</v>
      </c>
      <c r="L157" s="69">
        <f t="shared" si="35"/>
        <v>591865.59158807562</v>
      </c>
      <c r="M157" s="8"/>
      <c r="N157" s="8"/>
    </row>
    <row r="158" spans="1:14" x14ac:dyDescent="0.25">
      <c r="A158" s="16"/>
      <c r="B158" s="7" t="s">
        <v>144</v>
      </c>
      <c r="C158" s="71">
        <v>87000</v>
      </c>
      <c r="D158" s="71">
        <v>161000</v>
      </c>
      <c r="E158" s="71">
        <v>71000</v>
      </c>
      <c r="F158" s="71">
        <v>228000</v>
      </c>
      <c r="G158" s="71">
        <v>502000</v>
      </c>
      <c r="H158" s="58" cm="1">
        <f t="array" ref="H158:L158">+FORTax*H43</f>
        <v>1882975.1642075113</v>
      </c>
      <c r="I158" s="58">
        <v>3154609.7066360433</v>
      </c>
      <c r="J158" s="64">
        <v>3763907.6259444859</v>
      </c>
      <c r="K158" s="58">
        <v>4118440.4295837982</v>
      </c>
      <c r="L158" s="64">
        <v>4370870.0049671764</v>
      </c>
      <c r="M158" s="8"/>
      <c r="N158" s="8"/>
    </row>
    <row r="159" spans="1:14" x14ac:dyDescent="0.25">
      <c r="A159" s="16"/>
      <c r="B159" s="9" t="s">
        <v>143</v>
      </c>
      <c r="C159" s="83">
        <v>156000</v>
      </c>
      <c r="D159" s="83">
        <v>359000</v>
      </c>
      <c r="E159" s="83">
        <v>595000</v>
      </c>
      <c r="F159" s="83">
        <v>1977000</v>
      </c>
      <c r="G159" s="83">
        <v>6547000</v>
      </c>
      <c r="H159" s="84">
        <f>+SUM(H156:H158)</f>
        <v>4530521.0495469347</v>
      </c>
      <c r="I159" s="84">
        <f t="shared" ref="I159:L159" si="36">+SUM(I156:I158)</f>
        <v>5974349.3954706462</v>
      </c>
      <c r="J159" s="84">
        <f t="shared" si="36"/>
        <v>6666153.1941703893</v>
      </c>
      <c r="K159" s="84">
        <f t="shared" si="36"/>
        <v>7068693.7782572778</v>
      </c>
      <c r="L159" s="84">
        <f t="shared" si="36"/>
        <v>7355305.1938232332</v>
      </c>
      <c r="M159" s="8"/>
      <c r="N159" s="8"/>
    </row>
    <row r="160" spans="1:14" x14ac:dyDescent="0.25">
      <c r="A160" s="16"/>
      <c r="B160" s="7" t="s">
        <v>142</v>
      </c>
      <c r="C160" s="71">
        <v>2000</v>
      </c>
      <c r="D160" s="71">
        <v>-246000</v>
      </c>
      <c r="E160" s="71">
        <v>-420000</v>
      </c>
      <c r="F160" s="71">
        <v>-2165000</v>
      </c>
      <c r="G160" s="71">
        <v>-2499000</v>
      </c>
      <c r="H160" s="71">
        <f>+G160</f>
        <v>-2499000</v>
      </c>
      <c r="I160" s="71">
        <f t="shared" ref="I160:L160" si="37">+H160</f>
        <v>-2499000</v>
      </c>
      <c r="J160" s="71">
        <f t="shared" si="37"/>
        <v>-2499000</v>
      </c>
      <c r="K160" s="71">
        <f t="shared" si="37"/>
        <v>-2499000</v>
      </c>
      <c r="L160" s="71">
        <f t="shared" si="37"/>
        <v>-2499000</v>
      </c>
      <c r="M160" s="8"/>
      <c r="N160" s="8"/>
    </row>
    <row r="161" spans="1:14" x14ac:dyDescent="0.25">
      <c r="A161" s="16"/>
      <c r="B161" s="7" t="s">
        <v>141</v>
      </c>
      <c r="C161" s="73">
        <v>0</v>
      </c>
      <c r="D161" s="73">
        <v>0</v>
      </c>
      <c r="E161" s="73">
        <v>0</v>
      </c>
      <c r="F161" s="73">
        <v>0</v>
      </c>
      <c r="G161" s="71">
        <v>-206000</v>
      </c>
      <c r="H161" s="71">
        <f t="shared" ref="H161:L162" si="38">+G161</f>
        <v>-206000</v>
      </c>
      <c r="I161" s="71">
        <f t="shared" si="38"/>
        <v>-206000</v>
      </c>
      <c r="J161" s="71">
        <f t="shared" si="38"/>
        <v>-206000</v>
      </c>
      <c r="K161" s="71">
        <f t="shared" si="38"/>
        <v>-206000</v>
      </c>
      <c r="L161" s="71">
        <f t="shared" si="38"/>
        <v>-206000</v>
      </c>
      <c r="M161" s="8"/>
      <c r="N161" s="8"/>
    </row>
    <row r="162" spans="1:14" x14ac:dyDescent="0.25">
      <c r="A162" s="16"/>
      <c r="B162" s="7" t="s">
        <v>140</v>
      </c>
      <c r="C162" s="71">
        <v>16000</v>
      </c>
      <c r="D162" s="71">
        <v>-36000</v>
      </c>
      <c r="E162" s="71">
        <v>14000</v>
      </c>
      <c r="F162" s="71">
        <v>1000</v>
      </c>
      <c r="G162" s="71">
        <v>216000</v>
      </c>
      <c r="H162" s="58">
        <f t="shared" si="38"/>
        <v>216000</v>
      </c>
      <c r="I162" s="58">
        <f t="shared" si="38"/>
        <v>216000</v>
      </c>
      <c r="J162" s="58">
        <f t="shared" si="38"/>
        <v>216000</v>
      </c>
      <c r="K162" s="58">
        <f t="shared" si="38"/>
        <v>216000</v>
      </c>
      <c r="L162" s="58">
        <f t="shared" si="38"/>
        <v>216000</v>
      </c>
      <c r="M162" s="8"/>
      <c r="N162" s="8"/>
    </row>
    <row r="163" spans="1:14" x14ac:dyDescent="0.25">
      <c r="A163" s="16"/>
      <c r="B163" s="9" t="s">
        <v>139</v>
      </c>
      <c r="C163" s="83">
        <v>18000</v>
      </c>
      <c r="D163" s="83">
        <v>-282000</v>
      </c>
      <c r="E163" s="83">
        <v>-406000</v>
      </c>
      <c r="F163" s="83">
        <v>-2164000</v>
      </c>
      <c r="G163" s="83">
        <v>-2489000</v>
      </c>
      <c r="H163" s="83">
        <v>-2489000</v>
      </c>
      <c r="I163" s="83">
        <v>-2489000</v>
      </c>
      <c r="J163" s="83">
        <v>-2489000</v>
      </c>
      <c r="K163" s="83">
        <v>-2489000</v>
      </c>
      <c r="L163" s="83">
        <v>-2489000</v>
      </c>
      <c r="M163" s="8"/>
      <c r="N163" s="8"/>
    </row>
    <row r="164" spans="1:14" x14ac:dyDescent="0.25">
      <c r="A164" s="16"/>
      <c r="B164" s="9" t="s">
        <v>138</v>
      </c>
      <c r="C164" s="70">
        <v>174000</v>
      </c>
      <c r="D164" s="70">
        <v>77000</v>
      </c>
      <c r="E164" s="70">
        <v>189000</v>
      </c>
      <c r="F164" s="70">
        <v>-187000</v>
      </c>
      <c r="G164" s="70">
        <f>+G159+G163</f>
        <v>4058000</v>
      </c>
      <c r="H164" s="70">
        <f t="shared" ref="H164:L164" si="39">+H159+H163</f>
        <v>2041521.0495469347</v>
      </c>
      <c r="I164" s="70">
        <f t="shared" si="39"/>
        <v>3485349.3954706462</v>
      </c>
      <c r="J164" s="70">
        <f t="shared" si="39"/>
        <v>4177153.1941703893</v>
      </c>
      <c r="K164" s="70">
        <f t="shared" si="39"/>
        <v>4579693.7782572778</v>
      </c>
      <c r="L164" s="70">
        <f t="shared" si="39"/>
        <v>4866305.1938232332</v>
      </c>
      <c r="M164" s="8"/>
      <c r="N164" s="8"/>
    </row>
    <row r="165" spans="1:14" x14ac:dyDescent="0.25">
      <c r="A165" s="16" t="s">
        <v>89</v>
      </c>
      <c r="B165" s="9" t="s">
        <v>120</v>
      </c>
      <c r="C165" s="70">
        <v>2796000</v>
      </c>
      <c r="D165" s="70">
        <v>4332000</v>
      </c>
      <c r="E165" s="70">
        <v>9752000</v>
      </c>
      <c r="F165" s="70">
        <v>4368000</v>
      </c>
      <c r="G165" s="72">
        <f>+G155-G164</f>
        <v>29760000</v>
      </c>
      <c r="H165" s="72">
        <f>+H155-H164</f>
        <v>23698144.950453065</v>
      </c>
      <c r="I165" s="72">
        <f t="shared" ref="I165:L165" si="40">+I155-I164</f>
        <v>39637152.564529352</v>
      </c>
      <c r="J165" s="72">
        <f t="shared" si="40"/>
        <v>47274255.718829617</v>
      </c>
      <c r="K165" s="72">
        <f t="shared" si="40"/>
        <v>51718064.744223721</v>
      </c>
      <c r="L165" s="72">
        <f t="shared" si="40"/>
        <v>54882084.58625301</v>
      </c>
      <c r="M165" s="8"/>
      <c r="N165" s="8"/>
    </row>
    <row r="166" spans="1:14" outlineLevel="1" x14ac:dyDescent="0.25">
      <c r="A166" s="16"/>
      <c r="B166" s="7" t="s">
        <v>137</v>
      </c>
      <c r="C166" s="26">
        <v>2450000</v>
      </c>
      <c r="D166" s="26">
        <v>24790000</v>
      </c>
      <c r="E166" s="26">
        <v>2506000</v>
      </c>
      <c r="F166" s="26">
        <v>2466000</v>
      </c>
      <c r="G166" s="26">
        <v>2469000</v>
      </c>
      <c r="H166" s="8"/>
      <c r="I166" s="8"/>
      <c r="J166" s="14"/>
      <c r="K166" s="8"/>
      <c r="L166" s="14"/>
      <c r="M166" s="8"/>
      <c r="N166" s="8"/>
    </row>
    <row r="167" spans="1:14" outlineLevel="1" x14ac:dyDescent="0.25">
      <c r="A167" s="16"/>
      <c r="B167" s="7" t="s">
        <v>136</v>
      </c>
      <c r="C167" s="26">
        <v>2472000</v>
      </c>
      <c r="D167" s="26">
        <v>2512000</v>
      </c>
      <c r="E167" s="26">
        <v>2535000</v>
      </c>
      <c r="F167" s="26">
        <v>2507000</v>
      </c>
      <c r="G167" s="26">
        <v>2494000</v>
      </c>
      <c r="H167" s="8"/>
      <c r="I167" s="8"/>
      <c r="J167" s="14"/>
      <c r="K167" s="8"/>
      <c r="L167" s="14"/>
      <c r="M167" s="8"/>
      <c r="N167" s="8"/>
    </row>
    <row r="168" spans="1:14" outlineLevel="1" x14ac:dyDescent="0.25">
      <c r="A168" s="16"/>
      <c r="B168" s="7" t="s">
        <v>135</v>
      </c>
      <c r="C168" s="26">
        <v>2448000</v>
      </c>
      <c r="D168" s="26">
        <v>2480000</v>
      </c>
      <c r="E168" s="26">
        <v>2506000</v>
      </c>
      <c r="F168" s="26">
        <v>2466000</v>
      </c>
      <c r="G168" s="26">
        <v>2464000</v>
      </c>
      <c r="H168" s="8"/>
      <c r="I168" s="8"/>
      <c r="J168" s="14"/>
      <c r="K168" s="8"/>
      <c r="L168" s="14"/>
      <c r="M168" s="8"/>
      <c r="N168" s="8"/>
    </row>
    <row r="169" spans="1:14" outlineLevel="1" x14ac:dyDescent="0.25">
      <c r="A169" s="16"/>
      <c r="B169" s="7" t="s">
        <v>134</v>
      </c>
      <c r="C169" s="29"/>
      <c r="D169" s="29"/>
      <c r="E169" s="29"/>
      <c r="F169" s="29"/>
      <c r="G169" s="26">
        <v>12.05</v>
      </c>
      <c r="H169" s="8"/>
      <c r="I169" s="8"/>
      <c r="J169" s="14"/>
      <c r="K169" s="8"/>
      <c r="L169" s="14"/>
      <c r="M169" s="8"/>
      <c r="N169" s="8"/>
    </row>
    <row r="170" spans="1:14" outlineLevel="1" x14ac:dyDescent="0.25">
      <c r="A170" s="16"/>
      <c r="B170" s="7" t="s">
        <v>133</v>
      </c>
      <c r="C170" s="26">
        <v>1.1499999999999999</v>
      </c>
      <c r="D170" s="26">
        <v>1.76</v>
      </c>
      <c r="E170" s="26">
        <v>3.91</v>
      </c>
      <c r="F170" s="26">
        <v>1.76</v>
      </c>
      <c r="G170" s="26">
        <v>12.05</v>
      </c>
      <c r="H170" s="8"/>
      <c r="I170" s="8"/>
      <c r="J170" s="14"/>
      <c r="K170" s="8"/>
      <c r="L170" s="14"/>
      <c r="M170" s="8"/>
      <c r="N170" s="8"/>
    </row>
    <row r="171" spans="1:14" outlineLevel="1" x14ac:dyDescent="0.25">
      <c r="A171" s="16"/>
      <c r="B171" s="7" t="s">
        <v>132</v>
      </c>
      <c r="C171" s="29"/>
      <c r="D171" s="29"/>
      <c r="E171" s="29"/>
      <c r="F171" s="29"/>
      <c r="G171" s="26">
        <v>11.93</v>
      </c>
      <c r="H171" s="8"/>
      <c r="I171" s="8"/>
      <c r="J171" s="14"/>
      <c r="K171" s="8"/>
      <c r="L171" s="14"/>
      <c r="M171" s="8"/>
      <c r="N171" s="8"/>
    </row>
    <row r="172" spans="1:14" outlineLevel="1" x14ac:dyDescent="0.25">
      <c r="A172" s="16"/>
      <c r="B172" s="7" t="s">
        <v>131</v>
      </c>
      <c r="C172" s="26">
        <v>1.1299999999999999</v>
      </c>
      <c r="D172" s="26">
        <v>1.73</v>
      </c>
      <c r="E172" s="26">
        <v>3.85</v>
      </c>
      <c r="F172" s="26">
        <v>1.74</v>
      </c>
      <c r="G172" s="26">
        <v>11.93</v>
      </c>
      <c r="H172" s="8"/>
      <c r="I172" s="8"/>
      <c r="J172" s="14"/>
      <c r="K172" s="8"/>
      <c r="L172" s="14"/>
      <c r="M172" s="8"/>
      <c r="N172" s="8"/>
    </row>
    <row r="173" spans="1:14" outlineLevel="1" x14ac:dyDescent="0.25">
      <c r="A173" s="16"/>
      <c r="B173" s="7" t="s">
        <v>130</v>
      </c>
      <c r="C173" s="26">
        <v>0.16</v>
      </c>
      <c r="D173" s="26">
        <v>0.16</v>
      </c>
      <c r="E173" s="26">
        <v>0.16</v>
      </c>
      <c r="F173" s="26">
        <v>0.16</v>
      </c>
      <c r="G173" s="26">
        <v>0.16</v>
      </c>
      <c r="H173" s="8"/>
      <c r="I173" s="8"/>
      <c r="J173" s="14"/>
      <c r="K173" s="8"/>
      <c r="L173" s="14"/>
      <c r="M173" s="8"/>
      <c r="N173" s="8"/>
    </row>
    <row r="174" spans="1:14" outlineLevel="1" x14ac:dyDescent="0.25">
      <c r="A174" s="16"/>
      <c r="B174" s="7" t="s">
        <v>129</v>
      </c>
      <c r="C174" s="29"/>
      <c r="D174" s="29"/>
      <c r="E174" s="29"/>
      <c r="F174" s="29"/>
      <c r="G174" s="26">
        <v>29600</v>
      </c>
      <c r="H174" s="8"/>
      <c r="I174" s="8"/>
      <c r="J174" s="14"/>
      <c r="K174" s="8"/>
      <c r="L174" s="14"/>
      <c r="M174" s="8"/>
      <c r="N174" s="8"/>
    </row>
    <row r="175" spans="1:14" outlineLevel="1" x14ac:dyDescent="0.25">
      <c r="A175" s="16"/>
      <c r="B175" s="7" t="s">
        <v>128</v>
      </c>
      <c r="C175" s="26">
        <v>13775</v>
      </c>
      <c r="D175" s="26">
        <v>18975</v>
      </c>
      <c r="E175" s="26">
        <v>22473</v>
      </c>
      <c r="F175" s="26">
        <v>26196</v>
      </c>
      <c r="G175" s="26">
        <v>29600</v>
      </c>
      <c r="H175" s="8"/>
      <c r="I175" s="8"/>
      <c r="J175" s="14"/>
      <c r="K175" s="8"/>
      <c r="L175" s="14"/>
      <c r="M175" s="8"/>
      <c r="N175" s="8"/>
    </row>
    <row r="176" spans="1:14" outlineLevel="1" x14ac:dyDescent="0.25">
      <c r="A176" s="16"/>
      <c r="B176" s="7" t="s">
        <v>127</v>
      </c>
      <c r="C176" s="26">
        <v>301</v>
      </c>
      <c r="D176" s="26">
        <v>303</v>
      </c>
      <c r="E176" s="26">
        <v>313</v>
      </c>
      <c r="F176" s="26">
        <v>344</v>
      </c>
      <c r="G176" s="26">
        <v>382</v>
      </c>
      <c r="H176" s="8"/>
      <c r="I176" s="8"/>
      <c r="J176" s="14"/>
      <c r="K176" s="8"/>
      <c r="L176" s="14"/>
      <c r="M176" s="8"/>
      <c r="N176" s="8"/>
    </row>
    <row r="177" spans="1:14" x14ac:dyDescent="0.25">
      <c r="A177" s="16"/>
      <c r="B177" s="8"/>
      <c r="C177" s="18"/>
      <c r="D177" s="18"/>
      <c r="E177" s="18"/>
      <c r="F177" s="18"/>
      <c r="G177" s="18"/>
      <c r="H177" s="8"/>
      <c r="I177" s="8"/>
      <c r="J177" s="8"/>
      <c r="K177" s="8"/>
      <c r="L177" s="8"/>
      <c r="M177" s="8"/>
      <c r="N177" s="8"/>
    </row>
    <row r="178" spans="1:14" hidden="1" outlineLevel="1" x14ac:dyDescent="0.25">
      <c r="A178" s="16"/>
      <c r="B178" s="10" t="s">
        <v>126</v>
      </c>
      <c r="C178" s="18"/>
      <c r="D178" s="18"/>
      <c r="E178" s="18"/>
      <c r="F178" s="18"/>
      <c r="G178" s="18"/>
      <c r="H178" s="8"/>
      <c r="I178" s="8"/>
      <c r="J178" s="8"/>
      <c r="K178" s="8"/>
      <c r="L178" s="8"/>
      <c r="M178" s="8"/>
      <c r="N178" s="8"/>
    </row>
    <row r="179" spans="1:14" hidden="1" outlineLevel="1" x14ac:dyDescent="0.25">
      <c r="A179" s="16"/>
      <c r="B179" s="11" t="s">
        <v>79</v>
      </c>
      <c r="C179" s="37">
        <f>+C8</f>
        <v>2019</v>
      </c>
      <c r="D179" s="37">
        <f>+D8</f>
        <v>2020</v>
      </c>
      <c r="E179" s="37">
        <f>+E8</f>
        <v>2021</v>
      </c>
      <c r="F179" s="37">
        <f>+F8</f>
        <v>2022</v>
      </c>
      <c r="G179" s="37">
        <f>+G8</f>
        <v>2023</v>
      </c>
      <c r="H179" s="13"/>
      <c r="I179" s="8"/>
      <c r="J179" s="13"/>
      <c r="K179" s="8"/>
      <c r="L179" s="8"/>
      <c r="M179" s="8"/>
      <c r="N179" s="8"/>
    </row>
    <row r="180" spans="1:14" hidden="1" outlineLevel="1" x14ac:dyDescent="0.25">
      <c r="A180" s="16"/>
      <c r="B180" s="11" t="s">
        <v>78</v>
      </c>
      <c r="C180" s="17" t="s">
        <v>77</v>
      </c>
      <c r="D180" s="17" t="s">
        <v>77</v>
      </c>
      <c r="E180" s="17" t="s">
        <v>77</v>
      </c>
      <c r="F180" s="17" t="s">
        <v>77</v>
      </c>
      <c r="G180" s="17" t="s">
        <v>77</v>
      </c>
      <c r="H180" s="13"/>
      <c r="I180" s="8"/>
      <c r="J180" s="13"/>
      <c r="K180" s="8"/>
      <c r="L180" s="8"/>
      <c r="M180" s="8"/>
      <c r="N180" s="8"/>
    </row>
    <row r="181" spans="1:14" hidden="1" outlineLevel="1" x14ac:dyDescent="0.25">
      <c r="A181" s="16"/>
      <c r="B181" s="11" t="s">
        <v>76</v>
      </c>
      <c r="C181" s="17" t="s">
        <v>75</v>
      </c>
      <c r="D181" s="17" t="s">
        <v>75</v>
      </c>
      <c r="E181" s="17" t="s">
        <v>75</v>
      </c>
      <c r="F181" s="17" t="s">
        <v>75</v>
      </c>
      <c r="G181" s="17" t="s">
        <v>75</v>
      </c>
      <c r="H181" s="13"/>
      <c r="I181" s="8"/>
      <c r="J181" s="13"/>
      <c r="K181" s="8"/>
      <c r="L181" s="8"/>
      <c r="M181" s="8"/>
      <c r="N181" s="8"/>
    </row>
    <row r="182" spans="1:14" hidden="1" outlineLevel="1" x14ac:dyDescent="0.25">
      <c r="A182" s="16"/>
      <c r="B182" s="11" t="s">
        <v>74</v>
      </c>
      <c r="C182" s="17" t="s">
        <v>73</v>
      </c>
      <c r="D182" s="17" t="s">
        <v>73</v>
      </c>
      <c r="E182" s="17" t="s">
        <v>73</v>
      </c>
      <c r="F182" s="17" t="s">
        <v>73</v>
      </c>
      <c r="G182" s="17" t="s">
        <v>73</v>
      </c>
      <c r="H182" s="13"/>
      <c r="I182" s="8"/>
      <c r="J182" s="13"/>
      <c r="K182" s="8"/>
      <c r="L182" s="8"/>
      <c r="M182" s="8"/>
      <c r="N182" s="8"/>
    </row>
    <row r="183" spans="1:14" hidden="1" outlineLevel="1" x14ac:dyDescent="0.25">
      <c r="A183" s="16"/>
      <c r="B183" s="11" t="s">
        <v>72</v>
      </c>
      <c r="C183" s="17" t="s">
        <v>71</v>
      </c>
      <c r="D183" s="17" t="s">
        <v>71</v>
      </c>
      <c r="E183" s="17" t="s">
        <v>71</v>
      </c>
      <c r="F183" s="17" t="s">
        <v>71</v>
      </c>
      <c r="G183" s="17" t="s">
        <v>71</v>
      </c>
      <c r="H183" s="13"/>
      <c r="I183" s="8"/>
      <c r="J183" s="13"/>
      <c r="K183" s="8"/>
      <c r="L183" s="8"/>
      <c r="M183" s="8"/>
      <c r="N183" s="8"/>
    </row>
    <row r="184" spans="1:14" collapsed="1" x14ac:dyDescent="0.25">
      <c r="A184" s="16"/>
      <c r="B184" s="7" t="s">
        <v>125</v>
      </c>
      <c r="C184" s="26">
        <v>12565000</v>
      </c>
      <c r="D184" s="26">
        <v>14971000</v>
      </c>
      <c r="E184" s="26">
        <v>18908000</v>
      </c>
      <c r="F184" s="26">
        <v>16235000</v>
      </c>
      <c r="G184" s="26">
        <f>+F188</f>
        <v>10171000</v>
      </c>
      <c r="H184" s="14"/>
      <c r="I184" s="8"/>
      <c r="J184" s="14"/>
      <c r="K184" s="8"/>
      <c r="L184" s="8"/>
      <c r="M184" s="8"/>
      <c r="N184" s="8"/>
    </row>
    <row r="185" spans="1:14" x14ac:dyDescent="0.25">
      <c r="A185" s="16"/>
      <c r="B185" s="7" t="s">
        <v>124</v>
      </c>
      <c r="C185" s="26">
        <v>390000</v>
      </c>
      <c r="D185" s="26">
        <v>395000</v>
      </c>
      <c r="E185" s="26">
        <v>399000</v>
      </c>
      <c r="F185" s="26">
        <v>398000</v>
      </c>
      <c r="G185" s="26">
        <f>+G173*G166</f>
        <v>395040</v>
      </c>
      <c r="H185" s="14"/>
      <c r="I185" s="8"/>
      <c r="J185" s="14"/>
      <c r="K185" s="8"/>
      <c r="L185" s="8"/>
      <c r="M185" s="8"/>
      <c r="N185" s="8"/>
    </row>
    <row r="186" spans="1:14" x14ac:dyDescent="0.25">
      <c r="A186" s="16"/>
      <c r="B186" s="7" t="s">
        <v>123</v>
      </c>
      <c r="C186" s="29">
        <v>0</v>
      </c>
      <c r="D186" s="29">
        <v>0</v>
      </c>
      <c r="E186" s="29">
        <v>0</v>
      </c>
      <c r="F186" s="26">
        <v>10034000</v>
      </c>
      <c r="G186" s="26">
        <v>0</v>
      </c>
      <c r="H186" s="14"/>
      <c r="I186" s="8"/>
      <c r="J186" s="14"/>
      <c r="K186" s="8"/>
      <c r="L186" s="8"/>
      <c r="M186" s="8"/>
      <c r="N186" s="8"/>
    </row>
    <row r="187" spans="1:14" x14ac:dyDescent="0.25">
      <c r="A187" s="16"/>
      <c r="B187" s="7" t="s">
        <v>122</v>
      </c>
      <c r="C187" s="29">
        <v>0</v>
      </c>
      <c r="D187" s="29">
        <v>0</v>
      </c>
      <c r="E187" s="26">
        <v>12026000</v>
      </c>
      <c r="F187" s="29">
        <v>0</v>
      </c>
      <c r="G187" s="26">
        <v>0</v>
      </c>
      <c r="H187" s="14"/>
      <c r="I187" s="8"/>
      <c r="J187" s="14"/>
      <c r="K187" s="8"/>
      <c r="L187" s="8"/>
      <c r="M187" s="8"/>
      <c r="N187" s="8"/>
    </row>
    <row r="188" spans="1:14" x14ac:dyDescent="0.25">
      <c r="A188" s="16" t="s">
        <v>89</v>
      </c>
      <c r="B188" s="9" t="s">
        <v>2</v>
      </c>
      <c r="C188" s="24">
        <v>14971000</v>
      </c>
      <c r="D188" s="24">
        <v>18908000</v>
      </c>
      <c r="E188" s="24">
        <v>16235000</v>
      </c>
      <c r="F188" s="24">
        <v>10171000</v>
      </c>
      <c r="G188" s="24">
        <f>+G184-G185</f>
        <v>9775960</v>
      </c>
      <c r="H188" s="14"/>
      <c r="I188" s="8"/>
      <c r="J188" s="14"/>
      <c r="K188" s="8"/>
      <c r="L188" s="8"/>
      <c r="M188" s="8"/>
      <c r="N188" s="8"/>
    </row>
    <row r="189" spans="1:14" x14ac:dyDescent="0.25">
      <c r="A189" s="16"/>
      <c r="B189" s="7" t="s">
        <v>233</v>
      </c>
      <c r="C189" s="26">
        <f>+C58+C55-C88</f>
        <v>1949000</v>
      </c>
      <c r="D189" s="26">
        <f t="shared" ref="D189:L189" si="41">+D58+D55-D88</f>
        <v>3054000</v>
      </c>
      <c r="E189" s="26">
        <f t="shared" si="41"/>
        <v>822000</v>
      </c>
      <c r="F189" s="26">
        <f t="shared" si="41"/>
        <v>3966000</v>
      </c>
      <c r="G189" s="26">
        <f t="shared" si="41"/>
        <v>12582000</v>
      </c>
      <c r="H189" s="26">
        <f t="shared" si="41"/>
        <v>12582000</v>
      </c>
      <c r="I189" s="26">
        <f t="shared" si="41"/>
        <v>12582000</v>
      </c>
      <c r="J189" s="26">
        <f t="shared" si="41"/>
        <v>12582000</v>
      </c>
      <c r="K189" s="26">
        <f t="shared" si="41"/>
        <v>12582000</v>
      </c>
      <c r="L189" s="26">
        <f t="shared" si="41"/>
        <v>12582000</v>
      </c>
      <c r="M189" s="8"/>
      <c r="N189" s="8"/>
    </row>
    <row r="190" spans="1:14" x14ac:dyDescent="0.25">
      <c r="A190" s="16"/>
      <c r="B190" s="8"/>
      <c r="C190" s="18"/>
      <c r="D190" s="18"/>
      <c r="E190" s="18"/>
      <c r="F190" s="18"/>
      <c r="G190" s="18"/>
      <c r="H190" s="8"/>
      <c r="I190" s="8"/>
      <c r="J190" s="8"/>
      <c r="K190" s="8"/>
      <c r="L190" s="8"/>
      <c r="M190" s="8"/>
      <c r="N190" s="8"/>
    </row>
    <row r="191" spans="1:14" hidden="1" outlineLevel="1" x14ac:dyDescent="0.25">
      <c r="A191" s="16"/>
      <c r="B191" s="10" t="s">
        <v>121</v>
      </c>
      <c r="C191" s="18"/>
      <c r="D191" s="18"/>
      <c r="E191" s="18"/>
      <c r="F191" s="18"/>
      <c r="G191" s="18"/>
      <c r="H191" s="8"/>
      <c r="I191" s="8"/>
      <c r="J191" s="8"/>
      <c r="K191" s="8"/>
      <c r="L191" s="8"/>
      <c r="M191" s="8"/>
      <c r="N191" s="8"/>
    </row>
    <row r="192" spans="1:14" hidden="1" outlineLevel="1" x14ac:dyDescent="0.25">
      <c r="A192" s="16"/>
      <c r="B192" s="11" t="s">
        <v>79</v>
      </c>
      <c r="C192" s="37">
        <f>+C130</f>
        <v>2019</v>
      </c>
      <c r="D192" s="37">
        <f t="shared" ref="D192:G192" si="42">+D130</f>
        <v>2020</v>
      </c>
      <c r="E192" s="37">
        <f t="shared" si="42"/>
        <v>2021</v>
      </c>
      <c r="F192" s="37">
        <f t="shared" si="42"/>
        <v>2022</v>
      </c>
      <c r="G192" s="37">
        <f t="shared" si="42"/>
        <v>2023</v>
      </c>
      <c r="J192" s="13"/>
      <c r="K192" s="8"/>
      <c r="L192" s="13"/>
      <c r="M192" s="8"/>
      <c r="N192" s="8"/>
    </row>
    <row r="193" spans="1:14" hidden="1" outlineLevel="1" x14ac:dyDescent="0.25">
      <c r="A193" s="16"/>
      <c r="B193" s="11" t="s">
        <v>78</v>
      </c>
      <c r="C193" s="17" t="s">
        <v>77</v>
      </c>
      <c r="D193" s="17" t="s">
        <v>77</v>
      </c>
      <c r="E193" s="17" t="s">
        <v>77</v>
      </c>
      <c r="F193" s="12" t="s">
        <v>77</v>
      </c>
      <c r="G193" s="12" t="s">
        <v>77</v>
      </c>
      <c r="J193" s="13"/>
      <c r="K193" s="8"/>
      <c r="L193" s="13"/>
      <c r="M193" s="8"/>
      <c r="N193" s="8"/>
    </row>
    <row r="194" spans="1:14" hidden="1" outlineLevel="1" x14ac:dyDescent="0.25">
      <c r="A194" s="16"/>
      <c r="B194" s="11" t="s">
        <v>76</v>
      </c>
      <c r="C194" s="17" t="s">
        <v>75</v>
      </c>
      <c r="D194" s="17" t="s">
        <v>75</v>
      </c>
      <c r="E194" s="17" t="s">
        <v>75</v>
      </c>
      <c r="F194" s="12" t="s">
        <v>75</v>
      </c>
      <c r="G194" s="12" t="s">
        <v>75</v>
      </c>
      <c r="J194" s="13"/>
      <c r="K194" s="8"/>
      <c r="L194" s="13"/>
      <c r="M194" s="8"/>
      <c r="N194" s="8"/>
    </row>
    <row r="195" spans="1:14" hidden="1" outlineLevel="1" x14ac:dyDescent="0.25">
      <c r="A195" s="16"/>
      <c r="B195" s="11" t="s">
        <v>74</v>
      </c>
      <c r="C195" s="17" t="s">
        <v>73</v>
      </c>
      <c r="D195" s="17" t="s">
        <v>73</v>
      </c>
      <c r="E195" s="17" t="s">
        <v>73</v>
      </c>
      <c r="F195" s="12" t="s">
        <v>73</v>
      </c>
      <c r="G195" s="12" t="s">
        <v>73</v>
      </c>
      <c r="J195" s="13"/>
      <c r="K195" s="8"/>
      <c r="L195" s="13"/>
      <c r="M195" s="8"/>
      <c r="N195" s="8"/>
    </row>
    <row r="196" spans="1:14" hidden="1" outlineLevel="1" x14ac:dyDescent="0.25">
      <c r="A196" s="16"/>
      <c r="B196" s="11" t="s">
        <v>72</v>
      </c>
      <c r="C196" s="17" t="s">
        <v>71</v>
      </c>
      <c r="D196" s="17" t="s">
        <v>71</v>
      </c>
      <c r="E196" s="17" t="s">
        <v>71</v>
      </c>
      <c r="F196" s="12" t="s">
        <v>71</v>
      </c>
      <c r="G196" s="12" t="s">
        <v>71</v>
      </c>
      <c r="J196" s="13"/>
      <c r="K196" s="8"/>
      <c r="L196" s="13"/>
      <c r="M196" s="8"/>
      <c r="N196" s="8"/>
    </row>
    <row r="197" spans="1:14" collapsed="1" x14ac:dyDescent="0.25">
      <c r="A197" s="16" t="s">
        <v>89</v>
      </c>
      <c r="B197" s="9" t="s">
        <v>120</v>
      </c>
      <c r="C197" s="24">
        <v>2796000</v>
      </c>
      <c r="D197" s="24">
        <v>4332000</v>
      </c>
      <c r="E197" s="24">
        <v>9752000</v>
      </c>
      <c r="F197" s="24">
        <v>4368000</v>
      </c>
      <c r="G197" s="24">
        <v>29760000</v>
      </c>
      <c r="H197" s="8"/>
      <c r="I197" s="8"/>
      <c r="J197" s="14"/>
      <c r="K197" s="8"/>
      <c r="L197" s="14"/>
      <c r="M197" s="8"/>
      <c r="N197" s="8"/>
    </row>
    <row r="198" spans="1:14" x14ac:dyDescent="0.25">
      <c r="A198" s="16"/>
      <c r="B198" s="7" t="s">
        <v>119</v>
      </c>
      <c r="C198" s="26">
        <v>844000</v>
      </c>
      <c r="D198" s="26">
        <v>1397000</v>
      </c>
      <c r="E198" s="26">
        <v>2004000</v>
      </c>
      <c r="F198" s="26">
        <v>2709000</v>
      </c>
      <c r="G198" s="26">
        <v>3549000</v>
      </c>
      <c r="H198" s="8"/>
      <c r="I198" s="8"/>
      <c r="J198" s="14"/>
      <c r="K198" s="8"/>
      <c r="L198" s="14"/>
      <c r="M198" s="8"/>
      <c r="N198" s="8"/>
    </row>
    <row r="199" spans="1:14" x14ac:dyDescent="0.25">
      <c r="A199" s="16"/>
      <c r="B199" s="7" t="s">
        <v>118</v>
      </c>
      <c r="C199" s="26">
        <v>381000</v>
      </c>
      <c r="D199" s="26">
        <v>1098000</v>
      </c>
      <c r="E199" s="26">
        <v>1174000</v>
      </c>
      <c r="F199" s="26">
        <v>1544000</v>
      </c>
      <c r="G199" s="26">
        <v>1508000</v>
      </c>
      <c r="H199" s="8"/>
      <c r="I199" s="8"/>
      <c r="J199" s="14"/>
      <c r="K199" s="8"/>
      <c r="L199" s="14"/>
      <c r="M199" s="8"/>
      <c r="N199" s="8"/>
    </row>
    <row r="200" spans="1:14" x14ac:dyDescent="0.25">
      <c r="A200" s="16"/>
      <c r="B200" s="7" t="s">
        <v>117</v>
      </c>
      <c r="C200" s="29">
        <v>0</v>
      </c>
      <c r="D200" s="29">
        <v>0</v>
      </c>
      <c r="E200" s="29">
        <v>0</v>
      </c>
      <c r="F200" s="26">
        <v>1353000</v>
      </c>
      <c r="G200" s="29">
        <v>0</v>
      </c>
      <c r="H200" s="8"/>
      <c r="I200" s="8"/>
      <c r="J200" s="14"/>
      <c r="K200" s="8"/>
      <c r="L200" s="14"/>
      <c r="M200" s="8"/>
      <c r="N200" s="8"/>
    </row>
    <row r="201" spans="1:14" x14ac:dyDescent="0.25">
      <c r="A201" s="16"/>
      <c r="B201" s="7" t="s">
        <v>116</v>
      </c>
      <c r="C201" s="26">
        <v>18000</v>
      </c>
      <c r="D201" s="26">
        <v>-282000</v>
      </c>
      <c r="E201" s="26">
        <v>-406000</v>
      </c>
      <c r="F201" s="26">
        <v>-2164000</v>
      </c>
      <c r="G201" s="26">
        <v>-2489000</v>
      </c>
      <c r="H201" s="8"/>
      <c r="I201" s="8"/>
      <c r="J201" s="14"/>
      <c r="K201" s="8"/>
      <c r="L201" s="14"/>
      <c r="M201" s="8"/>
      <c r="N201" s="8"/>
    </row>
    <row r="202" spans="1:14" x14ac:dyDescent="0.25">
      <c r="A202" s="16"/>
      <c r="B202" s="7" t="s">
        <v>115</v>
      </c>
      <c r="C202" s="29">
        <v>0</v>
      </c>
      <c r="D202" s="29">
        <v>0</v>
      </c>
      <c r="E202" s="26">
        <v>-100000</v>
      </c>
      <c r="F202" s="26">
        <v>45000</v>
      </c>
      <c r="G202" s="26">
        <v>-238000</v>
      </c>
      <c r="H202" s="8"/>
      <c r="I202" s="8"/>
      <c r="J202" s="14"/>
      <c r="K202" s="8"/>
      <c r="L202" s="14"/>
      <c r="M202" s="8"/>
      <c r="N202" s="8"/>
    </row>
    <row r="203" spans="1:14" x14ac:dyDescent="0.25">
      <c r="A203" s="16"/>
      <c r="B203" s="7" t="s">
        <v>114</v>
      </c>
      <c r="C203" s="26">
        <v>5000</v>
      </c>
      <c r="D203" s="26">
        <v>-20000</v>
      </c>
      <c r="E203" s="26">
        <v>47000</v>
      </c>
      <c r="F203" s="26">
        <v>-7000</v>
      </c>
      <c r="G203" s="29">
        <v>0</v>
      </c>
      <c r="H203" s="8"/>
      <c r="I203" s="8"/>
      <c r="J203" s="14"/>
      <c r="K203" s="8"/>
      <c r="L203" s="14"/>
      <c r="M203" s="8"/>
      <c r="N203" s="8"/>
    </row>
    <row r="204" spans="1:14" x14ac:dyDescent="0.25">
      <c r="A204" s="16"/>
      <c r="B204" s="7" t="s">
        <v>113</v>
      </c>
      <c r="C204" s="26">
        <v>-233000</v>
      </c>
      <c r="D204" s="26">
        <v>-550000</v>
      </c>
      <c r="E204" s="26">
        <v>-2215000</v>
      </c>
      <c r="F204" s="26">
        <v>822000</v>
      </c>
      <c r="G204" s="26">
        <v>-6172000</v>
      </c>
      <c r="H204" s="8"/>
      <c r="I204" s="8"/>
      <c r="J204" s="14"/>
      <c r="K204" s="8"/>
      <c r="L204" s="14"/>
      <c r="M204" s="8"/>
      <c r="N204" s="8"/>
    </row>
    <row r="205" spans="1:14" x14ac:dyDescent="0.25">
      <c r="A205" s="16"/>
      <c r="B205" s="7" t="s">
        <v>62</v>
      </c>
      <c r="C205" s="26">
        <v>597000</v>
      </c>
      <c r="D205" s="26">
        <v>-524000</v>
      </c>
      <c r="E205" s="26">
        <v>-774000</v>
      </c>
      <c r="F205" s="26">
        <v>-2554000</v>
      </c>
      <c r="G205" s="26">
        <v>-98000</v>
      </c>
      <c r="H205" s="8"/>
      <c r="I205" s="8"/>
      <c r="J205" s="14"/>
      <c r="K205" s="8"/>
      <c r="L205" s="14"/>
      <c r="M205" s="8"/>
      <c r="N205" s="8"/>
    </row>
    <row r="206" spans="1:14" x14ac:dyDescent="0.25">
      <c r="A206" s="16"/>
      <c r="B206" s="7" t="s">
        <v>112</v>
      </c>
      <c r="C206" s="29">
        <v>0</v>
      </c>
      <c r="D206" s="29">
        <v>0</v>
      </c>
      <c r="E206" s="29">
        <v>0</v>
      </c>
      <c r="F206" s="29">
        <v>0</v>
      </c>
      <c r="G206" s="26">
        <v>-1522000</v>
      </c>
      <c r="H206" s="8"/>
      <c r="I206" s="8"/>
      <c r="J206" s="14"/>
      <c r="K206" s="8"/>
      <c r="L206" s="14"/>
      <c r="M206" s="8"/>
      <c r="N206" s="8"/>
    </row>
    <row r="207" spans="1:14" x14ac:dyDescent="0.25">
      <c r="A207" s="16"/>
      <c r="B207" s="7" t="s">
        <v>111</v>
      </c>
      <c r="C207" s="26">
        <v>77000</v>
      </c>
      <c r="D207" s="26">
        <v>-394000</v>
      </c>
      <c r="E207" s="26">
        <v>-1715000</v>
      </c>
      <c r="F207" s="26">
        <v>-1517000</v>
      </c>
      <c r="G207" s="29">
        <v>0</v>
      </c>
      <c r="H207" s="8"/>
      <c r="I207" s="8"/>
      <c r="J207" s="14"/>
      <c r="K207" s="8"/>
      <c r="L207" s="14"/>
      <c r="M207" s="8"/>
      <c r="N207" s="8"/>
    </row>
    <row r="208" spans="1:14" x14ac:dyDescent="0.25">
      <c r="A208" s="16"/>
      <c r="B208" s="7" t="s">
        <v>36</v>
      </c>
      <c r="C208" s="26">
        <v>194000</v>
      </c>
      <c r="D208" s="26">
        <v>363000</v>
      </c>
      <c r="E208" s="26">
        <v>568000</v>
      </c>
      <c r="F208" s="26">
        <v>-551000</v>
      </c>
      <c r="G208" s="26">
        <v>1531000</v>
      </c>
      <c r="H208" s="8"/>
      <c r="I208" s="8"/>
      <c r="J208" s="14"/>
      <c r="K208" s="8"/>
      <c r="L208" s="14"/>
      <c r="M208" s="8"/>
      <c r="N208" s="8"/>
    </row>
    <row r="209" spans="1:14" x14ac:dyDescent="0.25">
      <c r="A209" s="16"/>
      <c r="B209" s="7" t="s">
        <v>23</v>
      </c>
      <c r="C209" s="26">
        <v>54000</v>
      </c>
      <c r="D209" s="26">
        <v>239000</v>
      </c>
      <c r="E209" s="26">
        <v>581000</v>
      </c>
      <c r="F209" s="26">
        <v>1341000</v>
      </c>
      <c r="G209" s="29">
        <v>0</v>
      </c>
      <c r="H209" s="8"/>
      <c r="I209" s="8"/>
      <c r="J209" s="14"/>
      <c r="K209" s="8"/>
      <c r="L209" s="14"/>
      <c r="M209" s="8"/>
      <c r="N209" s="8"/>
    </row>
    <row r="210" spans="1:14" x14ac:dyDescent="0.25">
      <c r="A210" s="16"/>
      <c r="B210" s="7" t="s">
        <v>110</v>
      </c>
      <c r="C210" s="29">
        <v>0</v>
      </c>
      <c r="D210" s="29">
        <v>0</v>
      </c>
      <c r="E210" s="29">
        <v>0</v>
      </c>
      <c r="F210" s="29">
        <v>0</v>
      </c>
      <c r="G210" s="26">
        <v>2025000</v>
      </c>
      <c r="H210" s="8"/>
      <c r="I210" s="8"/>
      <c r="J210" s="14"/>
      <c r="K210" s="8"/>
      <c r="L210" s="14"/>
      <c r="M210" s="8"/>
      <c r="N210" s="8"/>
    </row>
    <row r="211" spans="1:14" x14ac:dyDescent="0.25">
      <c r="A211" s="16"/>
      <c r="B211" s="7" t="s">
        <v>9</v>
      </c>
      <c r="C211" s="26">
        <v>28000</v>
      </c>
      <c r="D211" s="26">
        <v>163000</v>
      </c>
      <c r="E211" s="26">
        <v>192000</v>
      </c>
      <c r="F211" s="26">
        <v>252000</v>
      </c>
      <c r="G211" s="26">
        <v>514000</v>
      </c>
      <c r="H211" s="8"/>
      <c r="I211" s="8"/>
      <c r="J211" s="14"/>
      <c r="K211" s="8"/>
      <c r="L211" s="14"/>
      <c r="M211" s="8"/>
      <c r="N211" s="8"/>
    </row>
    <row r="212" spans="1:14" ht="17.25" x14ac:dyDescent="0.4">
      <c r="A212" s="16"/>
      <c r="B212" s="7" t="s">
        <v>8</v>
      </c>
      <c r="C212" s="32">
        <v>0</v>
      </c>
      <c r="D212" s="32">
        <v>0</v>
      </c>
      <c r="E212" s="32">
        <v>0</v>
      </c>
      <c r="F212" s="32">
        <v>0</v>
      </c>
      <c r="G212" s="31">
        <v>-278000</v>
      </c>
      <c r="H212" s="8"/>
      <c r="I212" s="8"/>
      <c r="J212" s="14"/>
      <c r="K212" s="8"/>
      <c r="L212" s="14"/>
      <c r="M212" s="8"/>
      <c r="N212" s="8"/>
    </row>
    <row r="213" spans="1:14" x14ac:dyDescent="0.25">
      <c r="A213" s="16" t="s">
        <v>89</v>
      </c>
      <c r="B213" s="9" t="s">
        <v>109</v>
      </c>
      <c r="C213" s="24">
        <v>4761000</v>
      </c>
      <c r="D213" s="24">
        <v>5822000</v>
      </c>
      <c r="E213" s="24">
        <v>9108000</v>
      </c>
      <c r="F213" s="24">
        <v>5641000</v>
      </c>
      <c r="G213" s="24">
        <v>28090000</v>
      </c>
      <c r="H213" s="8"/>
      <c r="I213" s="8"/>
      <c r="J213" s="14"/>
      <c r="K213" s="8"/>
      <c r="L213" s="14"/>
      <c r="M213" s="8"/>
      <c r="N213" s="8"/>
    </row>
    <row r="214" spans="1:14" x14ac:dyDescent="0.25">
      <c r="A214" s="16"/>
      <c r="B214" s="7" t="s">
        <v>108</v>
      </c>
      <c r="C214" s="26">
        <v>4744000</v>
      </c>
      <c r="D214" s="26">
        <v>8792000</v>
      </c>
      <c r="E214" s="26">
        <v>15197000</v>
      </c>
      <c r="F214" s="26">
        <v>19425000</v>
      </c>
      <c r="G214" s="26">
        <v>50000</v>
      </c>
      <c r="H214" s="8"/>
      <c r="I214" s="8"/>
      <c r="J214" s="14"/>
      <c r="K214" s="8"/>
      <c r="L214" s="14"/>
      <c r="M214" s="8"/>
      <c r="N214" s="8"/>
    </row>
    <row r="215" spans="1:14" x14ac:dyDescent="0.25">
      <c r="A215" s="16"/>
      <c r="B215" s="7" t="s">
        <v>107</v>
      </c>
      <c r="C215" s="26">
        <v>3365000</v>
      </c>
      <c r="D215" s="26">
        <v>527000</v>
      </c>
      <c r="E215" s="26">
        <v>1023000</v>
      </c>
      <c r="F215" s="26">
        <v>1806000</v>
      </c>
      <c r="G215" s="29">
        <v>0</v>
      </c>
      <c r="H215" s="8"/>
      <c r="I215" s="8"/>
      <c r="J215" s="14"/>
      <c r="K215" s="8"/>
      <c r="L215" s="14"/>
      <c r="M215" s="8"/>
      <c r="N215" s="8"/>
    </row>
    <row r="216" spans="1:14" x14ac:dyDescent="0.25">
      <c r="A216" s="16"/>
      <c r="B216" s="7" t="s">
        <v>106</v>
      </c>
      <c r="C216" s="29">
        <v>0</v>
      </c>
      <c r="D216" s="29">
        <v>0</v>
      </c>
      <c r="E216" s="29">
        <v>0</v>
      </c>
      <c r="F216" s="29">
        <v>0</v>
      </c>
      <c r="G216" s="26">
        <v>9732000</v>
      </c>
      <c r="H216" s="8"/>
      <c r="I216" s="8"/>
      <c r="J216" s="14"/>
      <c r="K216" s="8"/>
      <c r="L216" s="14"/>
      <c r="M216" s="8"/>
      <c r="N216" s="8"/>
    </row>
    <row r="217" spans="1:14" x14ac:dyDescent="0.25">
      <c r="A217" s="16"/>
      <c r="B217" s="7" t="s">
        <v>105</v>
      </c>
      <c r="C217" s="26">
        <v>-1461000</v>
      </c>
      <c r="D217" s="26">
        <v>-19308000</v>
      </c>
      <c r="E217" s="26">
        <v>-24787000</v>
      </c>
      <c r="F217" s="26">
        <v>-11897000</v>
      </c>
      <c r="G217" s="29">
        <v>0</v>
      </c>
      <c r="H217" s="8"/>
      <c r="I217" s="8"/>
      <c r="J217" s="14"/>
      <c r="K217" s="8"/>
      <c r="L217" s="14"/>
      <c r="M217" s="8"/>
      <c r="N217" s="8"/>
    </row>
    <row r="218" spans="1:14" x14ac:dyDescent="0.25">
      <c r="A218" s="16"/>
      <c r="B218" s="7" t="s">
        <v>104</v>
      </c>
      <c r="C218" s="26">
        <v>-489000</v>
      </c>
      <c r="D218" s="26">
        <v>-1128000</v>
      </c>
      <c r="E218" s="26">
        <v>-976000</v>
      </c>
      <c r="F218" s="26">
        <v>-1833000</v>
      </c>
      <c r="G218" s="26">
        <v>-1069000</v>
      </c>
      <c r="H218" s="8"/>
      <c r="I218" s="8"/>
      <c r="J218" s="14"/>
      <c r="K218" s="8"/>
      <c r="L218" s="14"/>
      <c r="M218" s="8"/>
      <c r="N218" s="8"/>
    </row>
    <row r="219" spans="1:14" x14ac:dyDescent="0.25">
      <c r="A219" s="16"/>
      <c r="B219" s="7" t="s">
        <v>103</v>
      </c>
      <c r="C219" s="29">
        <v>0</v>
      </c>
      <c r="D219" s="26">
        <v>-8524000</v>
      </c>
      <c r="E219" s="26">
        <v>-263000</v>
      </c>
      <c r="F219" s="26">
        <v>-49000</v>
      </c>
      <c r="G219" s="26">
        <v>-83000</v>
      </c>
      <c r="H219" s="8"/>
      <c r="I219" s="8"/>
      <c r="J219" s="14"/>
      <c r="K219" s="8"/>
      <c r="L219" s="14"/>
      <c r="M219" s="8"/>
      <c r="N219" s="8"/>
    </row>
    <row r="220" spans="1:14" x14ac:dyDescent="0.25">
      <c r="A220" s="16"/>
      <c r="B220" s="7" t="s">
        <v>102</v>
      </c>
      <c r="C220" s="26">
        <v>-14000</v>
      </c>
      <c r="D220" s="26">
        <v>-34000</v>
      </c>
      <c r="E220" s="26">
        <v>-24000</v>
      </c>
      <c r="F220" s="26">
        <v>-77000</v>
      </c>
      <c r="G220" s="26">
        <v>-985000</v>
      </c>
      <c r="H220" s="8"/>
      <c r="I220" s="8"/>
      <c r="J220" s="14"/>
      <c r="K220" s="8"/>
      <c r="L220" s="14"/>
      <c r="M220" s="8"/>
      <c r="N220" s="8"/>
    </row>
    <row r="221" spans="1:14" ht="17.25" x14ac:dyDescent="0.4">
      <c r="A221" s="16"/>
      <c r="B221" s="7" t="s">
        <v>101</v>
      </c>
      <c r="C221" s="32">
        <v>0</v>
      </c>
      <c r="D221" s="32">
        <v>0</v>
      </c>
      <c r="E221" s="32">
        <v>0</v>
      </c>
      <c r="F221" s="32">
        <v>0</v>
      </c>
      <c r="G221" s="31">
        <v>-18211000</v>
      </c>
      <c r="H221" s="8"/>
      <c r="I221" s="8"/>
      <c r="J221" s="14"/>
      <c r="K221" s="8"/>
      <c r="L221" s="14"/>
      <c r="M221" s="8"/>
      <c r="N221" s="8"/>
    </row>
    <row r="222" spans="1:14" x14ac:dyDescent="0.25">
      <c r="A222" s="16" t="s">
        <v>89</v>
      </c>
      <c r="B222" s="9" t="s">
        <v>100</v>
      </c>
      <c r="C222" s="24">
        <v>6145000</v>
      </c>
      <c r="D222" s="24">
        <v>-19675000</v>
      </c>
      <c r="E222" s="24">
        <v>-9830000</v>
      </c>
      <c r="F222" s="24">
        <v>7375000</v>
      </c>
      <c r="G222" s="24">
        <v>-10566000</v>
      </c>
      <c r="H222" s="8"/>
      <c r="I222" s="8"/>
      <c r="J222" s="14"/>
      <c r="K222" s="8"/>
      <c r="L222" s="14"/>
      <c r="M222" s="8"/>
      <c r="N222" s="8"/>
    </row>
    <row r="223" spans="1:14" x14ac:dyDescent="0.25">
      <c r="A223" s="16"/>
      <c r="B223" s="7" t="s">
        <v>99</v>
      </c>
      <c r="C223" s="29">
        <v>0</v>
      </c>
      <c r="D223" s="26">
        <v>4968000</v>
      </c>
      <c r="E223" s="26">
        <v>4977000</v>
      </c>
      <c r="F223" s="29">
        <v>0</v>
      </c>
      <c r="G223" s="29">
        <v>0</v>
      </c>
      <c r="H223" s="8"/>
      <c r="I223" s="8"/>
      <c r="J223" s="14"/>
      <c r="K223" s="8"/>
      <c r="L223" s="14"/>
      <c r="M223" s="8"/>
      <c r="N223" s="8"/>
    </row>
    <row r="224" spans="1:14" x14ac:dyDescent="0.25">
      <c r="A224" s="16"/>
      <c r="B224" s="7" t="s">
        <v>98</v>
      </c>
      <c r="C224" s="29">
        <v>0</v>
      </c>
      <c r="D224" s="29">
        <v>0</v>
      </c>
      <c r="E224" s="29">
        <v>0</v>
      </c>
      <c r="F224" s="26">
        <v>-10039000</v>
      </c>
      <c r="G224" s="26">
        <v>-9533000</v>
      </c>
      <c r="H224" s="8"/>
      <c r="I224" s="8"/>
      <c r="J224" s="14"/>
      <c r="K224" s="8"/>
      <c r="L224" s="14"/>
      <c r="M224" s="8"/>
      <c r="N224" s="8"/>
    </row>
    <row r="225" spans="1:14" x14ac:dyDescent="0.25">
      <c r="A225" s="16"/>
      <c r="B225" s="7" t="s">
        <v>97</v>
      </c>
      <c r="C225" s="26">
        <v>149000</v>
      </c>
      <c r="D225" s="26">
        <v>194000</v>
      </c>
      <c r="E225" s="26">
        <v>281000</v>
      </c>
      <c r="F225" s="26">
        <v>355000</v>
      </c>
      <c r="G225" s="29">
        <v>0</v>
      </c>
      <c r="H225" s="8"/>
      <c r="I225" s="8"/>
      <c r="J225" s="14"/>
      <c r="K225" s="8"/>
      <c r="L225" s="14"/>
      <c r="M225" s="8"/>
      <c r="N225" s="8"/>
    </row>
    <row r="226" spans="1:14" x14ac:dyDescent="0.25">
      <c r="A226" s="16"/>
      <c r="B226" s="7" t="s">
        <v>96</v>
      </c>
      <c r="C226" s="26">
        <v>-551000</v>
      </c>
      <c r="D226" s="26">
        <v>-942000</v>
      </c>
      <c r="E226" s="26">
        <v>-1904000</v>
      </c>
      <c r="F226" s="26">
        <v>-1475000</v>
      </c>
      <c r="G226" s="26">
        <v>-2783000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95</v>
      </c>
      <c r="C227" s="29">
        <v>0</v>
      </c>
      <c r="D227" s="29">
        <v>0</v>
      </c>
      <c r="E227" s="26">
        <v>-1000000</v>
      </c>
      <c r="F227" s="29">
        <v>0</v>
      </c>
      <c r="G227" s="26">
        <v>-1250000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94</v>
      </c>
      <c r="C228" s="26">
        <v>-390000</v>
      </c>
      <c r="D228" s="26">
        <v>-395000</v>
      </c>
      <c r="E228" s="26">
        <v>-399000</v>
      </c>
      <c r="F228" s="26">
        <v>-398000</v>
      </c>
      <c r="G228" s="26">
        <v>-395000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93</v>
      </c>
      <c r="C229" s="29">
        <v>0</v>
      </c>
      <c r="D229" s="26">
        <v>-17000</v>
      </c>
      <c r="E229" s="26">
        <v>-83000</v>
      </c>
      <c r="F229" s="26">
        <v>-58000</v>
      </c>
      <c r="G229" s="29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8"/>
      <c r="N229" s="8"/>
    </row>
    <row r="230" spans="1:14" x14ac:dyDescent="0.25">
      <c r="A230" s="16"/>
      <c r="B230" s="7" t="s">
        <v>92</v>
      </c>
      <c r="C230" s="29">
        <v>0</v>
      </c>
      <c r="D230" s="29">
        <v>0</v>
      </c>
      <c r="E230" s="29">
        <v>0</v>
      </c>
      <c r="F230" s="29">
        <v>0</v>
      </c>
      <c r="G230" s="26">
        <v>-74000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91</v>
      </c>
      <c r="C231" s="29">
        <v>0</v>
      </c>
      <c r="D231" s="29">
        <v>0</v>
      </c>
      <c r="E231" s="29">
        <v>0</v>
      </c>
      <c r="F231" s="29">
        <v>0</v>
      </c>
      <c r="G231" s="26">
        <v>403000</v>
      </c>
      <c r="H231" s="8"/>
      <c r="I231" s="8"/>
      <c r="J231" s="14"/>
      <c r="K231" s="8"/>
      <c r="L231" s="14"/>
      <c r="M231" s="8"/>
      <c r="N231" s="8"/>
    </row>
    <row r="232" spans="1:14" ht="17.25" x14ac:dyDescent="0.4">
      <c r="A232" s="16"/>
      <c r="B232" s="7" t="s">
        <v>90</v>
      </c>
      <c r="C232" s="32">
        <v>0</v>
      </c>
      <c r="D232" s="31">
        <v>-4000</v>
      </c>
      <c r="E232" s="31">
        <v>-7000</v>
      </c>
      <c r="F232" s="31">
        <v>-2000</v>
      </c>
      <c r="G232" s="31">
        <v>-1000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 t="s">
        <v>89</v>
      </c>
      <c r="B233" s="9" t="s">
        <v>88</v>
      </c>
      <c r="C233" s="24">
        <v>-792000</v>
      </c>
      <c r="D233" s="24">
        <v>3804000</v>
      </c>
      <c r="E233" s="24">
        <v>1865000</v>
      </c>
      <c r="F233" s="24">
        <v>-11617000</v>
      </c>
      <c r="G233" s="24">
        <v>-13633000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8"/>
      <c r="B234" s="7" t="s">
        <v>87</v>
      </c>
      <c r="C234" s="26">
        <v>10114000</v>
      </c>
      <c r="D234" s="26">
        <v>-10049000</v>
      </c>
      <c r="E234" s="26">
        <v>1143000</v>
      </c>
      <c r="F234" s="26">
        <v>1399000</v>
      </c>
      <c r="G234" s="26">
        <v>3891000</v>
      </c>
      <c r="H234" s="8"/>
      <c r="I234" s="8"/>
      <c r="J234" s="14"/>
      <c r="K234" s="8"/>
      <c r="L234" s="14"/>
      <c r="M234" s="8"/>
      <c r="N234" s="8"/>
    </row>
    <row r="235" spans="1:14" x14ac:dyDescent="0.25">
      <c r="A235" s="8"/>
      <c r="B235" s="7" t="s">
        <v>86</v>
      </c>
      <c r="C235" s="26">
        <v>782000</v>
      </c>
      <c r="D235" s="26">
        <v>10896000</v>
      </c>
      <c r="E235" s="26">
        <v>847000</v>
      </c>
      <c r="F235" s="26">
        <v>1990000</v>
      </c>
      <c r="G235" s="26">
        <v>3389000</v>
      </c>
      <c r="H235" s="8"/>
      <c r="I235" s="8"/>
      <c r="J235" s="14"/>
      <c r="K235" s="8"/>
      <c r="L235" s="14"/>
      <c r="M235" s="8"/>
      <c r="N235" s="8"/>
    </row>
    <row r="236" spans="1:14" x14ac:dyDescent="0.25">
      <c r="A236" s="8"/>
      <c r="B236" s="7" t="s">
        <v>85</v>
      </c>
      <c r="C236" s="26">
        <v>10896000</v>
      </c>
      <c r="D236" s="26">
        <v>847000</v>
      </c>
      <c r="E236" s="26">
        <v>1990000</v>
      </c>
      <c r="F236" s="26">
        <v>3389000</v>
      </c>
      <c r="G236" s="26">
        <v>7280000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8"/>
      <c r="B237" s="7" t="s">
        <v>84</v>
      </c>
      <c r="C237" s="26">
        <v>176000</v>
      </c>
      <c r="D237" s="26">
        <v>249000</v>
      </c>
      <c r="E237" s="26">
        <v>396000</v>
      </c>
      <c r="F237" s="26">
        <v>1404000</v>
      </c>
      <c r="G237" s="26">
        <v>6549000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8"/>
      <c r="B238" s="7" t="s">
        <v>83</v>
      </c>
      <c r="C238" s="26">
        <v>54000</v>
      </c>
      <c r="D238" s="26">
        <v>138000</v>
      </c>
      <c r="E238" s="26">
        <v>246000</v>
      </c>
      <c r="F238" s="26">
        <v>254000</v>
      </c>
      <c r="G238" s="26">
        <v>252000</v>
      </c>
      <c r="H238" s="8"/>
      <c r="I238" s="8"/>
      <c r="J238" s="14"/>
      <c r="K238" s="8"/>
      <c r="L238" s="14"/>
      <c r="M238" s="8"/>
      <c r="N238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3" sqref="B33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190</v>
      </c>
    </row>
    <row r="3" spans="2:13" x14ac:dyDescent="0.25">
      <c r="B3" s="41"/>
    </row>
    <row r="4" spans="2:13" x14ac:dyDescent="0.25">
      <c r="B4" s="49" t="s">
        <v>191</v>
      </c>
      <c r="C4" s="50" t="s">
        <v>194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>+($B$7*$C$7)</f>
        <v>20500</v>
      </c>
      <c r="E7" s="43">
        <f>+($B$7*$C$7)</f>
        <v>20500</v>
      </c>
      <c r="F7" s="43">
        <f>+($B$7*$C$7)</f>
        <v>20500</v>
      </c>
      <c r="G7" s="43">
        <f>+($B$7*$C$7)</f>
        <v>20500</v>
      </c>
      <c r="H7" s="43">
        <f>+($B$7*$C$7)</f>
        <v>20500</v>
      </c>
      <c r="I7" s="43">
        <f>+($B$7*$C$7)</f>
        <v>20500</v>
      </c>
      <c r="J7" s="43">
        <f>+($B$7*$C$7)</f>
        <v>20500</v>
      </c>
      <c r="K7" s="43">
        <f>+($B$7*$C$7)</f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0">+$B8*$C8</f>
        <v>43950</v>
      </c>
      <c r="F8" s="43">
        <f t="shared" si="0"/>
        <v>43950</v>
      </c>
      <c r="G8" s="43">
        <f t="shared" si="0"/>
        <v>43950</v>
      </c>
      <c r="H8" s="43">
        <f t="shared" si="0"/>
        <v>43950</v>
      </c>
      <c r="I8" s="43">
        <f t="shared" si="0"/>
        <v>43950</v>
      </c>
      <c r="J8" s="43">
        <f t="shared" si="0"/>
        <v>43950</v>
      </c>
      <c r="K8" s="43">
        <f t="shared" si="0"/>
        <v>43950</v>
      </c>
      <c r="L8" s="43">
        <f t="shared" si="0"/>
        <v>43950</v>
      </c>
      <c r="M8" s="43">
        <f t="shared" si="0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L12" si="1">+$B9*$C9</f>
        <v>26124.999999999996</v>
      </c>
      <c r="E9" s="43">
        <f t="shared" si="0"/>
        <v>26124.999999999996</v>
      </c>
      <c r="F9" s="43">
        <f t="shared" si="0"/>
        <v>26124.999999999996</v>
      </c>
      <c r="G9" s="43">
        <f t="shared" si="0"/>
        <v>26124.999999999996</v>
      </c>
      <c r="H9" s="43">
        <f t="shared" si="0"/>
        <v>26124.999999999996</v>
      </c>
      <c r="I9" s="43">
        <f t="shared" si="0"/>
        <v>26124.999999999996</v>
      </c>
      <c r="J9" s="43">
        <f t="shared" si="0"/>
        <v>26124.999999999996</v>
      </c>
      <c r="K9" s="43">
        <f t="shared" si="0"/>
        <v>26124.999999999996</v>
      </c>
      <c r="L9" s="43">
        <f t="shared" si="0"/>
        <v>26124.999999999996</v>
      </c>
      <c r="M9" s="43">
        <f t="shared" si="0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1"/>
        <v>35400</v>
      </c>
      <c r="E10" s="43">
        <f t="shared" si="0"/>
        <v>35400</v>
      </c>
      <c r="F10" s="43">
        <f t="shared" si="0"/>
        <v>35400</v>
      </c>
      <c r="G10" s="43">
        <f t="shared" si="0"/>
        <v>35400</v>
      </c>
      <c r="H10" s="43">
        <f t="shared" si="0"/>
        <v>35400</v>
      </c>
      <c r="I10" s="43">
        <f t="shared" si="0"/>
        <v>35400</v>
      </c>
      <c r="J10" s="43">
        <f t="shared" si="0"/>
        <v>35400</v>
      </c>
      <c r="K10" s="43">
        <f t="shared" si="0"/>
        <v>35400</v>
      </c>
      <c r="L10" s="43">
        <f t="shared" si="0"/>
        <v>35400</v>
      </c>
      <c r="M10" s="43">
        <f t="shared" si="0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1"/>
        <v>70800</v>
      </c>
      <c r="E11" s="43">
        <f t="shared" si="0"/>
        <v>70800</v>
      </c>
      <c r="F11" s="43">
        <f t="shared" si="0"/>
        <v>70800</v>
      </c>
      <c r="G11" s="43">
        <f t="shared" si="0"/>
        <v>70800</v>
      </c>
      <c r="H11" s="43">
        <f t="shared" si="0"/>
        <v>70800</v>
      </c>
      <c r="I11" s="43">
        <f t="shared" si="0"/>
        <v>70800</v>
      </c>
      <c r="J11" s="43">
        <f t="shared" si="0"/>
        <v>70800</v>
      </c>
      <c r="K11" s="43">
        <f t="shared" si="0"/>
        <v>70800</v>
      </c>
      <c r="L11" s="43">
        <f t="shared" si="0"/>
        <v>70800</v>
      </c>
      <c r="M11" s="43">
        <f t="shared" si="0"/>
        <v>70800</v>
      </c>
    </row>
    <row r="12" spans="2:13" ht="17.25" x14ac:dyDescent="0.4">
      <c r="B12" s="53">
        <v>500000</v>
      </c>
      <c r="C12" s="48">
        <v>3.73E-2</v>
      </c>
      <c r="D12" s="43">
        <f t="shared" si="1"/>
        <v>18650</v>
      </c>
      <c r="E12" s="43">
        <f t="shared" si="0"/>
        <v>18650</v>
      </c>
      <c r="F12" s="43">
        <f t="shared" si="0"/>
        <v>18650</v>
      </c>
      <c r="G12" s="43">
        <f t="shared" si="0"/>
        <v>18650</v>
      </c>
      <c r="H12" s="43">
        <f t="shared" si="0"/>
        <v>18650</v>
      </c>
      <c r="I12" s="43">
        <f t="shared" si="0"/>
        <v>18650</v>
      </c>
      <c r="J12" s="43">
        <f t="shared" si="0"/>
        <v>18650</v>
      </c>
      <c r="K12" s="43">
        <f t="shared" si="0"/>
        <v>18650</v>
      </c>
      <c r="L12" s="43">
        <f t="shared" si="0"/>
        <v>18650</v>
      </c>
      <c r="M12" s="43">
        <f t="shared" si="0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195</v>
      </c>
      <c r="C15" s="44">
        <f>+SUM(D5:E12)-B5</f>
        <v>513550</v>
      </c>
    </row>
    <row r="16" spans="2:13" x14ac:dyDescent="0.25">
      <c r="B16" s="51" t="s">
        <v>196</v>
      </c>
      <c r="C16" s="44">
        <f>+SUM(F5:G12)</f>
        <v>497050</v>
      </c>
    </row>
    <row r="17" spans="2:3" x14ac:dyDescent="0.25">
      <c r="B17" s="51" t="s">
        <v>197</v>
      </c>
      <c r="C17" s="44">
        <f>+SUM(H5:I12)-B6</f>
        <v>497050</v>
      </c>
    </row>
    <row r="18" spans="2:3" x14ac:dyDescent="0.25">
      <c r="B18" s="51" t="s">
        <v>198</v>
      </c>
      <c r="C18" s="44">
        <f>+SUM(J5:K12)</f>
        <v>430850</v>
      </c>
    </row>
    <row r="19" spans="2:3" x14ac:dyDescent="0.25">
      <c r="B19" s="51" t="s">
        <v>199</v>
      </c>
      <c r="C19" s="44">
        <f>+SUM(L5:M12)-B7</f>
        <v>410350</v>
      </c>
    </row>
    <row r="21" spans="2:3" x14ac:dyDescent="0.25">
      <c r="B21" s="51" t="s">
        <v>200</v>
      </c>
      <c r="C21" s="44">
        <f>+B5</f>
        <v>1250000</v>
      </c>
    </row>
    <row r="22" spans="2:3" x14ac:dyDescent="0.25">
      <c r="B22" s="51" t="s">
        <v>201</v>
      </c>
      <c r="C22" s="44">
        <v>0</v>
      </c>
    </row>
    <row r="23" spans="2:3" x14ac:dyDescent="0.25">
      <c r="B23" s="51" t="s">
        <v>202</v>
      </c>
      <c r="C23" s="44">
        <f>+B6</f>
        <v>1000000</v>
      </c>
    </row>
    <row r="24" spans="2:3" x14ac:dyDescent="0.25">
      <c r="B24" s="51" t="s">
        <v>203</v>
      </c>
      <c r="C24" s="43">
        <v>0</v>
      </c>
    </row>
    <row r="25" spans="2:3" x14ac:dyDescent="0.25">
      <c r="B25" s="51" t="s">
        <v>204</v>
      </c>
      <c r="C25" s="43">
        <f>+B7</f>
        <v>1250000</v>
      </c>
    </row>
    <row r="27" spans="2:3" x14ac:dyDescent="0.25">
      <c r="B27" s="51" t="s">
        <v>205</v>
      </c>
      <c r="C27" s="44">
        <f>+C15+C21</f>
        <v>1763550</v>
      </c>
    </row>
    <row r="28" spans="2:3" x14ac:dyDescent="0.25">
      <c r="B28" s="51" t="s">
        <v>206</v>
      </c>
      <c r="C28" s="44">
        <f t="shared" ref="C28:C31" si="2">+C16+C22</f>
        <v>497050</v>
      </c>
    </row>
    <row r="29" spans="2:3" x14ac:dyDescent="0.25">
      <c r="B29" s="51" t="s">
        <v>207</v>
      </c>
      <c r="C29" s="44">
        <f t="shared" si="2"/>
        <v>1497050</v>
      </c>
    </row>
    <row r="30" spans="2:3" x14ac:dyDescent="0.25">
      <c r="B30" s="51" t="s">
        <v>208</v>
      </c>
      <c r="C30" s="44">
        <f t="shared" si="2"/>
        <v>430850</v>
      </c>
    </row>
    <row r="31" spans="2:3" x14ac:dyDescent="0.25">
      <c r="B31" s="51" t="s">
        <v>209</v>
      </c>
      <c r="C31" s="44">
        <f t="shared" si="2"/>
        <v>1660350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/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 t="s">
        <v>163</v>
      </c>
    </row>
    <row r="2" spans="2:7" x14ac:dyDescent="0.25">
      <c r="B2" s="4" t="s">
        <v>176</v>
      </c>
      <c r="C2" s="5"/>
      <c r="D2" s="5"/>
      <c r="E2" s="5"/>
      <c r="F2" s="5"/>
      <c r="G2" s="5"/>
    </row>
    <row r="3" spans="2:7" x14ac:dyDescent="0.25">
      <c r="B3" s="6" t="s">
        <v>166</v>
      </c>
      <c r="C3" s="7" t="s">
        <v>167</v>
      </c>
      <c r="D3" s="5"/>
      <c r="E3" s="5"/>
      <c r="F3" s="5"/>
      <c r="G3" s="5"/>
    </row>
    <row r="4" spans="2:7" x14ac:dyDescent="0.25">
      <c r="B4" s="6" t="s">
        <v>168</v>
      </c>
      <c r="C4" s="7" t="s">
        <v>169</v>
      </c>
      <c r="D4" s="5"/>
      <c r="E4" s="5"/>
      <c r="F4" s="5"/>
      <c r="G4" s="5"/>
    </row>
    <row r="5" spans="2:7" x14ac:dyDescent="0.25">
      <c r="B5" s="6" t="s">
        <v>170</v>
      </c>
      <c r="C5" s="7" t="s">
        <v>171</v>
      </c>
      <c r="D5" s="5"/>
      <c r="E5" s="5"/>
      <c r="F5" s="5"/>
      <c r="G5" s="5"/>
    </row>
    <row r="6" spans="2:7" x14ac:dyDescent="0.25">
      <c r="B6" s="6" t="s">
        <v>172</v>
      </c>
      <c r="C6" s="7" t="s">
        <v>173</v>
      </c>
      <c r="D6" s="5"/>
      <c r="E6" s="5"/>
      <c r="F6" s="5"/>
      <c r="G6" s="5"/>
    </row>
    <row r="7" spans="2:7" x14ac:dyDescent="0.25">
      <c r="B7" s="6" t="s">
        <v>174</v>
      </c>
      <c r="C7" s="7" t="s">
        <v>175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177</v>
      </c>
      <c r="C9" s="5"/>
      <c r="D9" s="5"/>
      <c r="E9" s="5"/>
      <c r="F9" s="5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Sheet1</vt:lpstr>
      <vt:lpstr>Financial Statement</vt:lpstr>
      <vt:lpstr>Debt Schedule</vt:lpstr>
      <vt:lpstr>Reference</vt:lpstr>
      <vt:lpstr>AV</vt:lpstr>
      <vt:lpstr>DCAI</vt:lpstr>
      <vt:lpstr>FORTax</vt:lpstr>
      <vt:lpstr>FX</vt:lpstr>
      <vt:lpstr>GFX</vt:lpstr>
      <vt:lpstr>GROSS</vt:lpstr>
      <vt:lpstr>OEMO</vt:lpstr>
      <vt:lpstr>RD</vt:lpstr>
      <vt:lpstr>Revenue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2024-04-19T19:44:25Z</dcterms:modified>
</cp:coreProperties>
</file>