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c vien\Downloads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4" l="1"/>
  <c r="F12" i="4"/>
  <c r="F11" i="4"/>
  <c r="F10" i="4"/>
  <c r="W9" i="4"/>
  <c r="W10" i="4"/>
  <c r="W11" i="4"/>
  <c r="W12" i="4"/>
  <c r="W13" i="4"/>
  <c r="W14" i="4"/>
  <c r="W15" i="4"/>
  <c r="W8" i="4"/>
  <c r="V9" i="4"/>
  <c r="V10" i="4"/>
  <c r="V12" i="4"/>
  <c r="V13" i="4"/>
  <c r="V14" i="4"/>
  <c r="V15" i="4"/>
  <c r="T9" i="4"/>
  <c r="T10" i="4"/>
  <c r="T11" i="4"/>
  <c r="T12" i="4"/>
  <c r="T13" i="4"/>
  <c r="T14" i="4"/>
  <c r="T15" i="4"/>
  <c r="T8" i="4"/>
  <c r="V8" i="4" s="1"/>
  <c r="U9" i="4"/>
  <c r="U10" i="4"/>
  <c r="U11" i="4"/>
  <c r="U12" i="4"/>
  <c r="U13" i="4"/>
  <c r="U14" i="4"/>
  <c r="U15" i="4"/>
  <c r="U8" i="4"/>
  <c r="O9" i="4"/>
  <c r="O10" i="4"/>
  <c r="O11" i="4"/>
  <c r="O12" i="4"/>
  <c r="O13" i="4"/>
  <c r="O14" i="4"/>
  <c r="O15" i="4"/>
  <c r="O8" i="4"/>
  <c r="P9" i="4"/>
  <c r="P10" i="4"/>
  <c r="P11" i="4"/>
  <c r="P12" i="4"/>
  <c r="P13" i="4"/>
  <c r="P14" i="4"/>
  <c r="P15" i="4"/>
  <c r="P8" i="4"/>
  <c r="L7" i="1"/>
  <c r="M16" i="2"/>
  <c r="K8" i="1"/>
  <c r="J7" i="1"/>
  <c r="L8" i="3"/>
  <c r="P9" i="3"/>
  <c r="N14" i="3"/>
  <c r="N9" i="3"/>
  <c r="N11" i="3"/>
  <c r="N15" i="3"/>
  <c r="N12" i="3"/>
  <c r="P12" i="3" s="1"/>
  <c r="N16" i="3"/>
  <c r="N10" i="3"/>
  <c r="N13" i="3"/>
  <c r="N8" i="3"/>
  <c r="N7" i="3"/>
  <c r="M11" i="3"/>
  <c r="L7" i="3"/>
  <c r="M14" i="3"/>
  <c r="M9" i="3"/>
  <c r="O9" i="3" s="1"/>
  <c r="M15" i="3"/>
  <c r="M12" i="3"/>
  <c r="O12" i="3" s="1"/>
  <c r="M16" i="3"/>
  <c r="O16" i="3" s="1"/>
  <c r="M10" i="3"/>
  <c r="M13" i="3"/>
  <c r="M8" i="3"/>
  <c r="M7" i="3"/>
  <c r="O7" i="3" s="1"/>
  <c r="L14" i="3"/>
  <c r="P14" i="3" s="1"/>
  <c r="L9" i="3"/>
  <c r="L11" i="3"/>
  <c r="L15" i="3"/>
  <c r="O15" i="3" s="1"/>
  <c r="L12" i="3"/>
  <c r="L16" i="3"/>
  <c r="P16" i="3" s="1"/>
  <c r="L10" i="3"/>
  <c r="L13" i="3"/>
  <c r="O13" i="3" s="1"/>
  <c r="M14" i="2"/>
  <c r="M13" i="2"/>
  <c r="M11" i="2"/>
  <c r="M10" i="2"/>
  <c r="M9" i="2"/>
  <c r="M15" i="2"/>
  <c r="K16" i="2"/>
  <c r="L16" i="2" s="1"/>
  <c r="K13" i="2"/>
  <c r="L13" i="2" s="1"/>
  <c r="K11" i="2"/>
  <c r="L11" i="2" s="1"/>
  <c r="K10" i="2"/>
  <c r="L10" i="2" s="1"/>
  <c r="K12" i="2"/>
  <c r="L12" i="2" s="1"/>
  <c r="K9" i="2"/>
  <c r="L9" i="2" s="1"/>
  <c r="K15" i="2"/>
  <c r="L15" i="2" s="1"/>
  <c r="K14" i="2"/>
  <c r="L14" i="2" s="1"/>
  <c r="N14" i="2" s="1"/>
  <c r="I16" i="2"/>
  <c r="I13" i="2"/>
  <c r="I11" i="2"/>
  <c r="I10" i="2"/>
  <c r="I12" i="2"/>
  <c r="I9" i="2"/>
  <c r="I15" i="2"/>
  <c r="I14" i="2"/>
  <c r="L10" i="1"/>
  <c r="K9" i="1"/>
  <c r="L9" i="1" s="1"/>
  <c r="K10" i="1"/>
  <c r="K11" i="1"/>
  <c r="K12" i="1"/>
  <c r="K13" i="1"/>
  <c r="K14" i="1"/>
  <c r="K15" i="1"/>
  <c r="K7" i="1"/>
  <c r="J8" i="1"/>
  <c r="L8" i="1" s="1"/>
  <c r="J9" i="1"/>
  <c r="J10" i="1"/>
  <c r="J11" i="1"/>
  <c r="L11" i="1" s="1"/>
  <c r="J12" i="1"/>
  <c r="L12" i="1" s="1"/>
  <c r="J13" i="1"/>
  <c r="L13" i="1" s="1"/>
  <c r="J14" i="1"/>
  <c r="L14" i="1" s="1"/>
  <c r="J15" i="1"/>
  <c r="L15" i="1" s="1"/>
  <c r="I15" i="1"/>
  <c r="I14" i="1"/>
  <c r="I13" i="1"/>
  <c r="I12" i="1"/>
  <c r="I11" i="1"/>
  <c r="I10" i="1"/>
  <c r="I9" i="1"/>
  <c r="I8" i="1"/>
  <c r="I7" i="1"/>
  <c r="H8" i="1"/>
  <c r="H7" i="1"/>
  <c r="H9" i="1"/>
  <c r="H10" i="1"/>
  <c r="H11" i="1"/>
  <c r="H12" i="1"/>
  <c r="H13" i="1"/>
  <c r="H14" i="1"/>
  <c r="H15" i="1"/>
  <c r="P13" i="3" l="1"/>
  <c r="P10" i="3"/>
  <c r="Q13" i="3"/>
  <c r="P15" i="3"/>
  <c r="Q15" i="3" s="1"/>
  <c r="O11" i="3"/>
  <c r="Q11" i="3" s="1"/>
  <c r="P11" i="3"/>
  <c r="Q16" i="3"/>
  <c r="O10" i="3"/>
  <c r="P7" i="3"/>
  <c r="Q12" i="3"/>
  <c r="Q7" i="3"/>
  <c r="P8" i="3"/>
  <c r="O8" i="3"/>
  <c r="Q9" i="3"/>
  <c r="O14" i="3"/>
  <c r="Q14" i="3" s="1"/>
  <c r="N10" i="2"/>
  <c r="N11" i="2"/>
  <c r="N13" i="2"/>
  <c r="N15" i="2"/>
  <c r="N9" i="2"/>
  <c r="M12" i="2"/>
  <c r="N12" i="2" s="1"/>
  <c r="N16" i="2"/>
  <c r="Q10" i="3" l="1"/>
  <c r="Q8" i="3"/>
</calcChain>
</file>

<file path=xl/sharedStrings.xml><?xml version="1.0" encoding="utf-8"?>
<sst xmlns="http://schemas.openxmlformats.org/spreadsheetml/2006/main" count="174" uniqueCount="130">
  <si>
    <t>STT</t>
  </si>
  <si>
    <t>Họ</t>
  </si>
  <si>
    <t>Tên</t>
  </si>
  <si>
    <t>Mã Phòng</t>
  </si>
  <si>
    <t>Ngày Đến</t>
  </si>
  <si>
    <t>Ngày Đi</t>
  </si>
  <si>
    <t>Thành Tiền</t>
  </si>
  <si>
    <t>Lý</t>
  </si>
  <si>
    <t>Sơn</t>
  </si>
  <si>
    <t>Đào</t>
  </si>
  <si>
    <t>Vũ</t>
  </si>
  <si>
    <t>Nguyễn</t>
  </si>
  <si>
    <t>Phạm</t>
  </si>
  <si>
    <t>Trần</t>
  </si>
  <si>
    <t>Hồng</t>
  </si>
  <si>
    <t>Vương</t>
  </si>
  <si>
    <t>Võ</t>
  </si>
  <si>
    <t>Hùng</t>
  </si>
  <si>
    <t>Thanh</t>
  </si>
  <si>
    <t>Lan</t>
  </si>
  <si>
    <t>Quy</t>
  </si>
  <si>
    <t>Hương</t>
  </si>
  <si>
    <t>Anh</t>
  </si>
  <si>
    <t>Trung</t>
  </si>
  <si>
    <t>T2C</t>
  </si>
  <si>
    <t>T3B</t>
  </si>
  <si>
    <t>T4A</t>
  </si>
  <si>
    <t>T3A</t>
  </si>
  <si>
    <t>T2B</t>
  </si>
  <si>
    <t>T4C</t>
  </si>
  <si>
    <t>T4B</t>
  </si>
  <si>
    <t>T1D</t>
  </si>
  <si>
    <t>Loại phòng</t>
  </si>
  <si>
    <t>Ngày</t>
  </si>
  <si>
    <t>A</t>
  </si>
  <si>
    <t>B</t>
  </si>
  <si>
    <t>C</t>
  </si>
  <si>
    <t>D</t>
  </si>
  <si>
    <t>Số Tuần</t>
  </si>
  <si>
    <t>Số Ngày Lẻ</t>
  </si>
  <si>
    <t>Giá Tuần</t>
  </si>
  <si>
    <t>Giá Ngày</t>
  </si>
  <si>
    <t>Tuần</t>
  </si>
  <si>
    <t>BẢNG KÊ CHI PHÍ KHÁCH SẠN</t>
  </si>
  <si>
    <t>Bảng giá</t>
  </si>
  <si>
    <t>MÃ HÀNG</t>
  </si>
  <si>
    <t>TÊN HÀNG</t>
  </si>
  <si>
    <t>ĐƠN GIÁ</t>
  </si>
  <si>
    <t>ĐỘC HẠI</t>
  </si>
  <si>
    <t>DUMEX</t>
  </si>
  <si>
    <t>SGB</t>
  </si>
  <si>
    <t>TIGER</t>
  </si>
  <si>
    <t>VEDAN</t>
  </si>
  <si>
    <t>Sữa bột</t>
  </si>
  <si>
    <t>Thuốc lá</t>
  </si>
  <si>
    <t>Đường</t>
  </si>
  <si>
    <t>Rượu</t>
  </si>
  <si>
    <t>Bột ngọt</t>
  </si>
  <si>
    <t>x</t>
  </si>
  <si>
    <t>NGÀY NHẬP</t>
  </si>
  <si>
    <t>SỐ LƯỢNG</t>
  </si>
  <si>
    <t>THÀNH TIỀN</t>
  </si>
  <si>
    <t>THUẾ ĐỘC HẠI</t>
  </si>
  <si>
    <t>TỔNG CỘNG</t>
  </si>
  <si>
    <t>BẢNG 1</t>
  </si>
  <si>
    <t>KẾT TOÁN NHẬP HÀNG THÁNG 10/2016</t>
  </si>
  <si>
    <t>Loại</t>
  </si>
  <si>
    <t>Khu vực</t>
  </si>
  <si>
    <t>E</t>
  </si>
  <si>
    <t>Loại 1</t>
  </si>
  <si>
    <t>Loại 2</t>
  </si>
  <si>
    <t>Số ĐK</t>
  </si>
  <si>
    <t>Định mức</t>
  </si>
  <si>
    <t>Số cũ</t>
  </si>
  <si>
    <t>Số mới</t>
  </si>
  <si>
    <t>Đơn giá</t>
  </si>
  <si>
    <t>Tiền trong định mức</t>
  </si>
  <si>
    <t>Tiền vượt định mức</t>
  </si>
  <si>
    <t>Tổng</t>
  </si>
  <si>
    <t>A001</t>
  </si>
  <si>
    <t>D002</t>
  </si>
  <si>
    <t>B001</t>
  </si>
  <si>
    <t>C002</t>
  </si>
  <si>
    <t>E001</t>
  </si>
  <si>
    <t>E002</t>
  </si>
  <si>
    <t>B002</t>
  </si>
  <si>
    <t>D001</t>
  </si>
  <si>
    <t>Trong định mức</t>
  </si>
  <si>
    <t>Vượt định mức</t>
  </si>
  <si>
    <t>BẢNG TÍNH TIỀN ĐIỆN</t>
  </si>
  <si>
    <t>BẢNG ĐƠN GIÁ</t>
  </si>
  <si>
    <t>Mã ngành</t>
  </si>
  <si>
    <t>Ngành thi</t>
  </si>
  <si>
    <t>Điểm chuẩn 1</t>
  </si>
  <si>
    <t>Điểm chuẩn 2</t>
  </si>
  <si>
    <t>Máy tính</t>
  </si>
  <si>
    <t>Điện tử</t>
  </si>
  <si>
    <t>Xây dựng</t>
  </si>
  <si>
    <t>Hóa</t>
  </si>
  <si>
    <t>Điểm học bổng</t>
  </si>
  <si>
    <t>Mã số</t>
  </si>
  <si>
    <t>Toán</t>
  </si>
  <si>
    <t>Kết quả</t>
  </si>
  <si>
    <t>A101</t>
  </si>
  <si>
    <t>B102</t>
  </si>
  <si>
    <t>C203</t>
  </si>
  <si>
    <t>D204</t>
  </si>
  <si>
    <t>A205</t>
  </si>
  <si>
    <t>C106</t>
  </si>
  <si>
    <t>D107</t>
  </si>
  <si>
    <t>A208</t>
  </si>
  <si>
    <t>Lê</t>
  </si>
  <si>
    <t>Kiều</t>
  </si>
  <si>
    <t>Lệ</t>
  </si>
  <si>
    <t>Lâm</t>
  </si>
  <si>
    <t>Nga</t>
  </si>
  <si>
    <t>Mạnh</t>
  </si>
  <si>
    <t>Uyên</t>
  </si>
  <si>
    <t>Tùng</t>
  </si>
  <si>
    <t>Hoa</t>
  </si>
  <si>
    <t>BẢNG 2</t>
  </si>
  <si>
    <t>Thí sinh đậu</t>
  </si>
  <si>
    <t>Thí sinh rớt</t>
  </si>
  <si>
    <t>Thí sinh có học bổng</t>
  </si>
  <si>
    <t>Số lượng</t>
  </si>
  <si>
    <t>BẢNG THỐNG KÊ</t>
  </si>
  <si>
    <t>KẾT QUẢ TUYỂN SINH</t>
  </si>
  <si>
    <t>Tổng cộng</t>
  </si>
  <si>
    <t>Điểm chuẩn</t>
  </si>
  <si>
    <t>Học bổng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</si>
</sst>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70" formatCode="&quot;$&quot;#,##0"/>
    <numFmt numFmtId="179" formatCode="_-* #,##0.00\ [$₫-42A]_-;\-* #,##0.00\ [$₫-42A]_-;_-* &quot;-&quot;??\ [$₫-42A]_-;_-@_-"/>
    <numFmt numFmtId="181" formatCode="_-* #,##0\ [$₫-42A]_-;\-* #,##0\ [$₫-42A]_-;_-* &quot;-&quot;??\ [$₫-42A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4" fontId="2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/>
    <xf numFmtId="1" fontId="2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wrapText="1"/>
    </xf>
    <xf numFmtId="170" fontId="2" fillId="0" borderId="1" xfId="0" applyNumberFormat="1" applyFont="1" applyBorder="1"/>
    <xf numFmtId="0" fontId="2" fillId="0" borderId="0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9" fontId="2" fillId="0" borderId="1" xfId="1" applyNumberFormat="1" applyFont="1" applyBorder="1" applyAlignment="1">
      <alignment horizontal="right" vertical="center"/>
    </xf>
    <xf numFmtId="181" fontId="2" fillId="0" borderId="1" xfId="1" applyNumberFormat="1" applyFont="1" applyBorder="1" applyAlignment="1">
      <alignment horizontal="right" vertical="center"/>
    </xf>
    <xf numFmtId="181" fontId="2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indent="1"/>
    </xf>
    <xf numFmtId="0" fontId="3" fillId="0" borderId="0" xfId="0" applyFont="1" applyBorder="1" applyAlignment="1"/>
    <xf numFmtId="0" fontId="2" fillId="0" borderId="0" xfId="0" applyFont="1" applyBorder="1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top"/>
    </xf>
    <xf numFmtId="2" fontId="3" fillId="0" borderId="4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5"/>
  <sheetViews>
    <sheetView workbookViewId="0">
      <selection activeCell="M10" sqref="M10"/>
    </sheetView>
  </sheetViews>
  <sheetFormatPr defaultRowHeight="15" x14ac:dyDescent="0.25"/>
  <cols>
    <col min="1" max="1" width="9.140625" style="1"/>
    <col min="2" max="2" width="5.85546875" style="1" customWidth="1"/>
    <col min="3" max="3" width="9.140625" style="1"/>
    <col min="4" max="4" width="11" style="1" customWidth="1"/>
    <col min="5" max="5" width="8.42578125" style="1" customWidth="1"/>
    <col min="6" max="6" width="14.42578125" style="1" customWidth="1"/>
    <col min="7" max="7" width="14.7109375" style="1" customWidth="1"/>
    <col min="8" max="8" width="10.140625" style="1" customWidth="1"/>
    <col min="9" max="9" width="10.7109375" style="1" customWidth="1"/>
    <col min="10" max="10" width="11.140625" style="1" customWidth="1"/>
    <col min="11" max="11" width="11.28515625" style="1" customWidth="1"/>
    <col min="12" max="12" width="10.5703125" style="1" customWidth="1"/>
    <col min="13" max="14" width="9.140625" style="1"/>
    <col min="15" max="15" width="4.85546875" style="1" customWidth="1"/>
    <col min="16" max="16" width="4.7109375" style="1" customWidth="1"/>
    <col min="17" max="16384" width="9.140625" style="1"/>
  </cols>
  <sheetData>
    <row r="4" spans="2:16" x14ac:dyDescent="0.25">
      <c r="B4" s="17" t="s">
        <v>43</v>
      </c>
      <c r="C4" s="17"/>
      <c r="D4" s="17"/>
      <c r="E4" s="17"/>
      <c r="F4" s="17"/>
      <c r="G4" s="17"/>
      <c r="H4" s="17"/>
      <c r="I4" s="17"/>
      <c r="J4" s="17"/>
      <c r="K4" s="17"/>
      <c r="L4" s="17"/>
      <c r="N4" s="14" t="s">
        <v>44</v>
      </c>
      <c r="O4" s="14"/>
      <c r="P4" s="14"/>
    </row>
    <row r="5" spans="2:16" ht="1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N5" s="15"/>
      <c r="O5" s="15"/>
      <c r="P5" s="15"/>
    </row>
    <row r="6" spans="2:16" ht="33.75" customHeight="1" x14ac:dyDescent="0.25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38</v>
      </c>
      <c r="I6" s="3" t="s">
        <v>39</v>
      </c>
      <c r="J6" s="3" t="s">
        <v>40</v>
      </c>
      <c r="K6" s="3" t="s">
        <v>41</v>
      </c>
      <c r="L6" s="3" t="s">
        <v>6</v>
      </c>
      <c r="N6" s="6" t="s">
        <v>32</v>
      </c>
      <c r="O6" s="7" t="s">
        <v>42</v>
      </c>
      <c r="P6" s="7" t="s">
        <v>33</v>
      </c>
    </row>
    <row r="7" spans="2:16" x14ac:dyDescent="0.25">
      <c r="B7" s="9">
        <v>1</v>
      </c>
      <c r="C7" s="11" t="s">
        <v>7</v>
      </c>
      <c r="D7" s="11" t="s">
        <v>8</v>
      </c>
      <c r="E7" s="9" t="s">
        <v>24</v>
      </c>
      <c r="F7" s="10">
        <v>35925</v>
      </c>
      <c r="G7" s="10">
        <v>35938</v>
      </c>
      <c r="H7" s="13">
        <f>INT((G7-F7)/7)</f>
        <v>1</v>
      </c>
      <c r="I7" s="13">
        <f>MOD((G7-F7),7)</f>
        <v>6</v>
      </c>
      <c r="J7" s="23">
        <f>VLOOKUP(RIGHT(E7,1),$N$7:$P$10,2,0)</f>
        <v>45</v>
      </c>
      <c r="K7" s="23">
        <f>VLOOKUP(RIGHT(E7,1),$N$7:$P$10,3,0)</f>
        <v>8</v>
      </c>
      <c r="L7" s="23">
        <f>J7*H7+MIN(I7*K7,J7)</f>
        <v>90</v>
      </c>
      <c r="N7" s="8" t="s">
        <v>34</v>
      </c>
      <c r="O7" s="23">
        <v>55</v>
      </c>
      <c r="P7" s="23">
        <v>9</v>
      </c>
    </row>
    <row r="8" spans="2:16" x14ac:dyDescent="0.25">
      <c r="B8" s="9">
        <v>2</v>
      </c>
      <c r="C8" s="11" t="s">
        <v>9</v>
      </c>
      <c r="D8" s="11" t="s">
        <v>17</v>
      </c>
      <c r="E8" s="9" t="s">
        <v>25</v>
      </c>
      <c r="F8" s="10">
        <v>35938</v>
      </c>
      <c r="G8" s="10">
        <v>35957</v>
      </c>
      <c r="H8" s="13">
        <f>INT((G8-F8)/7)</f>
        <v>2</v>
      </c>
      <c r="I8" s="13">
        <f t="shared" ref="I8:I15" si="0">MOD((G8-F8),7)</f>
        <v>5</v>
      </c>
      <c r="J8" s="23">
        <f t="shared" ref="J8:J15" si="1">VLOOKUP(RIGHT(E8,1),$N$7:$P$10,2,0)</f>
        <v>50</v>
      </c>
      <c r="K8" s="23">
        <f>VLOOKUP(RIGHT(E8,1),$N$7:$P$10,3,0)</f>
        <v>8</v>
      </c>
      <c r="L8" s="23">
        <f t="shared" ref="L8:L15" si="2">J8*H8+MIN(I8*K8,J8)</f>
        <v>140</v>
      </c>
      <c r="N8" s="8" t="s">
        <v>35</v>
      </c>
      <c r="O8" s="23">
        <v>50</v>
      </c>
      <c r="P8" s="23">
        <v>8</v>
      </c>
    </row>
    <row r="9" spans="2:16" x14ac:dyDescent="0.25">
      <c r="B9" s="9">
        <v>3</v>
      </c>
      <c r="C9" s="11" t="s">
        <v>10</v>
      </c>
      <c r="D9" s="11" t="s">
        <v>18</v>
      </c>
      <c r="E9" s="9" t="s">
        <v>26</v>
      </c>
      <c r="F9" s="10">
        <v>35927</v>
      </c>
      <c r="G9" s="10">
        <v>35965</v>
      </c>
      <c r="H9" s="13">
        <f t="shared" ref="H9:H15" si="3">INT((G9-F9)/7)</f>
        <v>5</v>
      </c>
      <c r="I9" s="13">
        <f t="shared" si="0"/>
        <v>3</v>
      </c>
      <c r="J9" s="23">
        <f t="shared" si="1"/>
        <v>55</v>
      </c>
      <c r="K9" s="23">
        <f t="shared" ref="K8:K15" si="4">VLOOKUP(RIGHT(E9,1),$N$7:$P$10,3,0)</f>
        <v>9</v>
      </c>
      <c r="L9" s="23">
        <f t="shared" si="2"/>
        <v>302</v>
      </c>
      <c r="N9" s="8" t="s">
        <v>36</v>
      </c>
      <c r="O9" s="23">
        <v>45</v>
      </c>
      <c r="P9" s="23">
        <v>8</v>
      </c>
    </row>
    <row r="10" spans="2:16" x14ac:dyDescent="0.25">
      <c r="B10" s="9">
        <v>4</v>
      </c>
      <c r="C10" s="11" t="s">
        <v>11</v>
      </c>
      <c r="D10" s="11" t="s">
        <v>19</v>
      </c>
      <c r="E10" s="9" t="s">
        <v>27</v>
      </c>
      <c r="F10" s="10">
        <v>35941</v>
      </c>
      <c r="G10" s="10">
        <v>35953</v>
      </c>
      <c r="H10" s="13">
        <f t="shared" si="3"/>
        <v>1</v>
      </c>
      <c r="I10" s="13">
        <f t="shared" si="0"/>
        <v>5</v>
      </c>
      <c r="J10" s="23">
        <f t="shared" si="1"/>
        <v>55</v>
      </c>
      <c r="K10" s="23">
        <f t="shared" si="4"/>
        <v>9</v>
      </c>
      <c r="L10" s="23">
        <f>J10*H10+MIN(I10*K10,J10)</f>
        <v>100</v>
      </c>
      <c r="N10" s="8" t="s">
        <v>37</v>
      </c>
      <c r="O10" s="23">
        <v>42</v>
      </c>
      <c r="P10" s="23">
        <v>7</v>
      </c>
    </row>
    <row r="11" spans="2:16" x14ac:dyDescent="0.25">
      <c r="B11" s="9">
        <v>5</v>
      </c>
      <c r="C11" s="11" t="s">
        <v>12</v>
      </c>
      <c r="D11" s="11" t="s">
        <v>10</v>
      </c>
      <c r="E11" s="9" t="s">
        <v>28</v>
      </c>
      <c r="F11" s="10">
        <v>35928</v>
      </c>
      <c r="G11" s="10">
        <v>35973</v>
      </c>
      <c r="H11" s="13">
        <f t="shared" si="3"/>
        <v>6</v>
      </c>
      <c r="I11" s="13">
        <f t="shared" si="0"/>
        <v>3</v>
      </c>
      <c r="J11" s="23">
        <f t="shared" si="1"/>
        <v>50</v>
      </c>
      <c r="K11" s="23">
        <f t="shared" si="4"/>
        <v>8</v>
      </c>
      <c r="L11" s="23">
        <f t="shared" si="2"/>
        <v>324</v>
      </c>
      <c r="N11" s="2"/>
      <c r="O11" s="2"/>
      <c r="P11" s="2"/>
    </row>
    <row r="12" spans="2:16" x14ac:dyDescent="0.25">
      <c r="B12" s="9">
        <v>6</v>
      </c>
      <c r="C12" s="11" t="s">
        <v>13</v>
      </c>
      <c r="D12" s="11" t="s">
        <v>20</v>
      </c>
      <c r="E12" s="9" t="s">
        <v>29</v>
      </c>
      <c r="F12" s="10">
        <v>35939</v>
      </c>
      <c r="G12" s="10">
        <v>35952</v>
      </c>
      <c r="H12" s="13">
        <f t="shared" si="3"/>
        <v>1</v>
      </c>
      <c r="I12" s="13">
        <f t="shared" si="0"/>
        <v>6</v>
      </c>
      <c r="J12" s="23">
        <f t="shared" si="1"/>
        <v>45</v>
      </c>
      <c r="K12" s="23">
        <f t="shared" si="4"/>
        <v>8</v>
      </c>
      <c r="L12" s="23">
        <f t="shared" si="2"/>
        <v>90</v>
      </c>
    </row>
    <row r="13" spans="2:16" x14ac:dyDescent="0.25">
      <c r="B13" s="9">
        <v>7</v>
      </c>
      <c r="C13" s="11" t="s">
        <v>14</v>
      </c>
      <c r="D13" s="11" t="s">
        <v>21</v>
      </c>
      <c r="E13" s="9" t="s">
        <v>24</v>
      </c>
      <c r="F13" s="10">
        <v>35939</v>
      </c>
      <c r="G13" s="10">
        <v>35962</v>
      </c>
      <c r="H13" s="13">
        <f t="shared" si="3"/>
        <v>3</v>
      </c>
      <c r="I13" s="13">
        <f t="shared" si="0"/>
        <v>2</v>
      </c>
      <c r="J13" s="23">
        <f t="shared" si="1"/>
        <v>45</v>
      </c>
      <c r="K13" s="23">
        <f t="shared" si="4"/>
        <v>8</v>
      </c>
      <c r="L13" s="23">
        <f t="shared" si="2"/>
        <v>151</v>
      </c>
    </row>
    <row r="14" spans="2:16" x14ac:dyDescent="0.25">
      <c r="B14" s="9">
        <v>8</v>
      </c>
      <c r="C14" s="11" t="s">
        <v>15</v>
      </c>
      <c r="D14" s="11" t="s">
        <v>22</v>
      </c>
      <c r="E14" s="9" t="s">
        <v>30</v>
      </c>
      <c r="F14" s="10">
        <v>35941</v>
      </c>
      <c r="G14" s="10">
        <v>35964</v>
      </c>
      <c r="H14" s="13">
        <f t="shared" si="3"/>
        <v>3</v>
      </c>
      <c r="I14" s="13">
        <f t="shared" si="0"/>
        <v>2</v>
      </c>
      <c r="J14" s="23">
        <f t="shared" si="1"/>
        <v>50</v>
      </c>
      <c r="K14" s="23">
        <f t="shared" si="4"/>
        <v>8</v>
      </c>
      <c r="L14" s="23">
        <f t="shared" si="2"/>
        <v>166</v>
      </c>
    </row>
    <row r="15" spans="2:16" x14ac:dyDescent="0.25">
      <c r="B15" s="9">
        <v>9</v>
      </c>
      <c r="C15" s="11" t="s">
        <v>16</v>
      </c>
      <c r="D15" s="11" t="s">
        <v>23</v>
      </c>
      <c r="E15" s="9" t="s">
        <v>31</v>
      </c>
      <c r="F15" s="10">
        <v>35943</v>
      </c>
      <c r="G15" s="10">
        <v>35974</v>
      </c>
      <c r="H15" s="13">
        <f t="shared" si="3"/>
        <v>4</v>
      </c>
      <c r="I15" s="13">
        <f t="shared" si="0"/>
        <v>3</v>
      </c>
      <c r="J15" s="23">
        <f t="shared" si="1"/>
        <v>42</v>
      </c>
      <c r="K15" s="23">
        <f t="shared" si="4"/>
        <v>7</v>
      </c>
      <c r="L15" s="23">
        <f t="shared" si="2"/>
        <v>189</v>
      </c>
    </row>
  </sheetData>
  <mergeCells count="2">
    <mergeCell ref="B4:L5"/>
    <mergeCell ref="N4:P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3" sqref="H3"/>
    </sheetView>
  </sheetViews>
  <sheetFormatPr defaultRowHeight="15" x14ac:dyDescent="0.25"/>
  <cols>
    <col min="1" max="1" width="11.85546875" style="1" customWidth="1"/>
    <col min="2" max="2" width="13.7109375" style="1" customWidth="1"/>
    <col min="3" max="3" width="13.85546875" style="1" customWidth="1"/>
    <col min="4" max="4" width="12.28515625" style="1" customWidth="1"/>
    <col min="5" max="5" width="12.140625" style="1" customWidth="1"/>
    <col min="6" max="6" width="6.5703125" style="1" customWidth="1"/>
    <col min="7" max="7" width="9.42578125" style="1" customWidth="1"/>
    <col min="8" max="8" width="11.140625" style="1" customWidth="1"/>
    <col min="9" max="10" width="10.7109375" style="1" customWidth="1"/>
    <col min="11" max="11" width="11.28515625" style="1" customWidth="1"/>
    <col min="12" max="12" width="13.5703125" style="1" customWidth="1"/>
    <col min="13" max="13" width="10.7109375" style="1" customWidth="1"/>
    <col min="14" max="14" width="14.7109375" style="1" customWidth="1"/>
    <col min="15" max="16384" width="9.140625" style="1"/>
  </cols>
  <sheetData>
    <row r="1" spans="1:15" x14ac:dyDescent="0.25">
      <c r="A1" s="20" t="s">
        <v>45</v>
      </c>
      <c r="B1" s="20" t="s">
        <v>46</v>
      </c>
      <c r="C1" s="20" t="s">
        <v>47</v>
      </c>
      <c r="D1" s="20" t="s">
        <v>48</v>
      </c>
    </row>
    <row r="2" spans="1:15" x14ac:dyDescent="0.25">
      <c r="A2" s="21" t="s">
        <v>49</v>
      </c>
      <c r="B2" s="21" t="s">
        <v>53</v>
      </c>
      <c r="C2" s="36">
        <v>25000</v>
      </c>
      <c r="D2" s="19"/>
    </row>
    <row r="3" spans="1:15" x14ac:dyDescent="0.25">
      <c r="A3" s="21">
        <v>333</v>
      </c>
      <c r="B3" s="21" t="s">
        <v>54</v>
      </c>
      <c r="C3" s="36">
        <v>10000</v>
      </c>
      <c r="D3" s="19" t="s">
        <v>58</v>
      </c>
    </row>
    <row r="4" spans="1:15" x14ac:dyDescent="0.25">
      <c r="A4" s="21" t="s">
        <v>50</v>
      </c>
      <c r="B4" s="21" t="s">
        <v>55</v>
      </c>
      <c r="C4" s="36">
        <v>4500</v>
      </c>
      <c r="D4" s="19"/>
    </row>
    <row r="5" spans="1:15" x14ac:dyDescent="0.25">
      <c r="A5" s="21" t="s">
        <v>51</v>
      </c>
      <c r="B5" s="21" t="s">
        <v>56</v>
      </c>
      <c r="C5" s="36">
        <v>150000</v>
      </c>
      <c r="D5" s="19" t="s">
        <v>58</v>
      </c>
    </row>
    <row r="6" spans="1:15" x14ac:dyDescent="0.25">
      <c r="A6" s="21" t="s">
        <v>52</v>
      </c>
      <c r="B6" s="21" t="s">
        <v>57</v>
      </c>
      <c r="C6" s="36">
        <v>20000</v>
      </c>
      <c r="D6" s="19"/>
      <c r="F6" s="24"/>
      <c r="G6" s="24"/>
      <c r="H6" s="24"/>
      <c r="I6" s="24"/>
      <c r="J6" s="24"/>
      <c r="K6" s="24"/>
      <c r="L6" s="24"/>
      <c r="M6" s="24"/>
      <c r="N6" s="24"/>
    </row>
    <row r="7" spans="1:15" ht="18.75" x14ac:dyDescent="0.3">
      <c r="A7" s="26" t="s">
        <v>64</v>
      </c>
      <c r="B7" s="26"/>
      <c r="C7" s="26"/>
      <c r="D7" s="26"/>
      <c r="E7" s="27"/>
      <c r="F7" s="16" t="s">
        <v>65</v>
      </c>
      <c r="G7" s="16"/>
      <c r="H7" s="16"/>
      <c r="I7" s="16"/>
      <c r="J7" s="16"/>
      <c r="K7" s="16"/>
      <c r="L7" s="16"/>
      <c r="M7" s="16"/>
      <c r="N7" s="16"/>
    </row>
    <row r="8" spans="1:15" ht="50.25" customHeight="1" x14ac:dyDescent="0.25">
      <c r="F8" s="25" t="s">
        <v>0</v>
      </c>
      <c r="G8" s="25" t="s">
        <v>45</v>
      </c>
      <c r="H8" s="25" t="s">
        <v>59</v>
      </c>
      <c r="I8" s="25" t="s">
        <v>46</v>
      </c>
      <c r="J8" s="25" t="s">
        <v>60</v>
      </c>
      <c r="K8" s="25" t="s">
        <v>47</v>
      </c>
      <c r="L8" s="25" t="s">
        <v>61</v>
      </c>
      <c r="M8" s="25" t="s">
        <v>62</v>
      </c>
      <c r="N8" s="25" t="s">
        <v>63</v>
      </c>
      <c r="O8" s="22"/>
    </row>
    <row r="9" spans="1:15" x14ac:dyDescent="0.25">
      <c r="F9" s="9">
        <v>1</v>
      </c>
      <c r="G9" s="11" t="s">
        <v>52</v>
      </c>
      <c r="H9" s="5">
        <v>42665</v>
      </c>
      <c r="I9" s="21" t="str">
        <f>VLOOKUP(G9,$A$2:$D$6,2,0)</f>
        <v>Bột ngọt</v>
      </c>
      <c r="J9" s="13">
        <v>120</v>
      </c>
      <c r="K9" s="37">
        <f>VLOOKUP(G9,$A$2:$D$6,3,0)</f>
        <v>20000</v>
      </c>
      <c r="L9" s="37">
        <f>J9*K9</f>
        <v>2400000</v>
      </c>
      <c r="M9" s="37">
        <f>IF(VLOOKUP(G9,$A$2:$D$6,4,0)="x",5%*L9,0)</f>
        <v>0</v>
      </c>
      <c r="N9" s="37">
        <f>IF(OR(WEEKDAY(H9)=1,WEEKDAY(H9)=7),110%*(L9+M9),L9+M9)</f>
        <v>2640000</v>
      </c>
    </row>
    <row r="10" spans="1:15" x14ac:dyDescent="0.25">
      <c r="F10" s="9">
        <v>2</v>
      </c>
      <c r="G10" s="11" t="s">
        <v>50</v>
      </c>
      <c r="H10" s="5">
        <v>42664</v>
      </c>
      <c r="I10" s="21" t="str">
        <f>VLOOKUP(G10,$A$2:$D$6,2,0)</f>
        <v>Đường</v>
      </c>
      <c r="J10" s="13">
        <v>80</v>
      </c>
      <c r="K10" s="37">
        <f>VLOOKUP(G10,$A$2:$D$6,3,0)</f>
        <v>4500</v>
      </c>
      <c r="L10" s="37">
        <f>J10*K10</f>
        <v>360000</v>
      </c>
      <c r="M10" s="37">
        <f>IF(VLOOKUP(G10,$A$2:$D$6,4,0)="x",5%*L10,0)</f>
        <v>0</v>
      </c>
      <c r="N10" s="37">
        <f>IF(OR(WEEKDAY(H10)=1,WEEKDAY(H10)=7),110%*(L10+M10),L10+M10)</f>
        <v>360000</v>
      </c>
    </row>
    <row r="11" spans="1:15" x14ac:dyDescent="0.25">
      <c r="F11" s="9">
        <v>3</v>
      </c>
      <c r="G11" s="11" t="s">
        <v>50</v>
      </c>
      <c r="H11" s="5">
        <v>42662</v>
      </c>
      <c r="I11" s="21" t="str">
        <f>VLOOKUP(G11,$A$2:$D$6,2,0)</f>
        <v>Đường</v>
      </c>
      <c r="J11" s="13">
        <v>47</v>
      </c>
      <c r="K11" s="37">
        <f>VLOOKUP(G11,$A$2:$D$6,3,0)</f>
        <v>4500</v>
      </c>
      <c r="L11" s="37">
        <f>J11*K11</f>
        <v>211500</v>
      </c>
      <c r="M11" s="37">
        <f>IF(VLOOKUP(G11,$A$2:$D$6,4,0)="x",5%*L11,0)</f>
        <v>0</v>
      </c>
      <c r="N11" s="37">
        <f>IF(OR(WEEKDAY(H11)=1,WEEKDAY(H11)=7),110%*(L11+M11),L11+M11)</f>
        <v>211500</v>
      </c>
    </row>
    <row r="12" spans="1:15" x14ac:dyDescent="0.25">
      <c r="F12" s="9">
        <v>4</v>
      </c>
      <c r="G12" s="11" t="s">
        <v>51</v>
      </c>
      <c r="H12" s="5">
        <v>42665</v>
      </c>
      <c r="I12" s="21" t="str">
        <f>VLOOKUP(G12,$A$2:$D$6,2,0)</f>
        <v>Rượu</v>
      </c>
      <c r="J12" s="13">
        <v>90</v>
      </c>
      <c r="K12" s="37">
        <f>VLOOKUP(G12,$A$2:$D$6,3,0)</f>
        <v>150000</v>
      </c>
      <c r="L12" s="37">
        <f>J12*K12</f>
        <v>13500000</v>
      </c>
      <c r="M12" s="37">
        <f>IF(VLOOKUP(G12,$A$2:$D$6,4,0)="x",5%*L12,0)</f>
        <v>675000</v>
      </c>
      <c r="N12" s="37">
        <f>IF(OR(WEEKDAY(H12)=1,WEEKDAY(H12)=7),110%*(L12+M12),L12+M12)</f>
        <v>15592500.000000002</v>
      </c>
    </row>
    <row r="13" spans="1:15" x14ac:dyDescent="0.25">
      <c r="F13" s="9">
        <v>5</v>
      </c>
      <c r="G13" s="11" t="s">
        <v>49</v>
      </c>
      <c r="H13" s="5">
        <v>42647</v>
      </c>
      <c r="I13" s="21" t="str">
        <f>VLOOKUP(G13,$A$2:$D$6,2,0)</f>
        <v>Sữa bột</v>
      </c>
      <c r="J13" s="13">
        <v>125</v>
      </c>
      <c r="K13" s="37">
        <f>VLOOKUP(G13,$A$2:$D$6,3,0)</f>
        <v>25000</v>
      </c>
      <c r="L13" s="37">
        <f>J13*K13</f>
        <v>3125000</v>
      </c>
      <c r="M13" s="37">
        <f>IF(VLOOKUP(G13,$A$2:$D$6,4,0)="x",5%*L13,0)</f>
        <v>0</v>
      </c>
      <c r="N13" s="37">
        <f>IF(OR(WEEKDAY(H13)=1,WEEKDAY(H13)=7),110%*(L13+M13),L13+M13)</f>
        <v>3125000</v>
      </c>
    </row>
    <row r="14" spans="1:15" x14ac:dyDescent="0.25">
      <c r="F14" s="9">
        <v>6</v>
      </c>
      <c r="G14" s="11" t="s">
        <v>49</v>
      </c>
      <c r="H14" s="5">
        <v>42645</v>
      </c>
      <c r="I14" s="21" t="str">
        <f>VLOOKUP(G14,$A$2:$D$6,2,0)</f>
        <v>Sữa bột</v>
      </c>
      <c r="J14" s="13">
        <v>50</v>
      </c>
      <c r="K14" s="37">
        <f>VLOOKUP(G14,$A$2:$D$6,3,0)</f>
        <v>25000</v>
      </c>
      <c r="L14" s="37">
        <f>J14*K14</f>
        <v>1250000</v>
      </c>
      <c r="M14" s="37">
        <f>IF(VLOOKUP(G14,$A$2:$D$6,4,0)="x",5%*L14,0)</f>
        <v>0</v>
      </c>
      <c r="N14" s="37">
        <f>IF(OR(WEEKDAY(H14)=1,WEEKDAY(H14)=7),110%*(L14+M14),L14+M14)</f>
        <v>1375000</v>
      </c>
    </row>
    <row r="15" spans="1:15" x14ac:dyDescent="0.25">
      <c r="F15" s="9">
        <v>7</v>
      </c>
      <c r="G15" s="11" t="s">
        <v>49</v>
      </c>
      <c r="H15" s="5">
        <v>42667</v>
      </c>
      <c r="I15" s="21" t="str">
        <f>VLOOKUP(G15,$A$2:$D$6,2,0)</f>
        <v>Sữa bột</v>
      </c>
      <c r="J15" s="13">
        <v>48</v>
      </c>
      <c r="K15" s="37">
        <f>VLOOKUP(G15,$A$2:$D$6,3,0)</f>
        <v>25000</v>
      </c>
      <c r="L15" s="37">
        <f>J15*K15</f>
        <v>1200000</v>
      </c>
      <c r="M15" s="37">
        <f>IF(VLOOKUP(G15,$A$2:$D$6,4,0)="x",5%*L15,0)</f>
        <v>0</v>
      </c>
      <c r="N15" s="37">
        <f>IF(OR(WEEKDAY(H15)=1,WEEKDAY(H15)=7),110%*(L15+M15),L15+M15)</f>
        <v>1200000</v>
      </c>
    </row>
    <row r="16" spans="1:15" x14ac:dyDescent="0.25">
      <c r="F16" s="9">
        <v>8</v>
      </c>
      <c r="G16" s="11">
        <v>333</v>
      </c>
      <c r="H16" s="5">
        <v>42647</v>
      </c>
      <c r="I16" s="21" t="str">
        <f>VLOOKUP(G16,$A$2:$D$6,2,0)</f>
        <v>Thuốc lá</v>
      </c>
      <c r="J16" s="13">
        <v>100</v>
      </c>
      <c r="K16" s="37">
        <f>VLOOKUP(G16,$A$2:$D$6,3,0)</f>
        <v>10000</v>
      </c>
      <c r="L16" s="37">
        <f>J16*K16</f>
        <v>1000000</v>
      </c>
      <c r="M16" s="37">
        <f>IF(VLOOKUP(G16,$A$2:$D$6,4,0)="x",5%*L16,0)</f>
        <v>50000</v>
      </c>
      <c r="N16" s="37">
        <f>IF(OR(WEEKDAY(H16)=1,WEEKDAY(H16)=7),110%*(L16+M16),L16+M16)</f>
        <v>1050000</v>
      </c>
    </row>
  </sheetData>
  <sortState ref="F8:N15">
    <sortCondition ref="I8:I15"/>
    <sortCondition descending="1" ref="J8:J15"/>
  </sortState>
  <mergeCells count="3">
    <mergeCell ref="F6:N6"/>
    <mergeCell ref="A7:D7"/>
    <mergeCell ref="F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9" sqref="E9"/>
    </sheetView>
  </sheetViews>
  <sheetFormatPr defaultRowHeight="15" x14ac:dyDescent="0.25"/>
  <cols>
    <col min="1" max="6" width="9.140625" style="1"/>
    <col min="7" max="7" width="6.140625" style="1" customWidth="1"/>
    <col min="8" max="8" width="7" style="1" customWidth="1"/>
    <col min="9" max="9" width="8.140625" style="1" customWidth="1"/>
    <col min="10" max="10" width="9.28515625" style="1" customWidth="1"/>
    <col min="11" max="11" width="7.28515625" style="1" customWidth="1"/>
    <col min="12" max="12" width="9" style="1" customWidth="1"/>
    <col min="13" max="13" width="13.140625" style="1" customWidth="1"/>
    <col min="14" max="14" width="11.28515625" style="1" customWidth="1"/>
    <col min="15" max="15" width="13.5703125" style="1" customWidth="1"/>
    <col min="16" max="16" width="13" style="1" customWidth="1"/>
    <col min="17" max="17" width="13.85546875" style="1" customWidth="1"/>
    <col min="18" max="16384" width="9.140625" style="1"/>
  </cols>
  <sheetData>
    <row r="1" spans="1:17" x14ac:dyDescent="0.25">
      <c r="A1" s="34" t="s">
        <v>66</v>
      </c>
      <c r="B1" s="34" t="s">
        <v>67</v>
      </c>
      <c r="C1" s="34"/>
      <c r="D1" s="34"/>
      <c r="E1" s="34"/>
      <c r="F1" s="34"/>
    </row>
    <row r="2" spans="1:17" x14ac:dyDescent="0.25">
      <c r="A2" s="34"/>
      <c r="B2" s="35" t="s">
        <v>34</v>
      </c>
      <c r="C2" s="35" t="s">
        <v>35</v>
      </c>
      <c r="D2" s="35" t="s">
        <v>36</v>
      </c>
      <c r="E2" s="35" t="s">
        <v>37</v>
      </c>
      <c r="F2" s="35" t="s">
        <v>68</v>
      </c>
    </row>
    <row r="3" spans="1:17" x14ac:dyDescent="0.25">
      <c r="A3" s="4" t="s">
        <v>69</v>
      </c>
      <c r="B3" s="38">
        <v>1484</v>
      </c>
      <c r="C3" s="38">
        <v>1533</v>
      </c>
      <c r="D3" s="38">
        <v>1786</v>
      </c>
      <c r="E3" s="38">
        <v>2242</v>
      </c>
      <c r="F3" s="38">
        <v>2700</v>
      </c>
    </row>
    <row r="4" spans="1:17" x14ac:dyDescent="0.25">
      <c r="A4" s="4" t="s">
        <v>70</v>
      </c>
      <c r="B4" s="38">
        <v>1450</v>
      </c>
      <c r="C4" s="38">
        <v>1500</v>
      </c>
      <c r="D4" s="38">
        <v>1750</v>
      </c>
      <c r="E4" s="38">
        <v>2200</v>
      </c>
      <c r="F4" s="38">
        <v>2600</v>
      </c>
    </row>
    <row r="5" spans="1:17" x14ac:dyDescent="0.25">
      <c r="A5" s="31" t="s">
        <v>90</v>
      </c>
      <c r="B5" s="31"/>
      <c r="C5" s="31"/>
      <c r="D5" s="31"/>
      <c r="E5" s="31"/>
      <c r="F5" s="31"/>
      <c r="G5" s="29" t="s">
        <v>89</v>
      </c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ht="35.25" customHeight="1" x14ac:dyDescent="0.25">
      <c r="G6" s="32" t="s">
        <v>0</v>
      </c>
      <c r="H6" s="32" t="s">
        <v>71</v>
      </c>
      <c r="I6" s="32" t="s">
        <v>72</v>
      </c>
      <c r="J6" s="32" t="s">
        <v>73</v>
      </c>
      <c r="K6" s="32" t="s">
        <v>74</v>
      </c>
      <c r="L6" s="32" t="s">
        <v>75</v>
      </c>
      <c r="M6" s="32" t="s">
        <v>87</v>
      </c>
      <c r="N6" s="32" t="s">
        <v>88</v>
      </c>
      <c r="O6" s="32" t="s">
        <v>76</v>
      </c>
      <c r="P6" s="32" t="s">
        <v>77</v>
      </c>
      <c r="Q6" s="32" t="s">
        <v>78</v>
      </c>
    </row>
    <row r="7" spans="1:17" x14ac:dyDescent="0.25">
      <c r="G7" s="9">
        <v>1</v>
      </c>
      <c r="H7" s="9" t="s">
        <v>79</v>
      </c>
      <c r="I7" s="13">
        <v>180</v>
      </c>
      <c r="J7" s="13">
        <v>2500</v>
      </c>
      <c r="K7" s="13">
        <v>2900</v>
      </c>
      <c r="L7" s="38">
        <f>HLOOKUP(LEFT(H7,1),$B$2:$F$4,IF(RIGHT(H7,1)="1",2,3),0)</f>
        <v>1484</v>
      </c>
      <c r="M7" s="33">
        <f>MIN(K7-J7,I7)</f>
        <v>180</v>
      </c>
      <c r="N7" s="33">
        <f>IF((K7-J7)&gt;I7,K7-J7-I7,0)</f>
        <v>220</v>
      </c>
      <c r="O7" s="38">
        <f>M7*L7</f>
        <v>267120</v>
      </c>
      <c r="P7" s="38">
        <f>N7*L7*IF(N7&lt;50,1.5,IF(N7&lt;=100,2,3))</f>
        <v>979440</v>
      </c>
      <c r="Q7" s="38">
        <f>O7+P7</f>
        <v>1246560</v>
      </c>
    </row>
    <row r="8" spans="1:17" x14ac:dyDescent="0.25">
      <c r="G8" s="9">
        <v>2</v>
      </c>
      <c r="H8" s="9" t="s">
        <v>79</v>
      </c>
      <c r="I8" s="13">
        <v>180</v>
      </c>
      <c r="J8" s="13">
        <v>1880</v>
      </c>
      <c r="K8" s="13">
        <v>2200</v>
      </c>
      <c r="L8" s="38">
        <f>HLOOKUP(LEFT(H8,1),$B$2:$F$4,IF(RIGHT(H8,1)="1",2,3),0)</f>
        <v>1484</v>
      </c>
      <c r="M8" s="33">
        <f>MIN(K8-J8,I8)</f>
        <v>180</v>
      </c>
      <c r="N8" s="33">
        <f>IF((K8-J8)&gt;I8,K8-J8-I8,0)</f>
        <v>140</v>
      </c>
      <c r="O8" s="38">
        <f>M8*L8</f>
        <v>267120</v>
      </c>
      <c r="P8" s="38">
        <f>N8*L8*IF(N8&lt;50,1.5,IF(N8&lt;=100,2,3))</f>
        <v>623280</v>
      </c>
      <c r="Q8" s="38">
        <f>O8+P8</f>
        <v>890400</v>
      </c>
    </row>
    <row r="9" spans="1:17" x14ac:dyDescent="0.25">
      <c r="G9" s="9">
        <v>3</v>
      </c>
      <c r="H9" s="9" t="s">
        <v>81</v>
      </c>
      <c r="I9" s="13">
        <v>200</v>
      </c>
      <c r="J9" s="13">
        <v>5600</v>
      </c>
      <c r="K9" s="13">
        <v>5700</v>
      </c>
      <c r="L9" s="38">
        <f>HLOOKUP(LEFT(H9,1),$B$2:$F$4,IF(RIGHT(H9,1)="1",2,3),0)</f>
        <v>1533</v>
      </c>
      <c r="M9" s="33">
        <f>MIN(K9-J9,I9)</f>
        <v>100</v>
      </c>
      <c r="N9" s="33">
        <f>IF((K9-J9)&gt;I9,K9-J9-I9,0)</f>
        <v>0</v>
      </c>
      <c r="O9" s="38">
        <f>M9*L9</f>
        <v>153300</v>
      </c>
      <c r="P9" s="38">
        <f>N9*L9*IF(N9&lt;50,1.5,IF(N9&lt;=100,2,3))</f>
        <v>0</v>
      </c>
      <c r="Q9" s="38">
        <f>O9+P9</f>
        <v>153300</v>
      </c>
    </row>
    <row r="10" spans="1:17" x14ac:dyDescent="0.25">
      <c r="G10" s="9">
        <v>4</v>
      </c>
      <c r="H10" s="9" t="s">
        <v>85</v>
      </c>
      <c r="I10" s="13">
        <v>180</v>
      </c>
      <c r="J10" s="13">
        <v>4500</v>
      </c>
      <c r="K10" s="13">
        <v>4980</v>
      </c>
      <c r="L10" s="38">
        <f>HLOOKUP(LEFT(H10,1),$B$2:$F$4,IF(RIGHT(H10,1)="1",2,3),0)</f>
        <v>1500</v>
      </c>
      <c r="M10" s="33">
        <f>MIN(K10-J10,I10)</f>
        <v>180</v>
      </c>
      <c r="N10" s="33">
        <f>IF((K10-J10)&gt;I10,K10-J10-I10,0)</f>
        <v>300</v>
      </c>
      <c r="O10" s="38">
        <f>M10*L10</f>
        <v>270000</v>
      </c>
      <c r="P10" s="38">
        <f>N10*L10*IF(N10&lt;50,1.5,IF(N10&lt;=100,2,3))</f>
        <v>1350000</v>
      </c>
      <c r="Q10" s="38">
        <f>O10+P10</f>
        <v>1620000</v>
      </c>
    </row>
    <row r="11" spans="1:17" x14ac:dyDescent="0.25">
      <c r="G11" s="9">
        <v>5</v>
      </c>
      <c r="H11" s="9" t="s">
        <v>82</v>
      </c>
      <c r="I11" s="13">
        <v>160</v>
      </c>
      <c r="J11" s="13">
        <v>2500</v>
      </c>
      <c r="K11" s="13">
        <v>2720</v>
      </c>
      <c r="L11" s="38">
        <f>HLOOKUP(LEFT(H11,1),$B$2:$F$4,IF(RIGHT(H11,1)="1",2,3),0)</f>
        <v>1750</v>
      </c>
      <c r="M11" s="33">
        <f>MIN(K11-J11,I11)</f>
        <v>160</v>
      </c>
      <c r="N11" s="33">
        <f>IF((K11-J11)&gt;I11,K11-J11-I11,0)</f>
        <v>60</v>
      </c>
      <c r="O11" s="38">
        <f>M11*L11</f>
        <v>280000</v>
      </c>
      <c r="P11" s="38">
        <f>N11*L11*IF(N11&lt;50,1.5,IF(N11&lt;=100,2,3))</f>
        <v>210000</v>
      </c>
      <c r="Q11" s="38">
        <f>O11+P11</f>
        <v>490000</v>
      </c>
    </row>
    <row r="12" spans="1:17" x14ac:dyDescent="0.25">
      <c r="G12" s="9">
        <v>6</v>
      </c>
      <c r="H12" s="9" t="s">
        <v>82</v>
      </c>
      <c r="I12" s="13">
        <v>220</v>
      </c>
      <c r="J12" s="13">
        <v>4400</v>
      </c>
      <c r="K12" s="13">
        <v>4590</v>
      </c>
      <c r="L12" s="38">
        <f>HLOOKUP(LEFT(H12,1),$B$2:$F$4,IF(RIGHT(H12,1)="1",2,3),0)</f>
        <v>1750</v>
      </c>
      <c r="M12" s="33">
        <f>MIN(K12-J12,I12)</f>
        <v>190</v>
      </c>
      <c r="N12" s="33">
        <f>IF((K12-J12)&gt;I12,K12-J12-I12,0)</f>
        <v>0</v>
      </c>
      <c r="O12" s="38">
        <f>M12*L12</f>
        <v>332500</v>
      </c>
      <c r="P12" s="38">
        <f>N12*L12*IF(N12&lt;50,1.5,IF(N12&lt;=100,2,3))</f>
        <v>0</v>
      </c>
      <c r="Q12" s="38">
        <f>O12+P12</f>
        <v>332500</v>
      </c>
    </row>
    <row r="13" spans="1:17" x14ac:dyDescent="0.25">
      <c r="G13" s="9">
        <v>7</v>
      </c>
      <c r="H13" s="9" t="s">
        <v>86</v>
      </c>
      <c r="I13" s="13">
        <v>200</v>
      </c>
      <c r="J13" s="13">
        <v>2400</v>
      </c>
      <c r="K13" s="13">
        <v>2600</v>
      </c>
      <c r="L13" s="38">
        <f>HLOOKUP(LEFT(H13,1),$B$2:$F$4,IF(RIGHT(H13,1)="1",2,3),0)</f>
        <v>2242</v>
      </c>
      <c r="M13" s="33">
        <f>MIN(K13-J13,I13)</f>
        <v>200</v>
      </c>
      <c r="N13" s="33">
        <f>IF((K13-J13)&gt;I13,K13-J13-I13,0)</f>
        <v>0</v>
      </c>
      <c r="O13" s="38">
        <f>M13*L13</f>
        <v>448400</v>
      </c>
      <c r="P13" s="38">
        <f>N13*L13*IF(N13&lt;50,1.5,IF(N13&lt;=100,2,3))</f>
        <v>0</v>
      </c>
      <c r="Q13" s="38">
        <f>O13+P13</f>
        <v>448400</v>
      </c>
    </row>
    <row r="14" spans="1:17" x14ac:dyDescent="0.25">
      <c r="G14" s="9">
        <v>8</v>
      </c>
      <c r="H14" s="9" t="s">
        <v>80</v>
      </c>
      <c r="I14" s="13">
        <v>160</v>
      </c>
      <c r="J14" s="13">
        <v>2300</v>
      </c>
      <c r="K14" s="13">
        <v>2450</v>
      </c>
      <c r="L14" s="38">
        <f>HLOOKUP(LEFT(H14,1),$B$2:$F$4,IF(RIGHT(H14,1)="1",2,3),0)</f>
        <v>2200</v>
      </c>
      <c r="M14" s="33">
        <f>MIN(K14-J14,I14)</f>
        <v>150</v>
      </c>
      <c r="N14" s="33">
        <f>IF((K14-J14)&gt;I14,K14-J14-I14,0)</f>
        <v>0</v>
      </c>
      <c r="O14" s="38">
        <f>M14*L14</f>
        <v>330000</v>
      </c>
      <c r="P14" s="38">
        <f>N14*L14*IF(N14&lt;50,1.5,IF(N14&lt;=100,2,3))</f>
        <v>0</v>
      </c>
      <c r="Q14" s="38">
        <f>O14+P14</f>
        <v>330000</v>
      </c>
    </row>
    <row r="15" spans="1:17" x14ac:dyDescent="0.25">
      <c r="G15" s="9">
        <v>9</v>
      </c>
      <c r="H15" s="9" t="s">
        <v>83</v>
      </c>
      <c r="I15" s="13">
        <v>180</v>
      </c>
      <c r="J15" s="13">
        <v>3200</v>
      </c>
      <c r="K15" s="13">
        <v>3450</v>
      </c>
      <c r="L15" s="38">
        <f>HLOOKUP(LEFT(H15,1),$B$2:$F$4,IF(RIGHT(H15,1)="1",2,3),0)</f>
        <v>2700</v>
      </c>
      <c r="M15" s="33">
        <f>MIN(K15-J15,I15)</f>
        <v>180</v>
      </c>
      <c r="N15" s="33">
        <f>IF((K15-J15)&gt;I15,K15-J15-I15,0)</f>
        <v>70</v>
      </c>
      <c r="O15" s="38">
        <f>M15*L15</f>
        <v>486000</v>
      </c>
      <c r="P15" s="38">
        <f>N15*L15*IF(N15&lt;50,1.5,IF(N15&lt;=100,2,3))</f>
        <v>378000</v>
      </c>
      <c r="Q15" s="38">
        <f>O15+P15</f>
        <v>864000</v>
      </c>
    </row>
    <row r="16" spans="1:17" x14ac:dyDescent="0.25">
      <c r="G16" s="9">
        <v>10</v>
      </c>
      <c r="H16" s="9" t="s">
        <v>84</v>
      </c>
      <c r="I16" s="13">
        <v>210</v>
      </c>
      <c r="J16" s="13">
        <v>2800</v>
      </c>
      <c r="K16" s="13">
        <v>3000</v>
      </c>
      <c r="L16" s="38">
        <f>HLOOKUP(LEFT(H16,1),$B$2:$F$4,IF(RIGHT(H16,1)="1",2,3),0)</f>
        <v>2600</v>
      </c>
      <c r="M16" s="33">
        <f>MIN(K16-J16,I16)</f>
        <v>200</v>
      </c>
      <c r="N16" s="33">
        <f>IF((K16-J16)&gt;I16,K16-J16-I16,0)</f>
        <v>0</v>
      </c>
      <c r="O16" s="38">
        <f>M16*L16</f>
        <v>520000</v>
      </c>
      <c r="P16" s="38">
        <f>N16*L16*IF(N16&lt;50,1.5,IF(N16&lt;=100,2,3))</f>
        <v>0</v>
      </c>
      <c r="Q16" s="38">
        <f>O16+P16</f>
        <v>520000</v>
      </c>
    </row>
  </sheetData>
  <sortState ref="G7:Q16">
    <sortCondition ref="H7:H16"/>
  </sortState>
  <mergeCells count="4">
    <mergeCell ref="A1:A2"/>
    <mergeCell ref="B1:F1"/>
    <mergeCell ref="G5:Q5"/>
    <mergeCell ref="A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B1" zoomScale="90" zoomScaleNormal="90" workbookViewId="0">
      <selection activeCell="G7" sqref="G7"/>
    </sheetView>
  </sheetViews>
  <sheetFormatPr defaultRowHeight="15" x14ac:dyDescent="0.25"/>
  <cols>
    <col min="1" max="1" width="7.140625" style="1" customWidth="1"/>
    <col min="2" max="3" width="9.85546875" style="1" customWidth="1"/>
    <col min="4" max="4" width="9.42578125" style="1" customWidth="1"/>
    <col min="5" max="5" width="18.5703125" style="1" customWidth="1"/>
    <col min="6" max="6" width="9.140625" style="1"/>
    <col min="7" max="7" width="16.5703125" style="1" customWidth="1"/>
    <col min="8" max="8" width="5" style="1" customWidth="1"/>
    <col min="9" max="9" width="5.42578125" style="1" customWidth="1"/>
    <col min="10" max="10" width="5.5703125" style="1" customWidth="1"/>
    <col min="11" max="11" width="5.140625" style="1" customWidth="1"/>
    <col min="12" max="12" width="8.42578125" style="1" customWidth="1"/>
    <col min="13" max="13" width="9.140625" style="1"/>
    <col min="14" max="14" width="10.42578125" style="1" customWidth="1"/>
    <col min="15" max="15" width="11" style="1" customWidth="1"/>
    <col min="16" max="16" width="8.140625" style="1" customWidth="1"/>
    <col min="17" max="17" width="7.140625" style="1" customWidth="1"/>
    <col min="18" max="18" width="7" style="1" customWidth="1"/>
    <col min="19" max="21" width="7.28515625" style="1" customWidth="1"/>
    <col min="22" max="22" width="13.42578125" style="1" customWidth="1"/>
    <col min="23" max="16384" width="9.140625" style="1"/>
  </cols>
  <sheetData>
    <row r="1" spans="1:23" ht="28.5" x14ac:dyDescent="0.25">
      <c r="A1" s="32" t="s">
        <v>91</v>
      </c>
      <c r="B1" s="32" t="s">
        <v>92</v>
      </c>
      <c r="C1" s="32" t="s">
        <v>93</v>
      </c>
      <c r="D1" s="32" t="s">
        <v>94</v>
      </c>
      <c r="G1" s="39" t="s">
        <v>91</v>
      </c>
      <c r="H1" s="9" t="s">
        <v>34</v>
      </c>
      <c r="I1" s="9" t="s">
        <v>35</v>
      </c>
      <c r="J1" s="9" t="s">
        <v>36</v>
      </c>
      <c r="K1" s="9" t="s">
        <v>37</v>
      </c>
    </row>
    <row r="2" spans="1:23" x14ac:dyDescent="0.25">
      <c r="A2" s="48" t="s">
        <v>34</v>
      </c>
      <c r="B2" s="12" t="s">
        <v>95</v>
      </c>
      <c r="C2" s="12">
        <v>19</v>
      </c>
      <c r="D2" s="12">
        <v>10</v>
      </c>
      <c r="G2" s="39" t="s">
        <v>99</v>
      </c>
      <c r="H2" s="47">
        <v>25</v>
      </c>
      <c r="I2" s="47">
        <v>23</v>
      </c>
      <c r="J2" s="47">
        <v>21</v>
      </c>
      <c r="K2" s="47">
        <v>19</v>
      </c>
    </row>
    <row r="3" spans="1:23" x14ac:dyDescent="0.25">
      <c r="A3" s="48" t="s">
        <v>35</v>
      </c>
      <c r="B3" s="12" t="s">
        <v>96</v>
      </c>
      <c r="C3" s="12">
        <v>17</v>
      </c>
      <c r="D3" s="12">
        <v>18</v>
      </c>
      <c r="G3" s="31" t="s">
        <v>120</v>
      </c>
      <c r="H3" s="30"/>
      <c r="I3" s="30"/>
      <c r="J3" s="30"/>
      <c r="K3" s="30"/>
    </row>
    <row r="4" spans="1:23" x14ac:dyDescent="0.25">
      <c r="A4" s="48" t="s">
        <v>36</v>
      </c>
      <c r="B4" s="12" t="s">
        <v>97</v>
      </c>
      <c r="C4" s="12">
        <v>15</v>
      </c>
      <c r="D4" s="12">
        <v>16</v>
      </c>
    </row>
    <row r="5" spans="1:23" x14ac:dyDescent="0.25">
      <c r="A5" s="48" t="s">
        <v>37</v>
      </c>
      <c r="B5" s="12" t="s">
        <v>98</v>
      </c>
      <c r="C5" s="12">
        <v>16</v>
      </c>
      <c r="D5" s="12">
        <v>14</v>
      </c>
      <c r="E5" s="41"/>
    </row>
    <row r="6" spans="1:23" ht="18.75" x14ac:dyDescent="0.3">
      <c r="A6" s="49" t="s">
        <v>64</v>
      </c>
      <c r="B6" s="49"/>
      <c r="C6" s="49"/>
      <c r="D6" s="49"/>
      <c r="E6" s="40"/>
      <c r="L6" s="16" t="s">
        <v>126</v>
      </c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3" ht="28.5" x14ac:dyDescent="0.25">
      <c r="L7" s="32" t="s">
        <v>100</v>
      </c>
      <c r="M7" s="32" t="s">
        <v>1</v>
      </c>
      <c r="N7" s="32" t="s">
        <v>2</v>
      </c>
      <c r="O7" s="32" t="s">
        <v>92</v>
      </c>
      <c r="P7" s="32" t="s">
        <v>67</v>
      </c>
      <c r="Q7" s="32" t="s">
        <v>101</v>
      </c>
      <c r="R7" s="32" t="s">
        <v>7</v>
      </c>
      <c r="S7" s="32" t="s">
        <v>98</v>
      </c>
      <c r="T7" s="32" t="s">
        <v>127</v>
      </c>
      <c r="U7" s="32" t="s">
        <v>128</v>
      </c>
      <c r="V7" s="32" t="s">
        <v>102</v>
      </c>
      <c r="W7" s="46" t="s">
        <v>129</v>
      </c>
    </row>
    <row r="8" spans="1:23" x14ac:dyDescent="0.25">
      <c r="E8" s="14" t="s">
        <v>125</v>
      </c>
      <c r="F8" s="14"/>
      <c r="L8" s="4" t="s">
        <v>109</v>
      </c>
      <c r="M8" s="4" t="s">
        <v>113</v>
      </c>
      <c r="N8" s="4" t="s">
        <v>119</v>
      </c>
      <c r="O8" s="4" t="str">
        <f>VLOOKUP(LEFT(L8,1),$A$2:$D$5,2,0)</f>
        <v>Hóa</v>
      </c>
      <c r="P8" s="33">
        <f>VALUE(MID(L8,2,1))</f>
        <v>1</v>
      </c>
      <c r="Q8" s="12">
        <v>9</v>
      </c>
      <c r="R8" s="12">
        <v>9</v>
      </c>
      <c r="S8" s="12">
        <v>9</v>
      </c>
      <c r="T8" s="12">
        <f>Q8+R8+S8</f>
        <v>27</v>
      </c>
      <c r="U8" s="12">
        <f>VLOOKUP(O8,$B$2:$D$5,IF(P8=1,2,3),0)</f>
        <v>16</v>
      </c>
      <c r="V8" s="45" t="str">
        <f>IF(T8&gt;=U8,"Trúng tuyển", "  ")</f>
        <v>Trúng tuyển</v>
      </c>
      <c r="W8" s="4" t="str">
        <f>IF(T8&gt;=HLOOKUP(LEFT(L8,1),$H$1:$K$2,2,0),"Có","  ")</f>
        <v>Có</v>
      </c>
    </row>
    <row r="9" spans="1:23" x14ac:dyDescent="0.25">
      <c r="F9" s="4" t="s">
        <v>124</v>
      </c>
      <c r="L9" s="4" t="s">
        <v>108</v>
      </c>
      <c r="M9" s="4" t="s">
        <v>13</v>
      </c>
      <c r="N9" s="4" t="s">
        <v>17</v>
      </c>
      <c r="O9" s="4" t="str">
        <f t="shared" ref="O9:O15" si="0">VLOOKUP(LEFT(L9,1),$A$2:$D$5,2,0)</f>
        <v>Xây dựng</v>
      </c>
      <c r="P9" s="33">
        <f t="shared" ref="P9:P15" si="1">VALUE(MID(L9,2,1))</f>
        <v>1</v>
      </c>
      <c r="Q9" s="12">
        <v>3</v>
      </c>
      <c r="R9" s="12">
        <v>6</v>
      </c>
      <c r="S9" s="12">
        <v>6</v>
      </c>
      <c r="T9" s="12">
        <f>Q9+R9+S9</f>
        <v>15</v>
      </c>
      <c r="U9" s="12">
        <f t="shared" ref="U9:U15" si="2">VLOOKUP(O9,$B$2:$D$5,IF(P9=1,2,3),0)</f>
        <v>15</v>
      </c>
      <c r="V9" s="45" t="str">
        <f t="shared" ref="V9:V15" si="3">IF(T9&gt;=U9,"Trúng tuyển", "  ")</f>
        <v>Trúng tuyển</v>
      </c>
      <c r="W9" s="4" t="str">
        <f t="shared" ref="W9:W15" si="4">IF(T9&gt;=HLOOKUP(LEFT(L9,1),$H$1:$K$2,2,0),"Có","  ")</f>
        <v xml:space="preserve">  </v>
      </c>
    </row>
    <row r="10" spans="1:23" x14ac:dyDescent="0.25">
      <c r="E10" s="44" t="s">
        <v>121</v>
      </c>
      <c r="F10" s="4">
        <f>COUNTIF(V8:V15,"Trúng tuyển")</f>
        <v>6</v>
      </c>
      <c r="L10" s="4" t="s">
        <v>105</v>
      </c>
      <c r="M10" s="4" t="s">
        <v>7</v>
      </c>
      <c r="N10" s="4" t="s">
        <v>116</v>
      </c>
      <c r="O10" s="4" t="str">
        <f t="shared" si="0"/>
        <v>Xây dựng</v>
      </c>
      <c r="P10" s="33">
        <f t="shared" si="1"/>
        <v>2</v>
      </c>
      <c r="Q10" s="12">
        <v>4</v>
      </c>
      <c r="R10" s="12">
        <v>3</v>
      </c>
      <c r="S10" s="12">
        <v>1</v>
      </c>
      <c r="T10" s="12">
        <f>Q10+R10+S10</f>
        <v>8</v>
      </c>
      <c r="U10" s="12">
        <f t="shared" si="2"/>
        <v>16</v>
      </c>
      <c r="V10" s="45" t="str">
        <f t="shared" si="3"/>
        <v xml:space="preserve">  </v>
      </c>
      <c r="W10" s="4" t="str">
        <f t="shared" si="4"/>
        <v xml:space="preserve">  </v>
      </c>
    </row>
    <row r="11" spans="1:23" x14ac:dyDescent="0.25">
      <c r="E11" s="43" t="s">
        <v>122</v>
      </c>
      <c r="F11" s="4">
        <f>COUNTIF(V8:V15,"  ")</f>
        <v>2</v>
      </c>
      <c r="L11" s="4" t="s">
        <v>104</v>
      </c>
      <c r="M11" s="4" t="s">
        <v>112</v>
      </c>
      <c r="N11" s="4" t="s">
        <v>115</v>
      </c>
      <c r="O11" s="4" t="str">
        <f t="shared" si="0"/>
        <v>Điện tử</v>
      </c>
      <c r="P11" s="33">
        <f t="shared" si="1"/>
        <v>1</v>
      </c>
      <c r="Q11" s="12">
        <v>2</v>
      </c>
      <c r="R11" s="12">
        <v>4</v>
      </c>
      <c r="S11" s="12">
        <v>2</v>
      </c>
      <c r="T11" s="12">
        <f>Q11+R11+S11</f>
        <v>8</v>
      </c>
      <c r="U11" s="12">
        <f t="shared" si="2"/>
        <v>17</v>
      </c>
      <c r="V11" s="45" t="str">
        <f>IF(T11&gt;=U11,"Trúng tuyển", "  ")</f>
        <v xml:space="preserve">  </v>
      </c>
      <c r="W11" s="4" t="str">
        <f t="shared" si="4"/>
        <v xml:space="preserve">  </v>
      </c>
    </row>
    <row r="12" spans="1:23" x14ac:dyDescent="0.25">
      <c r="E12" s="43" t="s">
        <v>123</v>
      </c>
      <c r="F12" s="4">
        <f>COUNTIF(W8:W15,"Có")</f>
        <v>3</v>
      </c>
      <c r="L12" s="4" t="s">
        <v>110</v>
      </c>
      <c r="M12" s="4" t="s">
        <v>114</v>
      </c>
      <c r="N12" s="4" t="s">
        <v>8</v>
      </c>
      <c r="O12" s="4" t="str">
        <f t="shared" si="0"/>
        <v>Máy tính</v>
      </c>
      <c r="P12" s="33">
        <f t="shared" si="1"/>
        <v>2</v>
      </c>
      <c r="Q12" s="12">
        <v>6</v>
      </c>
      <c r="R12" s="12">
        <v>7</v>
      </c>
      <c r="S12" s="12">
        <v>9</v>
      </c>
      <c r="T12" s="12">
        <f>Q12+R12+S12</f>
        <v>22</v>
      </c>
      <c r="U12" s="12">
        <f t="shared" si="2"/>
        <v>10</v>
      </c>
      <c r="V12" s="45" t="str">
        <f t="shared" si="3"/>
        <v>Trúng tuyển</v>
      </c>
      <c r="W12" s="4" t="str">
        <f t="shared" si="4"/>
        <v xml:space="preserve">  </v>
      </c>
    </row>
    <row r="13" spans="1:23" x14ac:dyDescent="0.25">
      <c r="L13" s="4" t="s">
        <v>103</v>
      </c>
      <c r="M13" s="4" t="s">
        <v>111</v>
      </c>
      <c r="N13" s="4" t="s">
        <v>23</v>
      </c>
      <c r="O13" s="4" t="str">
        <f t="shared" si="0"/>
        <v>Máy tính</v>
      </c>
      <c r="P13" s="33">
        <f t="shared" si="1"/>
        <v>1</v>
      </c>
      <c r="Q13" s="12">
        <v>8</v>
      </c>
      <c r="R13" s="12">
        <v>6</v>
      </c>
      <c r="S13" s="12">
        <v>7</v>
      </c>
      <c r="T13" s="12">
        <f>Q13+R13+S13</f>
        <v>21</v>
      </c>
      <c r="U13" s="12">
        <f t="shared" si="2"/>
        <v>19</v>
      </c>
      <c r="V13" s="45" t="str">
        <f t="shared" si="3"/>
        <v>Trúng tuyển</v>
      </c>
      <c r="W13" s="4" t="str">
        <f t="shared" si="4"/>
        <v xml:space="preserve">  </v>
      </c>
    </row>
    <row r="14" spans="1:23" x14ac:dyDescent="0.25">
      <c r="L14" s="4" t="s">
        <v>107</v>
      </c>
      <c r="M14" s="4" t="s">
        <v>11</v>
      </c>
      <c r="N14" s="4" t="s">
        <v>118</v>
      </c>
      <c r="O14" s="4" t="str">
        <f t="shared" si="0"/>
        <v>Máy tính</v>
      </c>
      <c r="P14" s="33">
        <f t="shared" si="1"/>
        <v>2</v>
      </c>
      <c r="Q14" s="12">
        <v>10</v>
      </c>
      <c r="R14" s="12">
        <v>7</v>
      </c>
      <c r="S14" s="12">
        <v>8</v>
      </c>
      <c r="T14" s="12">
        <f>Q14+R14+S14</f>
        <v>25</v>
      </c>
      <c r="U14" s="12">
        <f t="shared" si="2"/>
        <v>10</v>
      </c>
      <c r="V14" s="45" t="str">
        <f t="shared" si="3"/>
        <v>Trúng tuyển</v>
      </c>
      <c r="W14" s="4" t="str">
        <f t="shared" si="4"/>
        <v>Có</v>
      </c>
    </row>
    <row r="15" spans="1:23" x14ac:dyDescent="0.25">
      <c r="L15" s="4" t="s">
        <v>106</v>
      </c>
      <c r="M15" s="4" t="s">
        <v>12</v>
      </c>
      <c r="N15" s="4" t="s">
        <v>117</v>
      </c>
      <c r="O15" s="4" t="str">
        <f t="shared" si="0"/>
        <v>Hóa</v>
      </c>
      <c r="P15" s="33">
        <f t="shared" si="1"/>
        <v>2</v>
      </c>
      <c r="Q15" s="12">
        <v>10</v>
      </c>
      <c r="R15" s="12">
        <v>9</v>
      </c>
      <c r="S15" s="12">
        <v>9</v>
      </c>
      <c r="T15" s="12">
        <f>Q15+R15+S15</f>
        <v>28</v>
      </c>
      <c r="U15" s="12">
        <f t="shared" si="2"/>
        <v>14</v>
      </c>
      <c r="V15" s="45" t="str">
        <f t="shared" si="3"/>
        <v>Trúng tuyển</v>
      </c>
      <c r="W15" s="4" t="str">
        <f t="shared" si="4"/>
        <v>Có</v>
      </c>
    </row>
    <row r="20" spans="5:5" x14ac:dyDescent="0.25">
      <c r="E20" s="42"/>
    </row>
  </sheetData>
  <sortState ref="L8:V15">
    <sortCondition ref="N8:N15"/>
  </sortState>
  <mergeCells count="4">
    <mergeCell ref="G3:K3"/>
    <mergeCell ref="A6:D6"/>
    <mergeCell ref="E8:F8"/>
    <mergeCell ref="L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2023-10-17T06:27:08Z</dcterms:created>
  <dcterms:modified xsi:type="dcterms:W3CDTF">2023-10-17T09:11:03Z</dcterms:modified>
</cp:coreProperties>
</file>