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PAYROLL" sheetId="1" state="visible" r:id="rId1"/>
    <sheet xmlns:r="http://schemas.openxmlformats.org/officeDocument/2006/relationships" name="PIS" sheetId="2" state="visible" r:id="rId2"/>
    <sheet xmlns:r="http://schemas.openxmlformats.org/officeDocument/2006/relationships" name="ADJ" sheetId="3" state="visible" r:id="rId3"/>
    <sheet xmlns:r="http://schemas.openxmlformats.org/officeDocument/2006/relationships" name="TSC" sheetId="4" state="visible" r:id="rId4"/>
    <sheet xmlns:r="http://schemas.openxmlformats.org/officeDocument/2006/relationships" name="TIMESHEET" sheetId="5" state="visible" r:id="rId5"/>
    <sheet xmlns:r="http://schemas.openxmlformats.org/officeDocument/2006/relationships" name="CSD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DD/MM/YYYY" numFmtId="164"/>
  </numFmts>
  <fonts count="14">
    <font>
      <name val="Arial"/>
      <color rgb="FF000000"/>
      <sz val="10"/>
    </font>
    <font>
      <name val="Times New Roman"/>
      <family val="1"/>
      <b val="1"/>
      <color rgb="FF111111"/>
      <sz val="10"/>
    </font>
    <font>
      <name val="Times New Roman"/>
      <family val="1"/>
      <b val="1"/>
      <color rgb="FF000000"/>
      <sz val="10"/>
    </font>
    <font>
      <name val="Times New Roman"/>
      <family val="1"/>
      <color rgb="FF000000"/>
      <sz val="11"/>
    </font>
    <font>
      <name val="Times New Roman"/>
      <family val="1"/>
      <color rgb="FF000000"/>
      <sz val="10"/>
    </font>
    <font>
      <name val="Times New Roman"/>
      <family val="1"/>
      <color theme="1"/>
      <sz val="10"/>
    </font>
    <font>
      <name val="Times New Roman"/>
      <family val="1"/>
      <sz val="10"/>
    </font>
    <font>
      <name val="Arial"/>
      <family val="2"/>
      <color rgb="FF000000"/>
      <sz val="10"/>
    </font>
    <font>
      <name val="Times"/>
      <color rgb="FF000000"/>
      <sz val="10"/>
    </font>
    <font>
      <name val="Arial"/>
      <family val="2"/>
      <b val="1"/>
      <color rgb="FF000000"/>
      <sz val="9"/>
    </font>
    <font/>
    <font>
      <name val="Times New Roman"/>
      <sz val="10"/>
    </font>
    <font>
      <name val="Times New Roman"/>
      <sz val="11"/>
    </font>
    <font>
      <name val="Times New Roman"/>
      <b val="1"/>
      <sz val="10"/>
    </font>
  </fonts>
  <fills count="9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B7E1C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00B7E1CD"/>
        <bgColor rgb="00B7E1CD"/>
      </patternFill>
    </fill>
    <fill>
      <patternFill patternType="solid">
        <fgColor rgb="00FFF2CC"/>
        <bgColor rgb="00FFF2CC"/>
      </patternFill>
    </fill>
    <fill>
      <patternFill patternType="solid">
        <fgColor rgb="00FFFF00"/>
        <bgColor rgb="00FFFF00"/>
      </patternFill>
    </fill>
    <fill>
      <patternFill patternType="solid">
        <fgColor rgb="00fce5cd"/>
        <bgColor rgb="00fce5cd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borderId="0" fillId="0" fontId="0" numFmtId="0"/>
    <xf borderId="5" fillId="0" fontId="10" numFmtId="164"/>
  </cellStyleXfs>
  <cellXfs count="24">
    <xf borderId="0" fillId="0" fontId="0" numFmtId="0" pivotButton="0" quotePrefix="0" xfId="0"/>
    <xf applyAlignment="1" borderId="1" fillId="2" fontId="1" numFmtId="49" pivotButton="0" quotePrefix="0" xfId="0">
      <alignment horizontal="center" vertical="center" wrapText="1"/>
    </xf>
    <xf applyAlignment="1" borderId="1" fillId="2" fontId="2" numFmtId="49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/>
    </xf>
    <xf borderId="0" fillId="0" fontId="4" numFmtId="49" pivotButton="0" quotePrefix="0" xfId="0"/>
    <xf borderId="0" fillId="0" fontId="4" numFmtId="0" pivotButton="0" quotePrefix="0" xfId="0"/>
    <xf applyAlignment="1" borderId="3" fillId="3" fontId="8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borderId="3" fillId="4" fontId="7" numFmtId="0" pivotButton="0" quotePrefix="0" xfId="0"/>
    <xf borderId="4" fillId="0" fontId="7" numFmtId="0" pivotButton="0" quotePrefix="0" xfId="0"/>
    <xf applyAlignment="1" borderId="4" fillId="0" fontId="9" numFmtId="0" pivotButton="0" quotePrefix="0" xfId="0">
      <alignment vertical="center"/>
    </xf>
    <xf borderId="0" fillId="0" fontId="4" numFmtId="4" pivotButton="0" quotePrefix="0" xfId="0"/>
    <xf applyAlignment="1" borderId="2" fillId="0" fontId="5" numFmtId="4" pivotButton="0" quotePrefix="0" xfId="0">
      <alignment shrinkToFit="1" vertical="center"/>
    </xf>
    <xf applyAlignment="1" borderId="2" fillId="0" fontId="6" numFmtId="4" pivotButton="0" quotePrefix="0" xfId="0">
      <alignment shrinkToFit="1" vertical="center"/>
    </xf>
    <xf applyAlignment="1" borderId="6" fillId="5" fontId="11" numFmtId="0" pivotButton="0" quotePrefix="0" xfId="0">
      <alignment horizontal="center" vertical="center"/>
    </xf>
    <xf applyAlignment="1" borderId="6" fillId="7" fontId="11" numFmtId="0" pivotButton="0" quotePrefix="0" xfId="0">
      <alignment horizontal="center" vertical="center"/>
    </xf>
    <xf applyAlignment="1" borderId="6" fillId="6" fontId="12" numFmtId="0" pivotButton="0" quotePrefix="0" xfId="0">
      <alignment wrapText="1"/>
    </xf>
    <xf applyAlignment="1" borderId="6" fillId="0" fontId="12" numFmtId="0" pivotButton="0" quotePrefix="0" xfId="0">
      <alignment wrapText="1"/>
    </xf>
    <xf applyAlignment="1" borderId="6" fillId="0" fontId="12" numFmtId="164" pivotButton="0" quotePrefix="0" xfId="1">
      <alignment wrapText="1"/>
    </xf>
    <xf applyAlignment="1" borderId="6" fillId="0" fontId="12" numFmtId="4" pivotButton="0" quotePrefix="0" xfId="0">
      <alignment wrapText="1"/>
    </xf>
    <xf applyAlignment="1" borderId="6" fillId="6" fontId="13" numFmtId="0" pivotButton="0" quotePrefix="0" xfId="0">
      <alignment vertical="center"/>
    </xf>
    <xf applyAlignment="1" borderId="6" fillId="0" fontId="13" numFmtId="0" pivotButton="0" quotePrefix="0" xfId="0">
      <alignment horizontal="center" vertical="center"/>
    </xf>
    <xf borderId="6" fillId="8" fontId="0" numFmtId="0" pivotButton="0" quotePrefix="0" xfId="0"/>
  </cellXfs>
  <cellStyles count="2">
    <cellStyle builtinId="0" name="Normal" xfId="0"/>
    <cellStyle hidden="0" name="date_style" xfId="1"/>
  </cellStyle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N48"/>
  <sheetViews>
    <sheetView tabSelected="1" topLeftCell="DF1" workbookViewId="0" zoomScaleNormal="100" zoomScalePageLayoutView="60">
      <selection activeCell="DJ3" sqref="DJ3"/>
    </sheetView>
  </sheetViews>
  <sheetFormatPr baseColWidth="8" defaultColWidth="11.54296875" defaultRowHeight="13"/>
  <cols>
    <col customWidth="1" max="1" min="1" style="12" width="8.7265625"/>
    <col customWidth="1" max="2" min="2" style="12" width="30.1796875"/>
    <col customWidth="1" max="3" min="3" style="12" width="24.1796875"/>
    <col customWidth="1" max="4" min="4" style="12" width="36"/>
    <col customWidth="1" max="5" min="5" style="12" width="32.81640625"/>
    <col customWidth="1" max="6" min="6" style="12" width="43.08984375"/>
    <col customWidth="1" max="7" min="7" style="12" width="45.08984375"/>
    <col customWidth="1" max="8" min="8" style="12" width="27.81640625"/>
    <col customWidth="1" max="11" min="9" style="12" width="55.08984375"/>
    <col customWidth="1" max="12" min="12" style="12" width="38.36328125"/>
    <col customWidth="1" max="13" min="13" style="12" width="42.7265625"/>
    <col customWidth="1" max="14" min="14" style="12" width="29.90625"/>
    <col customWidth="1" max="15" min="15" style="12" width="38.90625"/>
    <col customWidth="1" max="16" min="16" style="12" width="22.26953125"/>
    <col customWidth="1" max="17" min="17" style="12" width="22.6328125"/>
    <col customWidth="1" max="19" min="18" style="12" width="11.54296875"/>
    <col customWidth="1" max="147" min="20" style="12" width="14.6328125"/>
    <col customWidth="1" max="16384" min="148" style="12" width="11.54296875"/>
  </cols>
  <sheetData>
    <row customHeight="1" ht="68.25" r="1">
      <c r="A1" s="1" t="inlineStr">
        <is>
          <t>STT</t>
        </is>
      </c>
      <c r="B1" s="1" t="inlineStr">
        <is>
          <t>Họ và Tên (*)</t>
        </is>
      </c>
      <c r="C1" s="1" t="inlineStr">
        <is>
          <t>Mã NV lấy từ phần mềm hiện tại</t>
        </is>
      </c>
      <c r="D1" s="1" t="inlineStr">
        <is>
          <t>Mã hồ sơ của nhân viên theo dự án</t>
        </is>
      </c>
      <c r="E1" s="1" t="inlineStr">
        <is>
          <t>Dự án(*)</t>
        </is>
      </c>
      <c r="F1" s="2" t="inlineStr">
        <is>
          <t xml:space="preserve">Mã chi phí của KH cung cấp </t>
        </is>
      </c>
      <c r="G1" s="2" t="inlineStr">
        <is>
          <t xml:space="preserve">Tên công việc </t>
        </is>
      </c>
      <c r="H1" s="2" t="inlineStr">
        <is>
          <t>Tên Chức vụ của NV, theo danh mục quy định</t>
        </is>
      </c>
      <c r="I1" s="2" t="inlineStr">
        <is>
          <t xml:space="preserve">Tên vị trí theo KH quy định </t>
        </is>
      </c>
      <c r="J1" s="2" t="inlineStr">
        <is>
          <t xml:space="preserve">Tên phòng ban làm việc do KH quy định </t>
        </is>
      </c>
      <c r="K1" s="2" t="inlineStr">
        <is>
          <t xml:space="preserve">Tên phòng ban nội bộ </t>
        </is>
      </c>
      <c r="L1" s="2" t="inlineStr">
        <is>
          <t xml:space="preserve">Mã hợp đồng </t>
        </is>
      </c>
      <c r="M1" s="2" t="inlineStr">
        <is>
          <t xml:space="preserve">Chủ tài khoản </t>
        </is>
      </c>
      <c r="N1" s="2" t="inlineStr">
        <is>
          <t xml:space="preserve">Tài khoản </t>
        </is>
      </c>
      <c r="O1" s="2" t="inlineStr">
        <is>
          <t xml:space="preserve">Tên Ngân hàng &amp; Chi nhánh (theo quy định của kế toán) </t>
        </is>
      </c>
      <c r="P1" s="2" t="inlineStr">
        <is>
          <t xml:space="preserve">Ký hiệu </t>
        </is>
      </c>
      <c r="Q1" s="2" t="inlineStr">
        <is>
          <t xml:space="preserve">Hình thức chi trả </t>
        </is>
      </c>
      <c r="R1" s="2" t="inlineStr">
        <is>
          <t xml:space="preserve">Ngày chi trả </t>
        </is>
      </c>
      <c r="S1" s="3" t="inlineStr">
        <is>
          <t>Lương CB Tháng trước</t>
        </is>
      </c>
      <c r="T1" s="3" t="inlineStr">
        <is>
          <t xml:space="preserve">Lương căn bản </t>
        </is>
      </c>
      <c r="U1" s="3" t="inlineStr">
        <is>
          <t>Lương đóng BHBB</t>
        </is>
      </c>
      <c r="V1" s="3" t="inlineStr">
        <is>
          <t>Phụ cấp đóng bảo hiểm</t>
        </is>
      </c>
      <c r="W1" s="3" t="inlineStr">
        <is>
          <t>Phụ cấp Độc hại</t>
        </is>
      </c>
      <c r="X1" s="3" t="inlineStr">
        <is>
          <t>Trợ cấp cơm</t>
        </is>
      </c>
      <c r="Y1" s="3" t="inlineStr">
        <is>
          <t>Trợ cấp điện thoại</t>
        </is>
      </c>
      <c r="Z1" s="3" t="inlineStr">
        <is>
          <t>Trợ cấp đi lại</t>
        </is>
      </c>
      <c r="AA1" s="3" t="inlineStr">
        <is>
          <t>Trợ cấp gửi xe/Xăng</t>
        </is>
      </c>
      <c r="AB1" s="3" t="inlineStr">
        <is>
          <t>Trợ cấp nhà ở</t>
        </is>
      </c>
      <c r="AC1" s="3" t="inlineStr">
        <is>
          <t>Tổng Phụ cấp &amp; Trợ cấp</t>
        </is>
      </c>
      <c r="AD1" s="3" t="inlineStr">
        <is>
          <t>Ngày công căn bản</t>
        </is>
      </c>
      <c r="AE1" s="3" t="inlineStr">
        <is>
          <t xml:space="preserve">Ngày công thực tế </t>
        </is>
      </c>
      <c r="AF1" s="3" t="inlineStr">
        <is>
          <t>Ngày phép năm</t>
        </is>
      </c>
      <c r="AG1" s="3" t="inlineStr">
        <is>
          <t>Ngày lễ tết – PH</t>
        </is>
      </c>
      <c r="AH1" s="3" t="inlineStr">
        <is>
          <t>Ngày công tính lương</t>
        </is>
      </c>
      <c r="AI1" s="3" t="inlineStr">
        <is>
          <t>Ngày công thử việc</t>
        </is>
      </c>
      <c r="AJ1" s="3" t="inlineStr">
        <is>
          <t>Tồng lương cơ bản</t>
        </is>
      </c>
      <c r="AK1" s="3" t="inlineStr">
        <is>
          <t>Lương điều chỉnh</t>
        </is>
      </c>
      <c r="AL1" s="3" t="inlineStr">
        <is>
          <t>Tổng LCB</t>
        </is>
      </c>
      <c r="AM1" s="3" t="inlineStr">
        <is>
          <t xml:space="preserve">Phụ cấp đóng BH </t>
        </is>
      </c>
      <c r="AN1" s="3" t="inlineStr">
        <is>
          <t xml:space="preserve">PC Độc hại </t>
        </is>
      </c>
      <c r="AO1" s="3" t="inlineStr">
        <is>
          <t>Cơm</t>
        </is>
      </c>
      <c r="AP1" s="3" t="inlineStr">
        <is>
          <t>Trợ cấp Điện thoại/ 3G</t>
        </is>
      </c>
      <c r="AQ1" s="3" t="inlineStr">
        <is>
          <t xml:space="preserve">Trợ cấp đi lại </t>
        </is>
      </c>
      <c r="AR1" s="3" t="inlineStr">
        <is>
          <t xml:space="preserve">Trợ cấp Xăng/gửi xe </t>
        </is>
      </c>
      <c r="AS1" s="3" t="inlineStr">
        <is>
          <t xml:space="preserve">Trợ cấp Nhà ở </t>
        </is>
      </c>
      <c r="AT1" s="3" t="inlineStr">
        <is>
          <t>Điều chỉnh phụ cấp</t>
        </is>
      </c>
      <c r="AU1" s="3" t="inlineStr">
        <is>
          <t>Tổng trợ cấp phụ cấp</t>
        </is>
      </c>
      <c r="AV1" s="3" t="inlineStr">
        <is>
          <t>OT ngày thường 1.0</t>
        </is>
      </c>
      <c r="AW1" s="3" t="inlineStr">
        <is>
          <t>Số giờ tăng ca (150%)</t>
        </is>
      </c>
      <c r="AX1" s="3" t="inlineStr">
        <is>
          <t>Số giờ tăng ca (200%)</t>
        </is>
      </c>
      <c r="AY1" s="3" t="inlineStr">
        <is>
          <t>Số giờ tăng ca (300%)</t>
        </is>
      </c>
      <c r="AZ1" s="3" t="inlineStr">
        <is>
          <t>Số giờ tăng ca (210%)</t>
        </is>
      </c>
      <c r="BA1" s="3" t="inlineStr">
        <is>
          <t>Số giờ tăng ca (270%)</t>
        </is>
      </c>
      <c r="BB1" s="3" t="inlineStr">
        <is>
          <t>Số giờ tăng ca (390%)</t>
        </is>
      </c>
      <c r="BC1" s="3" t="inlineStr">
        <is>
          <t>Số giờ làm ca đêm</t>
        </is>
      </c>
      <c r="BD1" s="3" t="inlineStr">
        <is>
          <t>Tổng tiền tăng ca và ca đêm</t>
        </is>
      </c>
      <c r="BE1" s="3" t="inlineStr">
        <is>
          <t>Lương tháng 13</t>
        </is>
      </c>
      <c r="BF1" s="3" t="inlineStr">
        <is>
          <t>TAT NIEN</t>
        </is>
      </c>
      <c r="BG1" s="3" t="inlineStr">
        <is>
          <t>Phụ cấp chuyên cần</t>
        </is>
      </c>
      <c r="BH1" s="3" t="inlineStr">
        <is>
          <t>Thưởng hoa hồng</t>
        </is>
      </c>
      <c r="BI1" s="3" t="inlineStr">
        <is>
          <t>Thưởng khác</t>
        </is>
      </c>
      <c r="BJ1" s="3" t="inlineStr">
        <is>
          <t>Tổng thu nhập khác</t>
        </is>
      </c>
      <c r="BK1" s="3" t="inlineStr">
        <is>
          <t>BHXH trả vào lương</t>
        </is>
      </c>
      <c r="BL1" s="3" t="inlineStr">
        <is>
          <t>Tiền phép năm còn lại</t>
        </is>
      </c>
      <c r="BM1" s="3" t="inlineStr">
        <is>
          <t>Thu nhập chịu thuế khác</t>
        </is>
      </c>
      <c r="BN1" s="3" t="inlineStr">
        <is>
          <t>Thu nhập không chịu thuế khác</t>
        </is>
      </c>
      <c r="BO1" s="3" t="inlineStr">
        <is>
          <t>Tổng thu nhập</t>
        </is>
      </c>
      <c r="BP1" s="3" t="inlineStr">
        <is>
          <t>Thu nhập không chịu thuế khác</t>
        </is>
      </c>
      <c r="BQ1" s="3" t="inlineStr">
        <is>
          <t>Trợ cấp ca đêm</t>
        </is>
      </c>
      <c r="BR1" s="3" t="inlineStr">
        <is>
          <t>Trợ cấp cơm trưa</t>
        </is>
      </c>
      <c r="BS1" s="3" t="inlineStr">
        <is>
          <t xml:space="preserve">Lương ngoài giờ </t>
        </is>
      </c>
      <c r="BT1" s="3" t="inlineStr">
        <is>
          <t>Phụ cấp khác/ độc hại</t>
        </is>
      </c>
      <c r="BU1" s="3" t="inlineStr">
        <is>
          <t>Tổng khoản miễn thuế</t>
        </is>
      </c>
      <c r="BV1" s="3" t="inlineStr">
        <is>
          <t>Tổng thu nhập chịu thuế bao gồm Phúc lợi</t>
        </is>
      </c>
      <c r="BW1" s="3" t="inlineStr">
        <is>
          <t>Bảo hiểm xã hội (8%)</t>
        </is>
      </c>
      <c r="BX1" s="3" t="inlineStr">
        <is>
          <t>Bảo hiểm y tế (1.5%)</t>
        </is>
      </c>
      <c r="BY1" s="3" t="inlineStr">
        <is>
          <t>Bảo hiểm TN (1%)</t>
        </is>
      </c>
      <c r="BZ1" s="3" t="inlineStr">
        <is>
          <t>Điều chỉnh BH</t>
        </is>
      </c>
      <c r="CA1" s="3" t="inlineStr">
        <is>
          <t>Truy thu tiền thẻ BHYT</t>
        </is>
      </c>
      <c r="CB1" s="3" t="inlineStr">
        <is>
          <t>Tổng chi phí BHXH (EE)</t>
        </is>
      </c>
      <c r="CC1" s="3" t="inlineStr">
        <is>
          <t>Số NPT</t>
        </is>
      </c>
      <c r="CD1" s="3" t="inlineStr">
        <is>
          <t>Tổng giảm trừ</t>
        </is>
      </c>
      <c r="CE1" s="3" t="inlineStr">
        <is>
          <t>Thu nhập tính thuế</t>
        </is>
      </c>
      <c r="CF1" s="3" t="inlineStr">
        <is>
          <t>Thuế thu nhập cá nhân</t>
        </is>
      </c>
      <c r="CG1" s="3" t="inlineStr">
        <is>
          <t>Thuế thu nhập cá nhân (10%)</t>
        </is>
      </c>
      <c r="CH1" s="3" t="inlineStr">
        <is>
          <t>Thuế TNCN Công ty trả</t>
        </is>
      </c>
      <c r="CI1" s="3" t="inlineStr">
        <is>
          <t>Điều chỉnh thuế</t>
        </is>
      </c>
      <c r="CJ1" s="3" t="inlineStr">
        <is>
          <t>Hoàn thuế TNCN</t>
        </is>
      </c>
      <c r="CK1" s="3" t="inlineStr">
        <is>
          <t>Tổng tiền thuế TNCN</t>
        </is>
      </c>
      <c r="CL1" s="3" t="inlineStr">
        <is>
          <t>BHSK (EE đóng)</t>
        </is>
      </c>
      <c r="CM1" s="3" t="inlineStr">
        <is>
          <t>Trích nộp công đoàn phí</t>
        </is>
      </c>
      <c r="CN1" s="3" t="inlineStr">
        <is>
          <t>Trừ khác</t>
        </is>
      </c>
      <c r="CO1" s="3" t="inlineStr">
        <is>
          <t>Trừ tạm ứng</t>
        </is>
      </c>
      <c r="CP1" s="3" t="inlineStr">
        <is>
          <t>Thu nhập thực nhận</t>
        </is>
      </c>
      <c r="CQ1" s="3" t="inlineStr">
        <is>
          <t>BHXH (ER)</t>
        </is>
      </c>
      <c r="CR1" s="3" t="inlineStr">
        <is>
          <t>BHYT (ER)</t>
        </is>
      </c>
      <c r="CS1" s="3" t="inlineStr">
        <is>
          <t>BHTN (ER)</t>
        </is>
      </c>
      <c r="CT1" s="3" t="inlineStr">
        <is>
          <t>BHTN &amp; BNN</t>
        </is>
      </c>
      <c r="CU1" s="3" t="inlineStr">
        <is>
          <t>Điều chỉnh BHXH</t>
        </is>
      </c>
      <c r="CV1" s="3" t="inlineStr">
        <is>
          <t>Điều chỉnh BHYT</t>
        </is>
      </c>
      <c r="CW1" s="3" t="inlineStr">
        <is>
          <t>Tổng Chi phí BHBB (ER)</t>
        </is>
      </c>
      <c r="CX1" s="3" t="inlineStr">
        <is>
          <t>Kinh phí CĐ (2%)</t>
        </is>
      </c>
      <c r="CY1" s="3" t="inlineStr">
        <is>
          <t>Phí chuyển khoản</t>
        </is>
      </c>
      <c r="CZ1" s="3" t="inlineStr">
        <is>
          <t>BHSK NSDLĐ</t>
        </is>
      </c>
      <c r="DA1" s="3" t="inlineStr">
        <is>
          <t>Lương tháng 13</t>
        </is>
      </c>
      <c r="DB1" s="3" t="inlineStr">
        <is>
          <t>Khám sức khỏe định kỳ</t>
        </is>
      </c>
      <c r="DC1" s="3" t="inlineStr">
        <is>
          <t>Đồng phục</t>
        </is>
      </c>
      <c r="DD1" s="3" t="inlineStr">
        <is>
          <t>Đào tạo</t>
        </is>
      </c>
      <c r="DE1" s="3" t="inlineStr">
        <is>
          <t>Tất niên</t>
        </is>
      </c>
      <c r="DF1" s="3" t="inlineStr">
        <is>
          <t>Ngày lễ</t>
        </is>
      </c>
      <c r="DG1" s="3" t="inlineStr">
        <is>
          <t>12 ngày phép</t>
        </is>
      </c>
      <c r="DH1" s="3" t="inlineStr">
        <is>
          <t>Thưởng năng lực</t>
        </is>
      </c>
      <c r="DI1" s="3" t="inlineStr">
        <is>
          <t>Lì xì</t>
        </is>
      </c>
      <c r="DJ1" s="3" t="inlineStr">
        <is>
          <t>Trợ cấp thôi việc</t>
        </is>
      </c>
      <c r="DK1" s="3" t="inlineStr">
        <is>
          <t>An sinh xã hội</t>
        </is>
      </c>
      <c r="DL1" s="3" t="inlineStr">
        <is>
          <t>Khác (Du lịch)</t>
        </is>
      </c>
      <c r="DM1" s="3" t="inlineStr">
        <is>
          <t>Tổng chi phí trích giữ (ER)</t>
        </is>
      </c>
      <c r="DN1" s="3" t="inlineStr">
        <is>
          <t>Điều chỉnh chi phí lao động</t>
        </is>
      </c>
      <c r="DO1" s="3" t="inlineStr">
        <is>
          <t>Tổng chi phí nhân sự</t>
        </is>
      </c>
      <c r="DP1" s="3" t="inlineStr">
        <is>
          <t>Phí quản lý</t>
        </is>
      </c>
      <c r="DQ1" s="3" t="inlineStr">
        <is>
          <t>Điều chỉnh phí quản lý</t>
        </is>
      </c>
      <c r="DR1" s="3" t="inlineStr">
        <is>
          <t xml:space="preserve">Phí tuyển dụng </t>
        </is>
      </c>
      <c r="DS1" s="3" t="inlineStr">
        <is>
          <t>Tổng phí dịch vụ L &amp; A</t>
        </is>
      </c>
      <c r="DT1" s="3" t="inlineStr">
        <is>
          <t>Chi trích giữ</t>
        </is>
      </c>
      <c r="DU1" s="3" t="inlineStr">
        <is>
          <t>Tổng chi phí Bảng lương trước VAT</t>
        </is>
      </c>
      <c r="DV1" s="3" t="inlineStr">
        <is>
          <t>VAT (10%)</t>
        </is>
      </c>
      <c r="DW1" s="3" t="inlineStr">
        <is>
          <t>Tổng chi phí Bảng lương sau VAT</t>
        </is>
      </c>
      <c r="DX1" s="3" t="inlineStr">
        <is>
          <t>Công đoàn</t>
        </is>
      </c>
      <c r="DY1" s="3" t="inlineStr">
        <is>
          <t xml:space="preserve">Lý do </t>
        </is>
      </c>
      <c r="DZ1" s="3" t="inlineStr">
        <is>
          <t>Chi lương tháng 13</t>
        </is>
      </c>
      <c r="EA1" s="3" t="inlineStr">
        <is>
          <t>Chi khám sức khỏe định kỳ</t>
        </is>
      </c>
      <c r="EB1" s="3" t="inlineStr">
        <is>
          <t>Chi đồng phục</t>
        </is>
      </c>
      <c r="EC1" s="3" t="inlineStr">
        <is>
          <t>Chi đào tạo</t>
        </is>
      </c>
      <c r="ED1" s="3" t="inlineStr">
        <is>
          <t>Chi tất niên</t>
        </is>
      </c>
      <c r="EE1" s="3" t="inlineStr">
        <is>
          <t>Chi ngày lễ</t>
        </is>
      </c>
      <c r="EF1" s="3" t="inlineStr">
        <is>
          <t>Chi 12 ngày phép</t>
        </is>
      </c>
      <c r="EG1" s="3" t="inlineStr">
        <is>
          <t>Chi Thưởng năng lực</t>
        </is>
      </c>
      <c r="EH1" s="3" t="inlineStr">
        <is>
          <t>Chi lì xì</t>
        </is>
      </c>
      <c r="EI1" s="3" t="inlineStr">
        <is>
          <t>Chi an sinh xã hội</t>
        </is>
      </c>
      <c r="EJ1" s="3" t="inlineStr">
        <is>
          <t>Chi khác (Du lịch)</t>
        </is>
      </c>
      <c r="EK1" s="3" t="inlineStr">
        <is>
          <t>Tổng chi phí trích giữ (ER)</t>
        </is>
      </c>
      <c r="EL1" s="3" t="inlineStr">
        <is>
          <t>Lương thực nhận tháng trước</t>
        </is>
      </c>
      <c r="EM1" s="3" t="inlineStr">
        <is>
          <t>Chênh lệch lương thực nhận</t>
        </is>
      </c>
      <c r="EN1" s="3" t="inlineStr">
        <is>
          <t>Diễn giải</t>
        </is>
      </c>
      <c r="EO1" s="3" t="inlineStr">
        <is>
          <t>Ghi chú</t>
        </is>
      </c>
      <c r="EP1" s="3" t="inlineStr">
        <is>
          <t>Số ngày phép còn lại</t>
        </is>
      </c>
      <c r="EQ1" s="3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4" t="n"/>
      <c r="FB1" s="4" t="n"/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4" t="n"/>
      <c r="HR1" s="4" t="n"/>
      <c r="HS1" s="4" t="n"/>
      <c r="HT1" s="4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  <c r="IN1" s="4" t="n"/>
      <c r="IO1" s="4" t="n"/>
      <c r="IP1" s="4" t="n"/>
      <c r="IQ1" s="4" t="n"/>
      <c r="IR1" s="4" t="n"/>
      <c r="IS1" s="4" t="n"/>
      <c r="IT1" s="4" t="n"/>
      <c r="IU1" s="4" t="n"/>
      <c r="IV1" s="4" t="n"/>
      <c r="IW1" s="4" t="n"/>
      <c r="IX1" s="4" t="n"/>
      <c r="IY1" s="4" t="n"/>
      <c r="IZ1" s="4" t="n"/>
      <c r="JA1" s="4" t="n"/>
      <c r="JB1" s="4" t="n"/>
      <c r="JC1" s="4" t="n"/>
      <c r="JD1" s="4" t="n"/>
      <c r="JE1" s="4" t="n"/>
      <c r="JF1" s="4" t="n"/>
      <c r="JG1" s="4" t="n"/>
      <c r="JH1" s="4" t="n"/>
      <c r="JI1" s="4" t="n"/>
      <c r="JJ1" s="4" t="n"/>
      <c r="JK1" s="4" t="n"/>
      <c r="JL1" s="4" t="n"/>
      <c r="JM1" s="4" t="n"/>
      <c r="JN1" s="4" t="n"/>
      <c r="JO1" s="4" t="n"/>
      <c r="JP1" s="4" t="n"/>
      <c r="JQ1" s="4" t="n"/>
      <c r="JR1" s="4" t="n"/>
      <c r="JS1" s="4" t="n"/>
      <c r="JT1" s="4" t="n"/>
      <c r="JU1" s="4" t="n"/>
      <c r="JV1" s="4" t="n"/>
      <c r="JW1" s="4" t="n"/>
      <c r="JX1" s="4" t="n"/>
      <c r="JY1" s="4" t="n"/>
      <c r="JZ1" s="4" t="n"/>
      <c r="KA1" s="4" t="n"/>
      <c r="KB1" s="4" t="n"/>
      <c r="KC1" s="4" t="n"/>
      <c r="KD1" s="4" t="n"/>
      <c r="KE1" s="4" t="n"/>
      <c r="KF1" s="4" t="n"/>
      <c r="KG1" s="4" t="n"/>
      <c r="KH1" s="4" t="n"/>
      <c r="KI1" s="4" t="n"/>
      <c r="KJ1" s="4" t="n"/>
      <c r="KK1" s="4" t="n"/>
      <c r="KL1" s="4" t="n"/>
      <c r="KM1" s="4" t="n"/>
      <c r="KN1" s="4" t="n"/>
      <c r="KO1" s="4" t="n"/>
      <c r="KP1" s="4" t="n"/>
      <c r="KQ1" s="4" t="n"/>
      <c r="KR1" s="4" t="n"/>
      <c r="KS1" s="4" t="n"/>
      <c r="KT1" s="4" t="n"/>
      <c r="KU1" s="4" t="n"/>
      <c r="KV1" s="4" t="n"/>
      <c r="KW1" s="4" t="n"/>
      <c r="KX1" s="4" t="n"/>
      <c r="KY1" s="4" t="n"/>
      <c r="KZ1" s="4" t="n"/>
      <c r="LA1" s="4" t="n"/>
      <c r="LB1" s="4" t="n"/>
      <c r="LC1" s="4" t="n"/>
      <c r="LD1" s="4" t="n"/>
      <c r="LE1" s="4" t="n"/>
      <c r="LF1" s="4" t="n"/>
      <c r="LG1" s="4" t="n"/>
      <c r="LH1" s="4" t="n"/>
      <c r="LI1" s="4" t="n"/>
      <c r="LJ1" s="4" t="n"/>
      <c r="LK1" s="4" t="n"/>
      <c r="LL1" s="4" t="n"/>
      <c r="LM1" s="4" t="n"/>
      <c r="LN1" s="4" t="n"/>
      <c r="LO1" s="4" t="n"/>
      <c r="LP1" s="4" t="n"/>
      <c r="LQ1" s="4" t="n"/>
      <c r="LR1" s="4" t="n"/>
      <c r="LS1" s="4" t="n"/>
      <c r="LT1" s="4" t="n"/>
      <c r="LU1" s="4" t="n"/>
      <c r="LV1" s="4" t="n"/>
      <c r="LW1" s="4" t="n"/>
      <c r="LX1" s="4" t="n"/>
      <c r="LY1" s="4" t="n"/>
      <c r="LZ1" s="4" t="n"/>
      <c r="MA1" s="4" t="n"/>
      <c r="MB1" s="4" t="n"/>
      <c r="MC1" s="4" t="n"/>
      <c r="MD1" s="4" t="n"/>
      <c r="ME1" s="4" t="n"/>
      <c r="MF1" s="4" t="n"/>
      <c r="MG1" s="4" t="n"/>
      <c r="MH1" s="4" t="n"/>
      <c r="MI1" s="4" t="n"/>
      <c r="MJ1" s="4" t="n"/>
      <c r="MK1" s="4" t="n"/>
      <c r="ML1" s="4" t="n"/>
      <c r="MM1" s="4" t="n"/>
      <c r="MN1" s="4" t="n"/>
      <c r="MO1" s="4" t="n"/>
      <c r="MP1" s="4" t="n"/>
      <c r="MQ1" s="4" t="n"/>
      <c r="MR1" s="4" t="n"/>
      <c r="MS1" s="4" t="n"/>
      <c r="MT1" s="4" t="n"/>
      <c r="MU1" s="4" t="n"/>
      <c r="MV1" s="4" t="n"/>
      <c r="MW1" s="4" t="n"/>
      <c r="MX1" s="4" t="n"/>
      <c r="MY1" s="4" t="n"/>
      <c r="MZ1" s="4" t="n"/>
      <c r="NA1" s="4" t="n"/>
      <c r="NB1" s="4" t="n"/>
      <c r="NC1" s="4" t="n"/>
      <c r="ND1" s="4" t="n"/>
      <c r="NE1" s="4" t="n"/>
      <c r="NF1" s="4" t="n"/>
      <c r="NG1" s="4" t="n"/>
      <c r="NH1" s="4" t="n"/>
      <c r="NI1" s="4" t="n"/>
      <c r="NJ1" s="4" t="n"/>
      <c r="NK1" s="4" t="n"/>
      <c r="NL1" s="4" t="n"/>
      <c r="NM1" s="4" t="n"/>
      <c r="NN1" s="4" t="n"/>
      <c r="NO1" s="4" t="n"/>
      <c r="NP1" s="4" t="n"/>
      <c r="NQ1" s="4" t="n"/>
      <c r="NR1" s="4" t="n"/>
      <c r="NS1" s="4" t="n"/>
      <c r="NT1" s="4" t="n"/>
      <c r="NU1" s="4" t="n"/>
      <c r="NV1" s="4" t="n"/>
      <c r="NW1" s="4" t="n"/>
      <c r="NX1" s="4" t="n"/>
      <c r="NY1" s="4" t="n"/>
      <c r="NZ1" s="4" t="n"/>
      <c r="OA1" s="4" t="n"/>
      <c r="OB1" s="4" t="n"/>
      <c r="OC1" s="4" t="n"/>
      <c r="OD1" s="4" t="n"/>
      <c r="OE1" s="4" t="n"/>
      <c r="OF1" s="4" t="n"/>
      <c r="OG1" s="4" t="n"/>
      <c r="OH1" s="4" t="n"/>
      <c r="OI1" s="4" t="n"/>
      <c r="OJ1" s="4" t="n"/>
      <c r="OK1" s="4" t="n"/>
      <c r="OL1" s="4" t="n"/>
      <c r="OM1" s="4" t="n"/>
      <c r="ON1" s="4" t="n"/>
      <c r="OO1" s="4" t="n"/>
      <c r="OP1" s="4" t="n"/>
      <c r="OQ1" s="4" t="n"/>
      <c r="OR1" s="4" t="n"/>
      <c r="OS1" s="4" t="n"/>
      <c r="OT1" s="4" t="n"/>
      <c r="OU1" s="4" t="n"/>
      <c r="OV1" s="4" t="n"/>
      <c r="OW1" s="4" t="n"/>
      <c r="OX1" s="4" t="n"/>
      <c r="OY1" s="4" t="n"/>
      <c r="OZ1" s="4" t="n"/>
      <c r="PA1" s="4" t="n"/>
      <c r="PB1" s="4" t="n"/>
      <c r="PC1" s="4" t="n"/>
      <c r="PD1" s="4" t="n"/>
      <c r="PE1" s="4" t="n"/>
      <c r="PF1" s="4" t="n"/>
      <c r="PG1" s="4" t="n"/>
      <c r="PH1" s="4" t="n"/>
      <c r="PI1" s="4" t="n"/>
      <c r="PJ1" s="4" t="n"/>
      <c r="PK1" s="4" t="n"/>
      <c r="PL1" s="4" t="n"/>
      <c r="PM1" s="4" t="n"/>
      <c r="PN1" s="4" t="n"/>
      <c r="PO1" s="4" t="n"/>
      <c r="PP1" s="4" t="n"/>
      <c r="PQ1" s="4" t="n"/>
      <c r="PR1" s="4" t="n"/>
      <c r="PS1" s="4" t="n"/>
      <c r="PT1" s="4" t="n"/>
      <c r="PU1" s="4" t="n"/>
      <c r="PV1" s="4" t="n"/>
      <c r="PW1" s="4" t="n"/>
      <c r="PX1" s="4" t="n"/>
      <c r="PY1" s="4" t="n"/>
      <c r="PZ1" s="4" t="n"/>
      <c r="QA1" s="4" t="n"/>
      <c r="QB1" s="4" t="n"/>
      <c r="QC1" s="4" t="n"/>
      <c r="QD1" s="4" t="n"/>
      <c r="QE1" s="4" t="n"/>
      <c r="QF1" s="4" t="n"/>
      <c r="QG1" s="4" t="n"/>
      <c r="QH1" s="4" t="n"/>
      <c r="QI1" s="4" t="n"/>
      <c r="QJ1" s="4" t="n"/>
      <c r="QK1" s="4" t="n"/>
      <c r="QL1" s="4" t="n"/>
      <c r="QM1" s="4" t="n"/>
      <c r="QN1" s="4" t="n"/>
      <c r="QO1" s="4" t="n"/>
      <c r="QP1" s="4" t="n"/>
      <c r="QQ1" s="4" t="n"/>
      <c r="QR1" s="4" t="n"/>
      <c r="QS1" s="4" t="n"/>
      <c r="QT1" s="4" t="n"/>
      <c r="QU1" s="4" t="n"/>
      <c r="QV1" s="4" t="n"/>
      <c r="QW1" s="4" t="n"/>
      <c r="QX1" s="4" t="n"/>
      <c r="QY1" s="4" t="n"/>
      <c r="QZ1" s="4" t="n"/>
      <c r="RA1" s="4" t="n"/>
      <c r="RB1" s="4" t="n"/>
      <c r="RC1" s="4" t="n"/>
      <c r="RD1" s="4" t="n"/>
      <c r="RE1" s="4" t="n"/>
      <c r="RF1" s="4" t="n"/>
      <c r="RG1" s="4" t="n"/>
      <c r="RH1" s="4" t="n"/>
      <c r="RI1" s="4" t="n"/>
      <c r="RJ1" s="4" t="n"/>
      <c r="RK1" s="4" t="n"/>
      <c r="RL1" s="4" t="n"/>
      <c r="RM1" s="4" t="n"/>
      <c r="RN1" s="4" t="n"/>
      <c r="RO1" s="4" t="n"/>
      <c r="RP1" s="4" t="n"/>
      <c r="RQ1" s="4" t="n"/>
      <c r="RR1" s="4" t="n"/>
      <c r="RS1" s="4" t="n"/>
      <c r="RT1" s="4" t="n"/>
      <c r="RU1" s="4" t="n"/>
      <c r="RV1" s="4" t="n"/>
      <c r="RW1" s="4" t="n"/>
      <c r="RX1" s="4" t="n"/>
      <c r="RY1" s="4" t="n"/>
      <c r="RZ1" s="4" t="n"/>
      <c r="SA1" s="4" t="n"/>
      <c r="SB1" s="4" t="n"/>
      <c r="SC1" s="4" t="n"/>
      <c r="SD1" s="4" t="n"/>
      <c r="SE1" s="4" t="n"/>
      <c r="SF1" s="4" t="n"/>
      <c r="SG1" s="4" t="n"/>
      <c r="SH1" s="4" t="n"/>
      <c r="SI1" s="4" t="n"/>
      <c r="SJ1" s="4" t="n"/>
      <c r="SK1" s="4" t="n"/>
      <c r="SL1" s="4" t="n"/>
      <c r="SM1" s="4" t="n"/>
      <c r="SN1" s="4" t="n"/>
      <c r="SO1" s="4" t="n"/>
      <c r="SP1" s="4" t="n"/>
      <c r="SQ1" s="4" t="n"/>
      <c r="SR1" s="4" t="n"/>
      <c r="SS1" s="4" t="n"/>
      <c r="ST1" s="4" t="n"/>
      <c r="SU1" s="4" t="n"/>
      <c r="SV1" s="4" t="n"/>
      <c r="SW1" s="4" t="n"/>
      <c r="SX1" s="4" t="n"/>
      <c r="SY1" s="4" t="n"/>
      <c r="SZ1" s="4" t="n"/>
      <c r="TA1" s="4" t="n"/>
      <c r="TB1" s="4" t="n"/>
      <c r="TC1" s="4" t="n"/>
      <c r="TD1" s="4" t="n"/>
      <c r="TE1" s="4" t="n"/>
      <c r="TF1" s="4" t="n"/>
      <c r="TG1" s="4" t="n"/>
      <c r="TH1" s="4" t="n"/>
      <c r="TI1" s="4" t="n"/>
      <c r="TJ1" s="4" t="n"/>
      <c r="TK1" s="4" t="n"/>
      <c r="TL1" s="4" t="n"/>
      <c r="TM1" s="4" t="n"/>
      <c r="TN1" s="4" t="n"/>
      <c r="TO1" s="4" t="n"/>
      <c r="TP1" s="4" t="n"/>
      <c r="TQ1" s="4" t="n"/>
      <c r="TR1" s="4" t="n"/>
      <c r="TS1" s="4" t="n"/>
      <c r="TT1" s="4" t="n"/>
      <c r="TU1" s="4" t="n"/>
      <c r="TV1" s="4" t="n"/>
      <c r="TW1" s="4" t="n"/>
      <c r="TX1" s="4" t="n"/>
      <c r="TY1" s="4" t="n"/>
      <c r="TZ1" s="4" t="n"/>
      <c r="UA1" s="4" t="n"/>
      <c r="UB1" s="4" t="n"/>
      <c r="UC1" s="4" t="n"/>
      <c r="UD1" s="4" t="n"/>
      <c r="UE1" s="4" t="n"/>
      <c r="UF1" s="4" t="n"/>
      <c r="UG1" s="4" t="n"/>
      <c r="UH1" s="4" t="n"/>
      <c r="UI1" s="4" t="n"/>
      <c r="UJ1" s="4" t="n"/>
      <c r="UK1" s="4" t="n"/>
      <c r="UL1" s="4" t="n"/>
      <c r="UM1" s="4" t="n"/>
      <c r="UN1" s="4" t="n"/>
      <c r="UO1" s="4" t="n"/>
      <c r="UP1" s="4" t="n"/>
      <c r="UQ1" s="4" t="n"/>
      <c r="UR1" s="4" t="n"/>
      <c r="US1" s="4" t="n"/>
      <c r="UT1" s="4" t="n"/>
      <c r="UU1" s="4" t="n"/>
      <c r="UV1" s="4" t="n"/>
      <c r="UW1" s="4" t="n"/>
      <c r="UX1" s="4" t="n"/>
      <c r="UY1" s="4" t="n"/>
      <c r="UZ1" s="4" t="n"/>
      <c r="VA1" s="4" t="n"/>
      <c r="VB1" s="4" t="n"/>
      <c r="VC1" s="4" t="n"/>
      <c r="VD1" s="4" t="n"/>
      <c r="VE1" s="4" t="n"/>
      <c r="VF1" s="4" t="n"/>
      <c r="VG1" s="4" t="n"/>
      <c r="VH1" s="4" t="n"/>
      <c r="VI1" s="4" t="n"/>
      <c r="VJ1" s="4" t="n"/>
      <c r="VK1" s="4" t="n"/>
      <c r="VL1" s="4" t="n"/>
      <c r="VM1" s="4" t="n"/>
      <c r="VN1" s="4" t="n"/>
      <c r="VO1" s="4" t="n"/>
      <c r="VP1" s="4" t="n"/>
      <c r="VQ1" s="4" t="n"/>
      <c r="VR1" s="4" t="n"/>
      <c r="VS1" s="4" t="n"/>
      <c r="VT1" s="4" t="n"/>
      <c r="VU1" s="4" t="n"/>
      <c r="VV1" s="4" t="n"/>
      <c r="VW1" s="4" t="n"/>
      <c r="VX1" s="4" t="n"/>
      <c r="VY1" s="4" t="n"/>
      <c r="VZ1" s="4" t="n"/>
      <c r="WA1" s="4" t="n"/>
      <c r="WB1" s="4" t="n"/>
      <c r="WC1" s="4" t="n"/>
      <c r="WD1" s="4" t="n"/>
      <c r="WE1" s="4" t="n"/>
      <c r="WF1" s="4" t="n"/>
      <c r="WG1" s="4" t="n"/>
      <c r="WH1" s="4" t="n"/>
      <c r="WI1" s="4" t="n"/>
      <c r="WJ1" s="4" t="n"/>
      <c r="WK1" s="4" t="n"/>
      <c r="WL1" s="4" t="n"/>
      <c r="WM1" s="4" t="n"/>
      <c r="WN1" s="4" t="n"/>
      <c r="WO1" s="4" t="n"/>
      <c r="WP1" s="4" t="n"/>
      <c r="WQ1" s="4" t="n"/>
      <c r="WR1" s="4" t="n"/>
      <c r="WS1" s="4" t="n"/>
      <c r="WT1" s="4" t="n"/>
      <c r="WU1" s="4" t="n"/>
      <c r="WV1" s="4" t="n"/>
      <c r="WW1" s="4" t="n"/>
      <c r="WX1" s="4" t="n"/>
      <c r="WY1" s="4" t="n"/>
      <c r="WZ1" s="4" t="n"/>
      <c r="XA1" s="4" t="n"/>
      <c r="XB1" s="4" t="n"/>
      <c r="XC1" s="4" t="n"/>
      <c r="XD1" s="4" t="n"/>
      <c r="XE1" s="4" t="n"/>
      <c r="XF1" s="4" t="n"/>
      <c r="XG1" s="4" t="n"/>
      <c r="XH1" s="4" t="n"/>
      <c r="XI1" s="4" t="n"/>
      <c r="XJ1" s="4" t="n"/>
      <c r="XK1" s="4" t="n"/>
      <c r="XL1" s="4" t="n"/>
      <c r="XM1" s="4" t="n"/>
      <c r="XN1" s="4" t="n"/>
      <c r="XO1" s="4" t="n"/>
      <c r="XP1" s="4" t="n"/>
      <c r="XQ1" s="4" t="n"/>
      <c r="XR1" s="4" t="n"/>
      <c r="XS1" s="4" t="n"/>
      <c r="XT1" s="4" t="n"/>
      <c r="XU1" s="4" t="n"/>
      <c r="XV1" s="4" t="n"/>
      <c r="XW1" s="4" t="n"/>
      <c r="XX1" s="4" t="n"/>
      <c r="XY1" s="4" t="n"/>
      <c r="XZ1" s="4" t="n"/>
      <c r="YA1" s="4" t="n"/>
      <c r="YB1" s="4" t="n"/>
      <c r="YC1" s="4" t="n"/>
      <c r="YD1" s="4" t="n"/>
      <c r="YE1" s="4" t="n"/>
      <c r="YF1" s="4" t="n"/>
      <c r="YG1" s="4" t="n"/>
      <c r="YH1" s="4" t="n"/>
      <c r="YI1" s="4" t="n"/>
      <c r="YJ1" s="4" t="n"/>
      <c r="YK1" s="4" t="n"/>
      <c r="YL1" s="4" t="n"/>
      <c r="YM1" s="4" t="n"/>
      <c r="YN1" s="4" t="n"/>
      <c r="YO1" s="4" t="n"/>
      <c r="YP1" s="4" t="n"/>
      <c r="YQ1" s="4" t="n"/>
      <c r="YR1" s="4" t="n"/>
      <c r="YS1" s="4" t="n"/>
      <c r="YT1" s="4" t="n"/>
      <c r="YU1" s="4" t="n"/>
      <c r="YV1" s="4" t="n"/>
      <c r="YW1" s="4" t="n"/>
      <c r="YX1" s="4" t="n"/>
      <c r="YY1" s="4" t="n"/>
      <c r="YZ1" s="4" t="n"/>
      <c r="ZA1" s="4" t="n"/>
      <c r="ZB1" s="4" t="n"/>
      <c r="ZC1" s="4" t="n"/>
      <c r="ZD1" s="4" t="n"/>
      <c r="ZE1" s="4" t="n"/>
      <c r="ZF1" s="4" t="n"/>
      <c r="ZG1" s="4" t="n"/>
      <c r="ZH1" s="4" t="n"/>
      <c r="ZI1" s="4" t="n"/>
      <c r="ZJ1" s="4" t="n"/>
      <c r="ZK1" s="4" t="n"/>
      <c r="ZL1" s="4" t="n"/>
      <c r="ZM1" s="4" t="n"/>
      <c r="ZN1" s="4" t="n"/>
      <c r="ZO1" s="4" t="n"/>
      <c r="ZP1" s="4" t="n"/>
      <c r="ZQ1" s="4" t="n"/>
      <c r="ZR1" s="4" t="n"/>
      <c r="ZS1" s="4" t="n"/>
      <c r="ZT1" s="4" t="n"/>
      <c r="ZU1" s="4" t="n"/>
      <c r="ZV1" s="4" t="n"/>
      <c r="ZW1" s="4" t="n"/>
      <c r="ZX1" s="4" t="n"/>
      <c r="ZY1" s="4" t="n"/>
      <c r="ZZ1" s="4" t="n"/>
      <c r="AAA1" s="4" t="n"/>
      <c r="AAB1" s="4" t="n"/>
      <c r="AAC1" s="4" t="n"/>
      <c r="AAD1" s="4" t="n"/>
      <c r="AAE1" s="4" t="n"/>
      <c r="AAF1" s="4" t="n"/>
      <c r="AAG1" s="4" t="n"/>
      <c r="AAH1" s="4" t="n"/>
      <c r="AAI1" s="4" t="n"/>
      <c r="AAJ1" s="4" t="n"/>
      <c r="AAK1" s="4" t="n"/>
      <c r="AAL1" s="4" t="n"/>
      <c r="AAM1" s="4" t="n"/>
      <c r="AAN1" s="4" t="n"/>
      <c r="AAO1" s="4" t="n"/>
      <c r="AAP1" s="4" t="n"/>
      <c r="AAQ1" s="4" t="n"/>
      <c r="AAR1" s="4" t="n"/>
      <c r="AAS1" s="4" t="n"/>
      <c r="AAT1" s="4" t="n"/>
      <c r="AAU1" s="4" t="n"/>
      <c r="AAV1" s="4" t="n"/>
      <c r="AAW1" s="4" t="n"/>
      <c r="AAX1" s="4" t="n"/>
      <c r="AAY1" s="4" t="n"/>
      <c r="AAZ1" s="4" t="n"/>
      <c r="ABA1" s="4" t="n"/>
      <c r="ABB1" s="4" t="n"/>
      <c r="ABC1" s="4" t="n"/>
      <c r="ABD1" s="4" t="n"/>
      <c r="ABE1" s="4" t="n"/>
      <c r="ABF1" s="4" t="n"/>
      <c r="ABG1" s="4" t="n"/>
      <c r="ABH1" s="4" t="n"/>
      <c r="ABI1" s="4" t="n"/>
      <c r="ABJ1" s="4" t="n"/>
      <c r="ABK1" s="4" t="n"/>
      <c r="ABL1" s="4" t="n"/>
      <c r="ABM1" s="4" t="n"/>
      <c r="ABN1" s="4" t="n"/>
      <c r="ABO1" s="4" t="n"/>
      <c r="ABP1" s="4" t="n"/>
      <c r="ABQ1" s="4" t="n"/>
      <c r="ABR1" s="4" t="n"/>
      <c r="ABS1" s="4" t="n"/>
      <c r="ABT1" s="4" t="n"/>
      <c r="ABU1" s="4" t="n"/>
      <c r="ABV1" s="4" t="n"/>
      <c r="ABW1" s="4" t="n"/>
      <c r="ABX1" s="4" t="n"/>
      <c r="ABY1" s="4" t="n"/>
      <c r="ABZ1" s="4" t="n"/>
      <c r="ACA1" s="4" t="n"/>
      <c r="ACB1" s="4" t="n"/>
      <c r="ACC1" s="4" t="n"/>
      <c r="ACD1" s="4" t="n"/>
      <c r="ACE1" s="4" t="n"/>
      <c r="ACF1" s="4" t="n"/>
      <c r="ACG1" s="4" t="n"/>
      <c r="ACH1" s="4" t="n"/>
      <c r="ACI1" s="4" t="n"/>
      <c r="ACJ1" s="4" t="n"/>
      <c r="ACK1" s="4" t="n"/>
      <c r="ACL1" s="4" t="n"/>
      <c r="ACM1" s="4" t="n"/>
      <c r="ACN1" s="4" t="n"/>
      <c r="ACO1" s="4" t="n"/>
      <c r="ACP1" s="4" t="n"/>
      <c r="ACQ1" s="4" t="n"/>
      <c r="ACR1" s="4" t="n"/>
      <c r="ACS1" s="4" t="n"/>
      <c r="ACT1" s="4" t="n"/>
      <c r="ACU1" s="4" t="n"/>
      <c r="ACV1" s="4" t="n"/>
      <c r="ACW1" s="4" t="n"/>
      <c r="ACX1" s="4" t="n"/>
      <c r="ACY1" s="4" t="n"/>
      <c r="ACZ1" s="4" t="n"/>
      <c r="ADA1" s="4" t="n"/>
      <c r="ADB1" s="4" t="n"/>
      <c r="ADC1" s="4" t="n"/>
      <c r="ADD1" s="4" t="n"/>
      <c r="ADE1" s="4" t="n"/>
      <c r="ADF1" s="4" t="n"/>
      <c r="ADG1" s="4" t="n"/>
      <c r="ADH1" s="4" t="n"/>
      <c r="ADI1" s="4" t="n"/>
      <c r="ADJ1" s="4" t="n"/>
      <c r="ADK1" s="4" t="n"/>
      <c r="ADL1" s="4" t="n"/>
      <c r="ADM1" s="4" t="n"/>
      <c r="ADN1" s="4" t="n"/>
      <c r="ADO1" s="4" t="n"/>
      <c r="ADP1" s="4" t="n"/>
      <c r="ADQ1" s="4" t="n"/>
      <c r="ADR1" s="4" t="n"/>
      <c r="ADS1" s="4" t="n"/>
      <c r="ADT1" s="4" t="n"/>
      <c r="ADU1" s="4" t="n"/>
      <c r="ADV1" s="4" t="n"/>
      <c r="ADW1" s="4" t="n"/>
      <c r="ADX1" s="4" t="n"/>
      <c r="ADY1" s="4" t="n"/>
      <c r="ADZ1" s="4" t="n"/>
      <c r="AEA1" s="4" t="n"/>
      <c r="AEB1" s="4" t="n"/>
      <c r="AEC1" s="4" t="n"/>
      <c r="AED1" s="4" t="n"/>
      <c r="AEE1" s="4" t="n"/>
      <c r="AEF1" s="4" t="n"/>
      <c r="AEG1" s="4" t="n"/>
      <c r="AEH1" s="4" t="n"/>
      <c r="AEI1" s="4" t="n"/>
      <c r="AEJ1" s="4" t="n"/>
      <c r="AEK1" s="4" t="n"/>
      <c r="AEL1" s="4" t="n"/>
      <c r="AEM1" s="4" t="n"/>
      <c r="AEN1" s="4" t="n"/>
      <c r="AEO1" s="4" t="n"/>
      <c r="AEP1" s="4" t="n"/>
      <c r="AEQ1" s="4" t="n"/>
      <c r="AER1" s="4" t="n"/>
      <c r="AES1" s="4" t="n"/>
      <c r="AET1" s="4" t="n"/>
      <c r="AEU1" s="4" t="n"/>
      <c r="AEV1" s="4" t="n"/>
      <c r="AEW1" s="4" t="n"/>
      <c r="AEX1" s="4" t="n"/>
      <c r="AEY1" s="4" t="n"/>
      <c r="AEZ1" s="4" t="n"/>
      <c r="AFA1" s="4" t="n"/>
      <c r="AFB1" s="4" t="n"/>
      <c r="AFC1" s="4" t="n"/>
      <c r="AFD1" s="4" t="n"/>
      <c r="AFE1" s="4" t="n"/>
      <c r="AFF1" s="4" t="n"/>
      <c r="AFG1" s="4" t="n"/>
      <c r="AFH1" s="4" t="n"/>
      <c r="AFI1" s="4" t="n"/>
      <c r="AFJ1" s="4" t="n"/>
      <c r="AFK1" s="4" t="n"/>
      <c r="AFL1" s="4" t="n"/>
      <c r="AFM1" s="4" t="n"/>
      <c r="AFN1" s="4" t="n"/>
      <c r="AFO1" s="4" t="n"/>
      <c r="AFP1" s="4" t="n"/>
      <c r="AFQ1" s="4" t="n"/>
      <c r="AFR1" s="4" t="n"/>
      <c r="AFS1" s="4" t="n"/>
      <c r="AFT1" s="4" t="n"/>
      <c r="AFU1" s="4" t="n"/>
      <c r="AFV1" s="4" t="n"/>
      <c r="AFW1" s="4" t="n"/>
      <c r="AFX1" s="4" t="n"/>
      <c r="AFY1" s="4" t="n"/>
      <c r="AFZ1" s="4" t="n"/>
      <c r="AGA1" s="4" t="n"/>
      <c r="AGB1" s="4" t="n"/>
      <c r="AGC1" s="4" t="n"/>
      <c r="AGD1" s="4" t="n"/>
      <c r="AGE1" s="4" t="n"/>
      <c r="AGF1" s="4" t="n"/>
      <c r="AGG1" s="4" t="n"/>
      <c r="AGH1" s="4" t="n"/>
      <c r="AGI1" s="4" t="n"/>
      <c r="AGJ1" s="4" t="n"/>
      <c r="AGK1" s="4" t="n"/>
      <c r="AGL1" s="4" t="n"/>
      <c r="AGM1" s="4" t="n"/>
      <c r="AGN1" s="4" t="n"/>
      <c r="AGO1" s="4" t="n"/>
      <c r="AGP1" s="4" t="n"/>
      <c r="AGQ1" s="4" t="n"/>
      <c r="AGR1" s="4" t="n"/>
      <c r="AGS1" s="4" t="n"/>
      <c r="AGT1" s="4" t="n"/>
      <c r="AGU1" s="4" t="n"/>
      <c r="AGV1" s="4" t="n"/>
      <c r="AGW1" s="4" t="n"/>
      <c r="AGX1" s="4" t="n"/>
      <c r="AGY1" s="4" t="n"/>
      <c r="AGZ1" s="4" t="n"/>
      <c r="AHA1" s="4" t="n"/>
      <c r="AHB1" s="4" t="n"/>
      <c r="AHC1" s="4" t="n"/>
      <c r="AHD1" s="4" t="n"/>
      <c r="AHE1" s="4" t="n"/>
      <c r="AHF1" s="4" t="n"/>
      <c r="AHG1" s="4" t="n"/>
      <c r="AHH1" s="4" t="n"/>
      <c r="AHI1" s="4" t="n"/>
      <c r="AHJ1" s="4" t="n"/>
      <c r="AHK1" s="4" t="n"/>
      <c r="AHL1" s="4" t="n"/>
      <c r="AHM1" s="4" t="n"/>
      <c r="AHN1" s="4" t="n"/>
      <c r="AHO1" s="4" t="n"/>
      <c r="AHP1" s="4" t="n"/>
      <c r="AHQ1" s="4" t="n"/>
      <c r="AHR1" s="4" t="n"/>
      <c r="AHS1" s="4" t="n"/>
      <c r="AHT1" s="4" t="n"/>
      <c r="AHU1" s="4" t="n"/>
      <c r="AHV1" s="4" t="n"/>
      <c r="AHW1" s="4" t="n"/>
      <c r="AHX1" s="4" t="n"/>
      <c r="AHY1" s="4" t="n"/>
      <c r="AHZ1" s="4" t="n"/>
      <c r="AIA1" s="4" t="n"/>
      <c r="AIB1" s="4" t="n"/>
      <c r="AIC1" s="4" t="n"/>
      <c r="AID1" s="4" t="n"/>
      <c r="AIE1" s="4" t="n"/>
      <c r="AIF1" s="4" t="n"/>
      <c r="AIG1" s="4" t="n"/>
      <c r="AIH1" s="4" t="n"/>
      <c r="AII1" s="4" t="n"/>
      <c r="AIJ1" s="4" t="n"/>
      <c r="AIK1" s="4" t="n"/>
      <c r="AIL1" s="4" t="n"/>
      <c r="AIM1" s="4" t="n"/>
      <c r="AIN1" s="4" t="n"/>
      <c r="AIO1" s="4" t="n"/>
      <c r="AIP1" s="4" t="n"/>
      <c r="AIQ1" s="4" t="n"/>
      <c r="AIR1" s="4" t="n"/>
      <c r="AIS1" s="4" t="n"/>
      <c r="AIT1" s="4" t="n"/>
      <c r="AIU1" s="4" t="n"/>
      <c r="AIV1" s="4" t="n"/>
      <c r="AIW1" s="4" t="n"/>
      <c r="AIX1" s="4" t="n"/>
      <c r="AIY1" s="4" t="n"/>
      <c r="AIZ1" s="4" t="n"/>
      <c r="AJA1" s="4" t="n"/>
      <c r="AJB1" s="4" t="n"/>
      <c r="AJC1" s="4" t="n"/>
      <c r="AJD1" s="4" t="n"/>
      <c r="AJE1" s="4" t="n"/>
      <c r="AJF1" s="4" t="n"/>
      <c r="AJG1" s="4" t="n"/>
      <c r="AJH1" s="4" t="n"/>
      <c r="AJI1" s="4" t="n"/>
      <c r="AJJ1" s="4" t="n"/>
      <c r="AJK1" s="4" t="n"/>
      <c r="AJL1" s="4" t="n"/>
      <c r="AJM1" s="4" t="n"/>
      <c r="AJN1" s="4" t="n"/>
      <c r="AJO1" s="4" t="n"/>
      <c r="AJP1" s="4" t="n"/>
      <c r="AJQ1" s="4" t="n"/>
      <c r="AJR1" s="4" t="n"/>
      <c r="AJS1" s="4" t="n"/>
      <c r="AJT1" s="4" t="n"/>
      <c r="AJU1" s="4" t="n"/>
      <c r="AJV1" s="4" t="n"/>
      <c r="AJW1" s="4" t="n"/>
      <c r="AJX1" s="4" t="n"/>
      <c r="AJY1" s="4" t="n"/>
      <c r="AJZ1" s="4" t="n"/>
      <c r="AKA1" s="4" t="n"/>
      <c r="AKB1" s="4" t="n"/>
      <c r="AKC1" s="4" t="n"/>
      <c r="AKD1" s="4" t="n"/>
      <c r="AKE1" s="4" t="n"/>
      <c r="AKF1" s="4" t="n"/>
      <c r="AKG1" s="4" t="n"/>
      <c r="AKH1" s="4" t="n"/>
      <c r="AKI1" s="4" t="n"/>
      <c r="AKJ1" s="4" t="n"/>
      <c r="AKK1" s="4" t="n"/>
      <c r="AKL1" s="4" t="n"/>
      <c r="AKM1" s="4" t="n"/>
      <c r="AKN1" s="4" t="n"/>
      <c r="AKO1" s="4" t="n"/>
      <c r="AKP1" s="4" t="n"/>
      <c r="AKQ1" s="4" t="n"/>
      <c r="AKR1" s="4" t="n"/>
      <c r="AKS1" s="4" t="n"/>
      <c r="AKT1" s="4" t="n"/>
      <c r="AKU1" s="4" t="n"/>
      <c r="AKV1" s="4" t="n"/>
      <c r="AKW1" s="4" t="n"/>
      <c r="AKX1" s="4" t="n"/>
      <c r="AKY1" s="4" t="n"/>
      <c r="AKZ1" s="4" t="n"/>
      <c r="ALA1" s="4" t="n"/>
      <c r="ALB1" s="4" t="n"/>
      <c r="ALC1" s="4" t="n"/>
      <c r="ALD1" s="4" t="n"/>
      <c r="ALE1" s="4" t="n"/>
      <c r="ALF1" s="4" t="n"/>
      <c r="ALG1" s="4" t="n"/>
      <c r="ALH1" s="4" t="n"/>
      <c r="ALI1" s="4" t="n"/>
      <c r="ALJ1" s="4" t="n"/>
      <c r="ALK1" s="4" t="n"/>
      <c r="ALL1" s="4" t="n"/>
      <c r="ALM1" s="4" t="n"/>
      <c r="ALN1" s="4" t="n"/>
      <c r="ALO1" s="4" t="n"/>
      <c r="ALP1" s="4" t="n"/>
      <c r="ALQ1" s="4" t="n"/>
      <c r="ALR1" s="4" t="n"/>
      <c r="ALS1" s="4" t="n"/>
      <c r="ALT1" s="4" t="n"/>
      <c r="ALU1" s="4" t="n"/>
      <c r="ALV1" s="4" t="n"/>
      <c r="ALW1" s="4" t="n"/>
      <c r="ALX1" s="4" t="n"/>
      <c r="ALY1" s="4" t="n"/>
      <c r="ALZ1" s="4" t="n"/>
      <c r="AMA1" s="4" t="n"/>
      <c r="AMB1" s="4" t="n"/>
      <c r="AMC1" s="4" t="n"/>
      <c r="AMD1" s="4" t="n"/>
      <c r="AME1" s="4" t="n"/>
      <c r="AMF1" s="4" t="n"/>
      <c r="AMG1" s="4" t="n"/>
      <c r="AMH1" s="4" t="n"/>
      <c r="AMI1" s="4" t="n"/>
      <c r="AMJ1" s="4" t="n"/>
      <c r="AMK1" s="4" t="n"/>
      <c r="AML1" s="4" t="n"/>
      <c r="AMM1" s="4" t="n"/>
      <c r="AMN1" s="4" t="n"/>
      <c r="AMO1" s="4" t="n"/>
      <c r="AMP1" s="4" t="n"/>
      <c r="AMQ1" s="4" t="n"/>
      <c r="AMR1" s="4" t="n"/>
      <c r="AMS1" s="4" t="n"/>
      <c r="AMT1" s="4" t="n"/>
      <c r="AMU1" s="4" t="n"/>
      <c r="AMV1" s="4" t="n"/>
      <c r="AMW1" s="4" t="n"/>
      <c r="AMX1" s="4" t="n"/>
      <c r="AMY1" s="4" t="n"/>
      <c r="AMZ1" s="4" t="n"/>
      <c r="ANA1" s="4" t="n"/>
      <c r="ANB1" s="4" t="n"/>
      <c r="ANC1" s="4" t="n"/>
      <c r="AND1" s="4" t="n"/>
      <c r="ANE1" s="4" t="n"/>
      <c r="ANF1" s="4" t="n"/>
      <c r="ANG1" s="4" t="n"/>
      <c r="ANH1" s="4" t="n"/>
      <c r="ANI1" s="4" t="n"/>
      <c r="ANJ1" s="4" t="n"/>
      <c r="ANK1" s="4" t="n"/>
      <c r="ANL1" s="4" t="n"/>
      <c r="ANM1" s="4" t="n"/>
      <c r="ANN1" s="4" t="n"/>
      <c r="ANO1" s="4" t="n"/>
      <c r="ANP1" s="4" t="n"/>
      <c r="ANQ1" s="4" t="n"/>
      <c r="ANR1" s="4" t="n"/>
      <c r="ANS1" s="4" t="n"/>
      <c r="ANT1" s="4" t="n"/>
      <c r="ANU1" s="4" t="n"/>
      <c r="ANV1" s="4" t="n"/>
      <c r="ANW1" s="4" t="n"/>
      <c r="ANX1" s="4" t="n"/>
      <c r="ANY1" s="4" t="n"/>
      <c r="ANZ1" s="4" t="n"/>
      <c r="AOA1" s="4" t="n"/>
      <c r="AOB1" s="4" t="n"/>
      <c r="AOC1" s="4" t="n"/>
      <c r="AOD1" s="4" t="n"/>
      <c r="AOE1" s="4" t="n"/>
      <c r="AOF1" s="4" t="n"/>
      <c r="AOG1" s="4" t="n"/>
      <c r="AOH1" s="4" t="n"/>
      <c r="AOI1" s="4" t="n"/>
      <c r="AOJ1" s="4" t="n"/>
      <c r="AOK1" s="4" t="n"/>
      <c r="AOL1" s="4" t="n"/>
      <c r="AOM1" s="4" t="n"/>
      <c r="AON1" s="4" t="n"/>
    </row>
    <row r="2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5" t="n"/>
      <c r="R2" s="6" t="n"/>
      <c r="S2" s="6" t="inlineStr">
        <is>
          <t>1</t>
        </is>
      </c>
      <c r="T2" s="6" t="inlineStr">
        <is>
          <t>2</t>
        </is>
      </c>
      <c r="U2" s="6" t="inlineStr">
        <is>
          <t>3</t>
        </is>
      </c>
      <c r="V2" s="6" t="inlineStr">
        <is>
          <t>4</t>
        </is>
      </c>
      <c r="W2" s="6" t="inlineStr">
        <is>
          <t>11</t>
        </is>
      </c>
      <c r="X2" s="6" t="inlineStr">
        <is>
          <t>14</t>
        </is>
      </c>
      <c r="Y2" s="6" t="inlineStr">
        <is>
          <t>15</t>
        </is>
      </c>
      <c r="Z2" s="6" t="inlineStr">
        <is>
          <t>16</t>
        </is>
      </c>
      <c r="AA2" s="6" t="inlineStr">
        <is>
          <t>12</t>
        </is>
      </c>
      <c r="AB2" s="6" t="inlineStr">
        <is>
          <t>18</t>
        </is>
      </c>
      <c r="AC2" s="6" t="inlineStr">
        <is>
          <t>19</t>
        </is>
      </c>
      <c r="AD2" s="6" t="inlineStr">
        <is>
          <t>50</t>
        </is>
      </c>
      <c r="AE2" s="6" t="inlineStr">
        <is>
          <t>53</t>
        </is>
      </c>
      <c r="AF2" s="6" t="inlineStr">
        <is>
          <t>54</t>
        </is>
      </c>
      <c r="AG2" s="6" t="inlineStr">
        <is>
          <t>55</t>
        </is>
      </c>
      <c r="AH2" s="6" t="inlineStr">
        <is>
          <t>57</t>
        </is>
      </c>
      <c r="AI2" s="6" t="inlineStr">
        <is>
          <t>61</t>
        </is>
      </c>
      <c r="AJ2" s="6" t="inlineStr">
        <is>
          <t>80</t>
        </is>
      </c>
      <c r="AK2" s="6" t="inlineStr">
        <is>
          <t>81</t>
        </is>
      </c>
      <c r="AL2" s="6" t="inlineStr">
        <is>
          <t>85</t>
        </is>
      </c>
      <c r="AM2" s="6" t="inlineStr">
        <is>
          <t>100</t>
        </is>
      </c>
      <c r="AN2" s="6" t="inlineStr">
        <is>
          <t>102</t>
        </is>
      </c>
      <c r="AO2" s="6" t="inlineStr">
        <is>
          <t>103</t>
        </is>
      </c>
      <c r="AP2" s="6" t="inlineStr">
        <is>
          <t>111-24352</t>
        </is>
      </c>
      <c r="AQ2" s="6" t="inlineStr">
        <is>
          <t>106</t>
        </is>
      </c>
      <c r="AR2" s="6" t="inlineStr">
        <is>
          <t>107</t>
        </is>
      </c>
      <c r="AS2" s="6" t="inlineStr">
        <is>
          <t>108</t>
        </is>
      </c>
      <c r="AT2" s="6" t="inlineStr">
        <is>
          <t>110</t>
        </is>
      </c>
      <c r="AU2" s="6" t="inlineStr">
        <is>
          <t>29</t>
        </is>
      </c>
      <c r="AV2" s="6" t="inlineStr">
        <is>
          <t>130</t>
        </is>
      </c>
      <c r="AW2" s="6" t="inlineStr">
        <is>
          <t>131</t>
        </is>
      </c>
      <c r="AX2" s="6" t="inlineStr">
        <is>
          <t>132</t>
        </is>
      </c>
      <c r="AY2" s="6" t="inlineStr">
        <is>
          <t>133</t>
        </is>
      </c>
      <c r="AZ2" s="6" t="inlineStr">
        <is>
          <t>134</t>
        </is>
      </c>
      <c r="BA2" s="6" t="inlineStr">
        <is>
          <t>135</t>
        </is>
      </c>
      <c r="BB2" s="6" t="inlineStr">
        <is>
          <t>136</t>
        </is>
      </c>
      <c r="BC2" s="6" t="inlineStr">
        <is>
          <t>137</t>
        </is>
      </c>
      <c r="BD2" s="6" t="inlineStr">
        <is>
          <t>138</t>
        </is>
      </c>
      <c r="BE2" s="6" t="inlineStr">
        <is>
          <t>160</t>
        </is>
      </c>
      <c r="BF2" s="6" t="inlineStr">
        <is>
          <t>161</t>
        </is>
      </c>
      <c r="BG2" s="6" t="inlineStr">
        <is>
          <t>162</t>
        </is>
      </c>
      <c r="BH2" s="6" t="inlineStr">
        <is>
          <t>163</t>
        </is>
      </c>
      <c r="BI2" s="6" t="inlineStr">
        <is>
          <t>168</t>
        </is>
      </c>
      <c r="BJ2" s="6" t="inlineStr">
        <is>
          <t>169</t>
        </is>
      </c>
      <c r="BK2" t="inlineStr">
        <is>
          <t>200</t>
        </is>
      </c>
      <c r="BL2" t="inlineStr">
        <is>
          <t>201</t>
        </is>
      </c>
      <c r="BM2" t="inlineStr">
        <is>
          <t>202</t>
        </is>
      </c>
      <c r="BN2" t="inlineStr">
        <is>
          <t>205</t>
        </is>
      </c>
      <c r="BO2" t="inlineStr">
        <is>
          <t>GROSS</t>
        </is>
      </c>
      <c r="BP2" t="inlineStr">
        <is>
          <t>225</t>
        </is>
      </c>
      <c r="BQ2" t="inlineStr">
        <is>
          <t>226</t>
        </is>
      </c>
      <c r="BR2" t="inlineStr">
        <is>
          <t>227</t>
        </is>
      </c>
      <c r="BS2" t="inlineStr">
        <is>
          <t>228</t>
        </is>
      </c>
      <c r="BT2" t="inlineStr">
        <is>
          <t>229</t>
        </is>
      </c>
      <c r="BU2" t="inlineStr">
        <is>
          <t>230</t>
        </is>
      </c>
      <c r="BV2" t="inlineStr">
        <is>
          <t>231</t>
        </is>
      </c>
      <c r="BW2" t="inlineStr">
        <is>
          <t>250</t>
        </is>
      </c>
      <c r="BX2" t="inlineStr">
        <is>
          <t>251</t>
        </is>
      </c>
      <c r="BY2" t="inlineStr">
        <is>
          <t>252</t>
        </is>
      </c>
      <c r="BZ2" t="inlineStr">
        <is>
          <t>253</t>
        </is>
      </c>
      <c r="CA2" t="inlineStr">
        <is>
          <t>254</t>
        </is>
      </c>
      <c r="CB2" t="inlineStr">
        <is>
          <t>255</t>
        </is>
      </c>
      <c r="CC2" t="inlineStr">
        <is>
          <t>270</t>
        </is>
      </c>
      <c r="CD2" t="inlineStr">
        <is>
          <t>271</t>
        </is>
      </c>
      <c r="CE2" t="inlineStr">
        <is>
          <t>272</t>
        </is>
      </c>
      <c r="CF2" t="inlineStr">
        <is>
          <t>273</t>
        </is>
      </c>
      <c r="CG2" t="inlineStr">
        <is>
          <t>274</t>
        </is>
      </c>
      <c r="CH2" t="inlineStr">
        <is>
          <t>275</t>
        </is>
      </c>
      <c r="CI2" t="inlineStr">
        <is>
          <t>276</t>
        </is>
      </c>
      <c r="CJ2" t="inlineStr">
        <is>
          <t>277</t>
        </is>
      </c>
      <c r="CK2" t="inlineStr">
        <is>
          <t>278</t>
        </is>
      </c>
      <c r="CL2" t="inlineStr">
        <is>
          <t>300</t>
        </is>
      </c>
      <c r="CM2" t="inlineStr">
        <is>
          <t>301</t>
        </is>
      </c>
      <c r="CN2" t="inlineStr">
        <is>
          <t>302</t>
        </is>
      </c>
      <c r="CO2" t="inlineStr">
        <is>
          <t>303</t>
        </is>
      </c>
      <c r="CP2" t="inlineStr">
        <is>
          <t>NET</t>
        </is>
      </c>
      <c r="CQ2" t="inlineStr">
        <is>
          <t>330</t>
        </is>
      </c>
      <c r="CR2" t="inlineStr">
        <is>
          <t>331</t>
        </is>
      </c>
      <c r="CS2" t="inlineStr">
        <is>
          <t>332</t>
        </is>
      </c>
      <c r="CT2" t="inlineStr">
        <is>
          <t>333</t>
        </is>
      </c>
      <c r="CU2" t="inlineStr">
        <is>
          <t>334</t>
        </is>
      </c>
      <c r="CV2" t="inlineStr">
        <is>
          <t>335</t>
        </is>
      </c>
      <c r="CW2" t="inlineStr">
        <is>
          <t>336</t>
        </is>
      </c>
      <c r="CX2" t="inlineStr">
        <is>
          <t>337</t>
        </is>
      </c>
      <c r="CY2" t="inlineStr">
        <is>
          <t>338</t>
        </is>
      </c>
      <c r="CZ2" t="inlineStr">
        <is>
          <t>339</t>
        </is>
      </c>
      <c r="DA2" t="inlineStr">
        <is>
          <t>350</t>
        </is>
      </c>
      <c r="DB2" t="inlineStr">
        <is>
          <t>351</t>
        </is>
      </c>
      <c r="DC2" t="inlineStr">
        <is>
          <t>352</t>
        </is>
      </c>
      <c r="DD2" t="inlineStr">
        <is>
          <t>353</t>
        </is>
      </c>
      <c r="DE2" t="inlineStr">
        <is>
          <t>354</t>
        </is>
      </c>
      <c r="DF2" t="inlineStr">
        <is>
          <t>355</t>
        </is>
      </c>
      <c r="DG2" t="inlineStr">
        <is>
          <t>356</t>
        </is>
      </c>
      <c r="DH2" t="inlineStr">
        <is>
          <t>357</t>
        </is>
      </c>
      <c r="DI2" t="inlineStr">
        <is>
          <t>358</t>
        </is>
      </c>
      <c r="DJ2" t="inlineStr">
        <is>
          <t>358-01</t>
        </is>
      </c>
      <c r="DK2" t="inlineStr">
        <is>
          <t>359</t>
        </is>
      </c>
      <c r="DL2" t="inlineStr">
        <is>
          <t>360</t>
        </is>
      </c>
      <c r="DM2" t="inlineStr">
        <is>
          <t>361</t>
        </is>
      </c>
      <c r="DN2" t="inlineStr">
        <is>
          <t>363</t>
        </is>
      </c>
      <c r="DO2" t="inlineStr">
        <is>
          <t>400</t>
        </is>
      </c>
      <c r="DP2" t="inlineStr">
        <is>
          <t>401</t>
        </is>
      </c>
      <c r="DQ2" t="inlineStr">
        <is>
          <t>402</t>
        </is>
      </c>
      <c r="DR2" t="inlineStr">
        <is>
          <t>403</t>
        </is>
      </c>
      <c r="DS2" t="inlineStr">
        <is>
          <t>404</t>
        </is>
      </c>
      <c r="DT2" t="inlineStr">
        <is>
          <t>405</t>
        </is>
      </c>
      <c r="DU2" t="inlineStr">
        <is>
          <t>406</t>
        </is>
      </c>
      <c r="DV2" t="inlineStr">
        <is>
          <t>407</t>
        </is>
      </c>
      <c r="DW2" t="inlineStr">
        <is>
          <t>408</t>
        </is>
      </c>
      <c r="DX2" t="inlineStr">
        <is>
          <t>409</t>
        </is>
      </c>
      <c r="DY2" t="inlineStr">
        <is>
          <t>410</t>
        </is>
      </c>
      <c r="DZ2" t="inlineStr">
        <is>
          <t>450</t>
        </is>
      </c>
      <c r="EA2" t="inlineStr">
        <is>
          <t>451</t>
        </is>
      </c>
      <c r="EB2" t="inlineStr">
        <is>
          <t>452</t>
        </is>
      </c>
      <c r="EC2" t="inlineStr">
        <is>
          <t>453</t>
        </is>
      </c>
      <c r="ED2" t="inlineStr">
        <is>
          <t>454</t>
        </is>
      </c>
      <c r="EE2" t="inlineStr">
        <is>
          <t>455</t>
        </is>
      </c>
      <c r="EF2" t="inlineStr">
        <is>
          <t>456</t>
        </is>
      </c>
      <c r="EG2" t="inlineStr">
        <is>
          <t>457</t>
        </is>
      </c>
      <c r="EH2" t="inlineStr">
        <is>
          <t>458</t>
        </is>
      </c>
      <c r="EI2" t="inlineStr">
        <is>
          <t>458-01</t>
        </is>
      </c>
      <c r="EJ2" t="inlineStr">
        <is>
          <t>459</t>
        </is>
      </c>
      <c r="EK2" t="inlineStr">
        <is>
          <t>460</t>
        </is>
      </c>
      <c r="EL2" t="inlineStr">
        <is>
          <t>461</t>
        </is>
      </c>
      <c r="EM2" t="inlineStr">
        <is>
          <t>500</t>
        </is>
      </c>
      <c r="EN2" t="inlineStr">
        <is>
          <t>501</t>
        </is>
      </c>
      <c r="EO2" t="inlineStr">
        <is>
          <t>502</t>
        </is>
      </c>
      <c r="EP2" t="inlineStr">
        <is>
          <t>Phep_</t>
        </is>
      </c>
    </row>
    <row r="3">
      <c r="A3" t="n">
        <v>1</v>
      </c>
      <c r="B3" t="inlineStr">
        <is>
          <t>Đoàn Đức Anh</t>
        </is>
      </c>
      <c r="D3" t="inlineStr">
        <is>
          <t>162838-02</t>
        </is>
      </c>
      <c r="S3" s="12">
        <f>IFERROR(INDEX(PIS!$A$1:$BZ$1000,MATCH($D3,PIS!C$1:C$500,0),MATCH("Lương CB tháng trước",PIS!$1:$1,0)),0)</f>
        <v/>
      </c>
      <c r="T3" s="12">
        <f>IFERROR(INDEX(PIS!$A$1:$BZ$1000,MATCH($D3,PIS!C$1:C$500,0),MATCH("Lương CB hiện tại",PIS!$1:$1,0)),0)</f>
        <v/>
      </c>
      <c r="U3" s="12">
        <f>IFERROR(INDEX(PIS!$A$1:$BZ$1000,MATCH($D3,PIS!C$1:C$500,0),MATCH("Lương đóng BHBB",PIS!$1:$1,0)),0)</f>
        <v/>
      </c>
      <c r="V3" s="12">
        <f>IFERROR(INDEX(PIS!$A$1:$BZ$1000,MATCH($D3,PIS!C$1:C$500,0),MATCH(V$2,PIS!$2:$2,0)),0)</f>
        <v/>
      </c>
      <c r="W3" s="12">
        <f>IFERROR(INDEX(PIS!$A$1:$BZ$1000,MATCH($D3,PIS!C$1:C$500,0),MATCH(W$2,PIS!$2:$2,0)),0)</f>
        <v/>
      </c>
      <c r="X3" s="12">
        <f>IFERROR(INDEX(PIS!$A$1:$BZ$1000,MATCH($D3,PIS!C$1:C$500,0),MATCH(X$2,PIS!$2:$2,0)),0)</f>
        <v/>
      </c>
      <c r="Y3" s="12">
        <f>IFERROR(INDEX(PIS!$A$1:$BZ$1000,MATCH($D3,PIS!C$1:C$500,0),MATCH(Y$2,PIS!$2:$2,0)),0)</f>
        <v/>
      </c>
      <c r="Z3" s="12">
        <f>IFERROR(INDEX(PIS!$A$1:$BZ$1000,MATCH($D3,PIS!C$1:C$500,0),MATCH(Z$2,PIS!$2:$2,0)),0)</f>
        <v/>
      </c>
      <c r="AA3" s="12">
        <f>IFERROR(INDEX(PIS!$A$1:$BZ$1000,MATCH($D3,PIS!C$1:C$500,0),MATCH(AA$2,PIS!$2:$2,0)),0)</f>
        <v/>
      </c>
      <c r="AB3" s="12">
        <f>IFERROR(INDEX(PIS!$A$1:$BZ$1000,MATCH($D3,PIS!C$1:C$500,0),MATCH(AB$2,PIS!$2:$2,0)),0)</f>
        <v/>
      </c>
      <c r="AC3" s="13">
        <f>SUM(V3:AB3)</f>
        <v/>
      </c>
      <c r="AD3" s="12">
        <f>IFERROR(INDEX(TIMESHEET!$A$1:$AI$5000,MATCH($D3,TIMESHEET!A$1:A$500,0),MATCH("T100",TIMESHEET!$2:$2,0)),0)</f>
        <v/>
      </c>
      <c r="AE3" s="12">
        <f>IFERROR(INDEX(TIMESHEET!$A$1:$AI$5000,MATCH($D3,TIMESHEET!A$1:A$500,0),MATCH("T202",TIMESHEET!$2:$2,0)),0)</f>
        <v/>
      </c>
      <c r="AF3" s="12">
        <f>IFERROR(INDEX(TIMESHEET!$A$1:$AI$5000,MATCH($D3,TIMESHEET!A$1:A$500,0),MATCH("T302",TIMESHEET!$2:$2,0)),0)</f>
        <v/>
      </c>
      <c r="AG3" s="12">
        <f>IFERROR(INDEX(TIMESHEET!$A$1:$AI$5000,MATCH($D3,TIMESHEET!A$1:A$500,0),MATCH("T406",TIMESHEET!$2:$2,0)),0)</f>
        <v/>
      </c>
      <c r="AH3" s="12">
        <f>IF(SUM(AE3:AG3)&gt;=26,26,SUM(AE3:AG3))</f>
        <v/>
      </c>
      <c r="AI3" s="12">
        <f>IFERROR(INDEX(TIMESHEET!$A$1:$AI$5000,MATCH($D3,TIMESHEET!A$1:A$500,0),MATCH("T701",TIMESHEET!$2:$2,0)),0)</f>
        <v/>
      </c>
      <c r="AJ3" s="12">
        <f>IFERROR(IF(INDEX(PIS!N$1:N$500,MATCH(D3,PIS!C$1:C$500,0))="LC4",(T3*0.85)/AD3*AH3,ROUND(T3/AD3*AH3,0)),0)</f>
        <v/>
      </c>
      <c r="AK3" s="13">
        <f>IFERROR(INDEX(ADJ!$A$1:$BZ$1000,MATCH(PAYROLL!D3,ADJ!A$1:A$500,0),MATCH(PAYROLL!AK$2,ADJ!$2:$2,0)),0)</f>
        <v/>
      </c>
      <c r="AL3" s="12">
        <f>SUM(AJ3:AK3)</f>
        <v/>
      </c>
      <c r="AM3" s="13">
        <f>IF(AH3&gt;13,V3,ROUND(V3/AD3*AH3,0))</f>
        <v/>
      </c>
      <c r="AN3" s="13">
        <f>IF(AD3=0,0,ROUND(W3/AD3*AI3,0))</f>
        <v/>
      </c>
      <c r="AO3" s="13">
        <f>ROUND(X3*AH3,0)</f>
        <v/>
      </c>
      <c r="AP3" s="12">
        <f>IF(AD3=0,0,ROUND(Y3/AD3*AH3,0))</f>
        <v/>
      </c>
      <c r="AQ3" s="12">
        <f>IFERROR(IF((AE3+AF3+AG3)&gt;13,Z3,ROUND(Z3/AD3*AH3,0)),0)</f>
        <v/>
      </c>
      <c r="AR3" s="12">
        <f>IF(AD3=0,0,ROUND(AA32/AD3*AH3,0))</f>
        <v/>
      </c>
      <c r="AS3" s="12">
        <f>IFERROR(IF((AE3+AF3+AG3)&gt;13,AB3,ROUND(AB3/AD3*AH3,0)),0)</f>
        <v/>
      </c>
      <c r="AT3" s="12">
        <f>IFERROR(INDEX(ADJ!$A$1:$BZ$1000,MATCH(PAYROLL!D3,ADJ!A$1:A$500,0),MATCH(PAYROLL!AT$2,ADJ!$2:$2,0)),0)</f>
        <v/>
      </c>
      <c r="AU3" s="12">
        <f>ROUND(SUM(AM3:AT3),0)</f>
        <v/>
      </c>
      <c r="AV3" s="13">
        <f>IFERROR(INDEX(TIMESHEET!$A$1:$AI$5000,MATCH(PAYROLL!D3,TIMESHEET!A$1:A$500,0),MATCH("T620",TIMESHEET!$2:$2,0)),0)</f>
        <v/>
      </c>
      <c r="AW3" s="12">
        <f>IFERROR(INDEX(TIMESHEET!$A$1:$AI$5000,MATCH(PAYROLL!D3,TIMESHEET!A$1:A$500,0),MATCH("T601",TIMESHEET!$2:$2,0)),0)</f>
        <v/>
      </c>
      <c r="AX3" s="12">
        <f>IFERROR(INDEX(TIMESHEET!$A$1:$AI$5000,MATCH(PAYROLL!D3,TIMESHEET!A$1:A$500,0),MATCH("T602",TIMESHEET!$2:$2,0)),0)</f>
        <v/>
      </c>
      <c r="AY3" s="12">
        <f>IFERROR(INDEX(TIMESHEET!$A$1:$AI$5000,MATCH(PAYROLL!D3,TIMESHEET!A$1:A$500,0),MATCH("T603",TIMESHEET!$2:$2,0)),0)</f>
        <v/>
      </c>
      <c r="AZ3" s="12">
        <f>IFERROR(INDEX(TIMESHEET!$A$1:$AI$5000,MATCH(PAYROLL!D3,TIMESHEET!A$1:A$500,0),MATCH("T611",TIMESHEET!$2:$2,0)),0)</f>
        <v/>
      </c>
      <c r="BA3" s="12">
        <f>IFERROR(INDEX(TIMESHEET!$A$1:$AI$5000,MATCH(PAYROLL!D3,TIMESHEET!A$1:A$500,0),MATCH("T612",TIMESHEET!$2:$2,0)),0)</f>
        <v/>
      </c>
      <c r="BB3" s="12">
        <f>IFERROR(INDEX(TIMESHEET!$A$1:$AI$5000,MATCH(PAYROLL!D3,TIMESHEET!A$1:A$500,0),MATCH("T613",TIMESHEET!$2:$2,0)),0)</f>
        <v/>
      </c>
      <c r="BC3" s="12">
        <f>IFERROR(INDEX(TIMESHEET!$A$1:$AI$5000,MATCH(PAYROLL!D3,TIMESHEET!A$1:A$500,0),MATCH("T500",TIMESHEET!$2:$2,0)),0)</f>
        <v/>
      </c>
      <c r="BD3" s="12">
        <f>IFERROR((T3+V3)/AD3/8*(AV3+AW3*1.5+AX3*2+AY3*3+AZ3*2.1+BA3*2.7+BB3*3.9+BC3*0.3),0)</f>
        <v/>
      </c>
      <c r="BE3" s="13">
        <f>IFERROR(INDEX(ADJ!$A$1:$BZ$1000,MATCH(PAYROLL!$D3,ADJ!A$1:A$500,0),MATCH(PAYROLL!BE$2,ADJ!$2:$2,0)),0)</f>
        <v/>
      </c>
      <c r="BF3" s="13">
        <f>IFERROR(INDEX(ADJ!$A$1:$BZ$1000,MATCH(PAYROLL!D3,ADJ!A$1:A$500,0),MATCH(PAYROLL!BF$2,ADJ!$2:$2,0)),0)</f>
        <v/>
      </c>
      <c r="BG3" s="13">
        <f>IFERROR(INDEX(ADJ!$A$1:$BZ$1000,MATCH(PAYROLL!D3,ADJ!A$1:A$500,0),MATCH(PAYROLL!BG$2,ADJ!$2:$2,0)),0)</f>
        <v/>
      </c>
      <c r="BH3" s="13">
        <f>IFERROR(INDEX(ADJ!$A$1:$BZ$1000,MATCH(PAYROLL!D3,ADJ!A$1:A$500,0),MATCH(PAYROLL!BH$2,ADJ!$2:$2,0)),0)</f>
        <v/>
      </c>
      <c r="BI3" s="13">
        <f>IFERROR(INDEX(ADJ!$A$1:$BZ$1000,MATCH(PAYROLL!D3,ADJ!A$1:A$500,0),MATCH(PAYROLL!BI$2,ADJ!$2:$2,0)),0)</f>
        <v/>
      </c>
      <c r="BJ3" s="12">
        <f>SUM(BE3:BI3)</f>
        <v/>
      </c>
      <c r="BK3" s="13">
        <f>IFERROR(IF(INDEX(PIS!N$1:N$500,MATCH(D3,PIS!C$1:C$500))="LC12",(T3*21.5%)/AD3*AH3,0),0)</f>
        <v/>
      </c>
      <c r="BL3" s="13">
        <f>IFERROR(INDEX(ADJ!$A$1:$BZ$1000,MATCH(PAYROLL!D3,ADJ!A$1:A$500,0),MATCH(PAYROLL!BL$2,ADJ!$2:$2,0)),0)</f>
        <v/>
      </c>
      <c r="BM3" s="13">
        <f>IFERROR(INDEX(ADJ!$A$1:$BZ$1000,MATCH(PAYROLL!D3,ADJ!A$1:A$500,0),MATCH(PAYROLL!BM$2,ADJ!$2:$2,0)),0)</f>
        <v/>
      </c>
      <c r="BN3" s="13">
        <f>IFERROR(INDEX(ADJ!$A$1:$BZ$1000,MATCH(PAYROLL!D3,ADJ!A$1:A$500,0),MATCH(PAYROLL!BN$2,ADJ!$2:$2,0)),0)</f>
        <v/>
      </c>
      <c r="BO3" s="12">
        <f>SUM(AL3,AU3,BD3,BJ3,BK3:BN3)</f>
        <v/>
      </c>
      <c r="BP3" s="13">
        <f>BN3+AP3</f>
        <v/>
      </c>
      <c r="BQ3" s="13">
        <f>IFERROR(ROUND(IF(LEFT(INDEX(PIS!O$1:O$500,MATCH(D3,PIS!C$1:C$500)),1)="D",T3/8*(BC3*0.3),IF(LEFT(INDEX(PIS!O$1:O$500,MATCH(D3,PIS!C$1:C$500)),1)="H",T3*($BC3*0.3),T3/$AD3/8*($BC3*0.3))),0),0)</f>
        <v/>
      </c>
      <c r="BR3" s="13">
        <f>IF(AO3&lt;1,0,MIN(AO3,730000))</f>
        <v/>
      </c>
      <c r="BS3" s="14">
        <f>IFERROR(ROUND((BD3-SUM(AV3:BB3)*T3/AD3/8),0)-BQ3,0)</f>
        <v/>
      </c>
      <c r="BT3" s="14">
        <f>AN3</f>
        <v/>
      </c>
      <c r="BU3" s="13">
        <f>SUM(BP3:BT3)</f>
        <v/>
      </c>
      <c r="BV3" s="13">
        <f>BO3-BU3</f>
        <v/>
      </c>
      <c r="BW3" s="13">
        <f>IFERROR(IF(RIGHT(INDEX(PIS!O$1:O$500,MATCH(D3,PIS!C$1:C$500)),5)="Gross",MIN(U3+V3,VLOOKUP("R700",TSC!B:C,2,0)*VLOOKUP("R101",TSC!B:C,2,0))*VLOOKUP("R701",TSC!B:C,2,0)%,0),0)</f>
        <v/>
      </c>
      <c r="BX3" s="13">
        <f>IFERROR(IF(RIGHT(INDEX(PIS!O$1:O$500,MATCH(D3,PIS!C$1:C$500)),5)="Gross",MIN(U3+V3,VLOOKUP("R700",TSC!B:C,2,0)*VLOOKUP("R101",TSC!B:C,2,0))*VLOOKUP("T704",TSC!B:C,2,0)%,0),0)</f>
        <v/>
      </c>
      <c r="BY3" s="13">
        <f>IFERROR(IF(RIGHT(INDEX(PIS!O$1:O$500,MATCH(D3,PIS!C$1:C$500)),5)="Gross",MIN(U3+V3,VLOOKUP("R700",TSC!B:C,2,0)*VLOOKUP("1",TSC!F:G,2,0))*VLOOKUP("T705",TSC!B:C,2,0)%,0),0)</f>
        <v/>
      </c>
      <c r="BZ3" s="13">
        <f>IFERROR(INDEX(ADJ!$A$1:$BZ$1000,MATCH(PAYROLL!D3,ADJ!A$1:A$500,0),MATCH(PAYROLL!BZ$2,ADJ!$2:$2,0)),0)</f>
        <v/>
      </c>
      <c r="CA3" s="13">
        <f>IFERROR(INDEX(ADJ!$A$1:$BZ$1000,MATCH(PAYROLL!D3,ADJ!A$1:A$500,0),MATCH(PAYROLL!CA$2,ADJ!$2:$2,0)),0)</f>
        <v/>
      </c>
      <c r="CB3" s="12">
        <f>SUM(BW3:CA3)</f>
        <v/>
      </c>
      <c r="CC3" s="13">
        <f>IFERROR(INDEX(PIS!$A$1:$BZ$1000,MATCH(PAYROLL!D3,PIS!C$1:C$500,0),MATCH(PAYROLL!CC$1,PIS!$1:$1,0)),0)</f>
        <v/>
      </c>
      <c r="CD3" s="12">
        <f>IFERROR(IF(OR(INDEX(PIS!P$1:P$500,MATCH(D3,PIS!C$1:C$500,0))="LT2",INDEX(PIS!P$1:P$500,MATCH(D3,PIS!C$1:C$500,0))="P10"),0,SUM(CB3,CC3*VLOOKUP("R601",TSC!B:C,2,0),VLOOKUP("R602",TSC!B:C,2,0))),0)</f>
        <v/>
      </c>
      <c r="CE3" s="13">
        <f>MAX(BV3-CD3,0)</f>
        <v/>
      </c>
      <c r="CF3" s="13">
        <f>IFERROR(IF(OR(RIGHT(INDEX(PIS!P$1:P$500,MATCH(D3,PIS!C$1:C$500)),5)="P10",RIGHT(INDEX(PIS!P$1:P$500,MATCH(D3,PIS!C$1:C$500)),5)="CK"),0,IF(CE3&lt;=5000000,CE3*5%,IF(CE3&lt;=10000000,CE3*10%-250000,IF(CE3&lt;=18000000,CE3*15%-750000,IF(CE3&lt;=32000000,CE3*20%-1650000,IF(CE3&lt;=52000000,CE3*25%-3250000,IF(CE3&lt;=80000000,BG3*30%-5850000,CE3*35%-9850000))))))),0)</f>
        <v/>
      </c>
      <c r="CG3" s="13">
        <f>IFERROR(IF(OR(INDEX(PIS!P$1:P$500,MATCH(D3,PIS!C$1:C$500))="LT",INDEX(PIS!P$1:P$500,MATCH(D3,PIS!C$1:C$500))="CK"),0,IF(CE3&lt;2000000,0,CE3*10%)),0)</f>
        <v/>
      </c>
      <c r="CH3" s="13">
        <f>IFERROR(INDEX(ADJ!$A$1:$BZ$1000,MATCH(PAYROLL!D3,ADJ!A$1:A$500,0),MATCH(PAYROLL!CH$2,ADJ!$2:$2,0)),0)</f>
        <v/>
      </c>
      <c r="CI3" s="13">
        <f>IFERROR(INDEX(ADJ!$A$1:$BZ$1000,MATCH(PAYROLL!D3,ADJ!A$1:A$500,0),MATCH(PAYROLL!CI$2,ADJ!$2:$2,0)),0)</f>
        <v/>
      </c>
      <c r="CJ3" s="13">
        <f>IFERROR(INDEX(ADJ!$A$1:$BZ$1000,MATCH(PAYROLL!D3,ADJ!A$1:A$500,0),MATCH(PAYROLL!CJ$2,ADJ!$2:$2,0)),0)</f>
        <v/>
      </c>
      <c r="CK3" s="12">
        <f>SUM(CF3:CJ3)</f>
        <v/>
      </c>
      <c r="CL3" s="13">
        <f>ROUND(SUM(CG3:CJ3),0)</f>
        <v/>
      </c>
      <c r="CM3" s="12">
        <f>IFERROR(INDEX(CSDA!D$1:D$500,MATCH($CM$2,CSDA!C$1:C$500,0))*INDEX(PIS!V$1:V$500,MATCH(D3,PIS!C$1:C$500))+INDEX(ADJ!$A$1:$BZ$1000,MATCH(PAYROLL!D3,ADJ!A$1:A$500,0),MATCH(PAYROLL!CM$2,ADJ!$2:$2,0)),0)</f>
        <v/>
      </c>
      <c r="CN3" s="12">
        <f>IFERROR(INDEX(ADJ!$A$1:$BZ$1000,MATCH(PAYROLL!D3,ADJ!A$1:A$500,0),MATCH(PAYROLL!CN$2,ADJ!$2:$2,0)),0)</f>
        <v/>
      </c>
      <c r="CO3" s="12">
        <f>IFERROR(INDEX(ADJ!$A$1:$BZ$1000,MATCH(PAYROLL!D3,ADJ!A$1:A$500,0),MATCH(PAYROLL!CO$2,ADJ!$2:$2,0)),0)</f>
        <v/>
      </c>
      <c r="CP3" s="12">
        <f>BO3-CK3-CH3-CL3-CM3-CN3-CO3-CB3</f>
        <v/>
      </c>
      <c r="CQ3" s="13">
        <f>IFERROR(IF(RIGHT(INDEX(PIS!O$1:O$500,MATCH(D3,PIS!C$1:C$500,0)),5)="Gross",MIN(U3+V3,VLOOKUP("R700",TSC!B:C,2,0)*VLOOKUP("R101",TSC!B:C,2,0))*(VLOOKUP("T711",TSC!B:C,2,0)+VLOOKUP("T712",TSC!B:C,2,0))%,MIN(T3+V3,VLOOKUP("R700",TSC!B:C,2,0)*VLOOKUP("R101",TSC!B:C,2,0))*(VLOOKUP("T711",TSC!B:C,2,0)+VLOOKUP("T712",TSC!B:C,2,0)+VLOOKUP("R701",TSC!B:C,2,0))%),0)</f>
        <v/>
      </c>
      <c r="CR3" s="13">
        <f>IFERROR(IF(RIGHT(INDEX(PIS!O$1:O$500,MATCH(D3,PIS!C$1:C$500,0)),5)="Gross",MIN(U3+V3,VLOOKUP("R700",TSC!B:C,2,0)*VLOOKUP("R101",TSC!B:C,2,0))*(VLOOKUP("T714",TSC!B:C,2,0))%,MIN(T3+V3,VLOOKUP("R700",TSC!B:C,2,0)*VLOOKUP("R101",TSC!B:C,2,0))*(VLOOKUP("T704",TSC!B:C,2,0)+VLOOKUP("T714",TSC!B:C,2,0))%),0)</f>
        <v/>
      </c>
      <c r="CS3" s="13">
        <f>IFERROR(IF(RIGHT(INDEX(PIS!O$1:O$500,MATCH(D3,PIS!C$1:C$500,0)),5)="Gross",MIN(U3+V3,VLOOKUP("R700",TSC!B:C,2,0)*VLOOKUP("R101",TSC!B:C,2,0))*VLOOKUP("T705",TSC!B:C,2,0)%,MIN(T3+V3,VLOOKUP("R700",TSC!B:C,2,0)*VLOOKUP("R101",TSC!B:C,2,0))*VLOOKUP("T705",TSC!B:C,2,0)%),0)</f>
        <v/>
      </c>
      <c r="CT3" s="13">
        <f>IFERROR(IF(RIGHT(INDEX(PIS!O$1:O$500,MATCH(D3,PIS!C$1:C$500,0)),5)="Gross",MIN(U3+V3,VLOOKUP("R700",TSC!B:C,2,0)*VLOOKUP("R101",TSC!B:C,2,0))*(VLOOKUP("T713",TSC!B:C,2,0))%,MIN(T3+V3,VLOOKUP("R700",TSC!B:C,2,0)*VLOOKUP("R101",TSC!B:C,2,0))*(VLOOKUP("T713",TSC!B:C,2,0))%),0)</f>
        <v/>
      </c>
      <c r="CU3" s="12">
        <f>IFERROR(INDEX(ADJ!$A$1:$BZ$1000,MATCH(PAYROLL!D3,ADJ!A$1:A$500,0),MATCH(PAYROLL!CU$2,ADJ!$2:$2,0)),0)</f>
        <v/>
      </c>
      <c r="CV3" s="12">
        <f>IFERROR(INDEX(ADJ!$A$1:$BZ$1000,MATCH(PAYROLL!D3,ADJ!A$1:A$500,0),MATCH(PAYROLL!CV$2,ADJ!$2:$2,0)),0)</f>
        <v/>
      </c>
      <c r="CW3" s="12">
        <f>SUM(CQ3:CV3)</f>
        <v/>
      </c>
      <c r="CX3" s="13">
        <f>ROUND(IF(CQ3&gt;0,T3+V3*VLOOKUP("R202",TSC!$B$1:$C$500,2,0),0),0)</f>
        <v/>
      </c>
      <c r="CY3" s="13">
        <f>IFERROR(INDEX(CSDA!D$1:D$500,MATCH($CY$2,CSDA!C$1:C$500,0)),0)</f>
        <v/>
      </c>
      <c r="CZ3" s="12">
        <f>ROUND(T3*0.7%,0)</f>
        <v/>
      </c>
      <c r="DA3" s="12">
        <f>ROUND(T3/12,0)</f>
        <v/>
      </c>
      <c r="DB3" s="12">
        <f ref="DB3" t="array">IFERROR(INDEX(CSDA!D$1:D$500,MATCH("Trích giữ"&amp;PAYROLL!DB$2,CSDA!A$1:A$500&amp;CSDA!C$1:C$500,0)),0)</f>
        <v/>
      </c>
      <c r="DC3" s="12">
        <f ref="DC3" t="array">IFERROR(INDEX(CSDA!D$1:D$500,MATCH("Trích giữ"&amp;PAYROLL!DC$2,CSDA!A$1:A$500&amp;CSDA!C$1:C$500,0)),0)</f>
        <v/>
      </c>
      <c r="DD3" s="12">
        <f ref="DD3" t="array">IFERROR(INDEX(CSDA!D$1:D$500,MATCH("Trích giữ"&amp;PAYROLL!DD$2,CSDA!A$1:A$500&amp;CSDA!C$1:C$500,0)),0)</f>
        <v/>
      </c>
      <c r="DE3" s="12">
        <f>IFERROR(INDEX(CSDA!D$1:D$500,MATCH(PAYROLL!DE$2,CSDA!C$1:C$500,0)),0)</f>
        <v/>
      </c>
      <c r="DF3" s="12">
        <f ref="DF3" t="array">IFERROR(INDEX(CSDA!D$1:D$500,MATCH("Trích giữ"&amp;PAYROLL!DF$2,CSDA!A$1:A$500&amp;CSDA!C$1:C$500,0)),0)</f>
        <v/>
      </c>
      <c r="DG3" s="12">
        <f>ROUND(T3/26,0)</f>
        <v/>
      </c>
      <c r="DH3" s="12">
        <f ref="DH3" t="array">IFERROR(INDEX(CSDA!D$1:D$500,MATCH("Trích giữ"&amp;PAYROLL!DH$2,CSDA!A$1:A$500&amp;CSDA!C$1:C$500,0)),0)</f>
        <v/>
      </c>
      <c r="DI3" s="12">
        <f>IF(U3=0,T3*21.5%-BK3,0)</f>
        <v/>
      </c>
      <c r="DK3" s="12">
        <f ref="DK3" t="array">IFERROR(INDEX(CSDA!D$1:D$500,MATCH("Trích giữ"&amp;PAYROLL!DK$2,CSDA!A$1:A$500&amp;CSDA!C$1:C$500,0)),0)</f>
        <v/>
      </c>
      <c r="DL3" s="12">
        <f>IFERROR(INDEX(CSDA!D$1:D$500,MATCH(PAYROLL!DL$2,CSDA!C$1:C$500,0))/12,0)</f>
        <v/>
      </c>
      <c r="DM3" s="12">
        <f>SUM(DA3:DL3)</f>
        <v/>
      </c>
      <c r="DN3" s="13">
        <f>IFERROR(INDEX(ADJ!$A$1:$BZ$1000,MATCH(PAYROLL!D3,ADJ!A$1:A$500,0),MATCH(PAYROLL!DN$2,ADJ!$2:$2,0)),0)</f>
        <v/>
      </c>
      <c r="DO3" s="12">
        <f>IFERROR(SUM(BO3,DM3:DN3,CW3:CZ3)-DT3,0)</f>
        <v/>
      </c>
      <c r="DP3" s="13">
        <f ref="DP3" t="array">SUM(BV3*IFERROR(INDEX(CSDA!D$1:D$500,MATCH(BV$2,CSDA!C$1:C$500,0)),0)%,CW3*IFERROR(INDEX(CSDA!D$1:D$500,MATCH(CW$2,CSDA!C$1:C$500,0)),0)%,CZ3*IFERROR(INDEX(CSDA!D$1:D$500,MATCH(CZ$2,CSDA!C$1:C$500,0)),0)%,DA3*IFERROR(INDEX(CSDA!D$1:D$500,MATCH(DA$2,CSDA!C$1:C$500,0)),0)%,DE3*IFERROR(INDEX(CSDA!D$1:D$500,MATCH("Phí dịch vụ"&amp;PAYROLL!DE$2,CSDA!A$1:A$500&amp;CSDA!C$1:C$500,0)),0)%,DB3*IFERROR(INDEX(CSDA!D$1:D$500,MATCH("Phí dịch vụ"&amp;PAYROLL!DB$2,CSDA!A$1:A$500&amp;CSDA!C$1:C$500,0)),0)%,DG3*IFERROR(INDEX(CSDA!D$1:D$500,MATCH("Phí dịch vụ"&amp;PAYROLL!DG$2,CSDA!A$1:A$500&amp;CSDA!C$1:C$500,0)),0)%,DI3*IFERROR(INDEX(CSDA!D$1:D$500,MATCH("Phí dịch vụ"&amp;PAYROLL!DI$2,CSDA!A$1:A$500&amp;CSDA!C$1:C$500,0)),0)%,BM3*IFERROR(INDEX(CSDA!D$1:D$500,MATCH(BM$2,CSDA!C$1:C$500,0)),0)%)-BM3*7%</f>
        <v/>
      </c>
      <c r="DQ3" s="13">
        <f>IFERROR(INDEX(ADJ!$A$1:$BZ$1000,MATCH(PAYROLL!D3,ADJ!A$1:A$500,0),MATCH(PAYROLL!DQ$2,ADJ!$2:$2,0)),0)</f>
        <v/>
      </c>
      <c r="DR3" s="12">
        <f>IFERROR(INDEX(ADJ!$A$1:$BZ$1000,MATCH(PAYROLL!D3,ADJ!A$1:A$500,0),MATCH(PAYROLL!DR$2,ADJ!$2:$2,0)),0)</f>
        <v/>
      </c>
      <c r="DS3" s="12">
        <f>SUM(DP3:DR3)</f>
        <v/>
      </c>
      <c r="DT3" s="13">
        <f>EK3</f>
        <v/>
      </c>
      <c r="DU3" s="12">
        <f>SUM(DO3:DR3)</f>
        <v/>
      </c>
      <c r="DV3" s="13">
        <f>ROUND(DU3*0.1,0)</f>
        <v/>
      </c>
      <c r="DW3" s="13">
        <f>DU3+DV3</f>
        <v/>
      </c>
      <c r="DX3" s="13" t="n"/>
      <c r="DZ3" s="12">
        <f>IFERROR(INDEX(ADJ!$A$1:$BZ$1000,MATCH(PAYROLL!$D3,ADJ!A$1:A$500,0),MATCH(PAYROLL!DZ$2,ADJ!$2:$2,0)),0)</f>
        <v/>
      </c>
      <c r="EA3" s="12">
        <f>IFERROR(INDEX(ADJ!$A$1:$BZ$1000,MATCH(PAYROLL!$D3,ADJ!A$1:A$500,0),MATCH(PAYROLL!EA$2,ADJ!$2:$2,0)),0)</f>
        <v/>
      </c>
      <c r="EB3" s="12">
        <f>IFERROR(INDEX(ADJ!$A$1:$BZ$1000,MATCH(PAYROLL!$D3,ADJ!A$1:A$500,0),MATCH(PAYROLL!EB$2,ADJ!$2:$2,0)),0)</f>
        <v/>
      </c>
      <c r="EC3" s="12">
        <f>IFERROR(INDEX(ADJ!$A$1:$BZ$1000,MATCH(PAYROLL!$D3,ADJ!A$1:A$500,0),MATCH(PAYROLL!EC$2,ADJ!$2:$2,0)),0)</f>
        <v/>
      </c>
      <c r="ED3" s="12">
        <f>IFERROR(INDEX(ADJ!$A$1:$BZ$1000,MATCH(PAYROLL!$D3,ADJ!A$1:A$500,0),MATCH(PAYROLL!ED$2,ADJ!$2:$2,0)),0)</f>
        <v/>
      </c>
      <c r="EE3" s="12">
        <f>IFERROR(INDEX(ADJ!$A$1:$BZ$1000,MATCH(PAYROLL!$D3,ADJ!A$1:A$500,0),MATCH(PAYROLL!EE$2,ADJ!$2:$2,0)),0)</f>
        <v/>
      </c>
      <c r="EF3" s="12">
        <f>IFERROR(INDEX(ADJ!$A$1:$BZ$1000,MATCH(PAYROLL!$D3,ADJ!A$1:A$500,0),MATCH(PAYROLL!EF$2,ADJ!$2:$2,0)),0)</f>
        <v/>
      </c>
      <c r="EG3" s="12">
        <f>IFERROR(INDEX(ADJ!$A$1:$BZ$1000,MATCH(PAYROLL!$D3,ADJ!A$1:A$500,0),MATCH(PAYROLL!EG$2,ADJ!$2:$2,0)),0)</f>
        <v/>
      </c>
      <c r="EH3" s="12">
        <f>IFERROR(INDEX(ADJ!$A$1:$BZ$1000,MATCH(PAYROLL!$D3,ADJ!A$1:A$500,0),MATCH(PAYROLL!EH$2,ADJ!$2:$2,0)),0)</f>
        <v/>
      </c>
      <c r="EI3" s="12">
        <f>IFERROR(INDEX(ADJ!$A$1:$BZ$1000,MATCH(PAYROLL!D3,ADJ!A$1:A$500,0),MATCH(PAYROLL!EI$2,ADJ!$2:$2,0)),0)</f>
        <v/>
      </c>
      <c r="EJ3" s="12">
        <f>IFERROR(INDEX(ADJ!$A$1:$BZ$1000,MATCH(PAYROLL!$D3,ADJ!A$1:A$500,0),MATCH(PAYROLL!EJ$2,ADJ!$2:$2,0)),0)</f>
        <v/>
      </c>
      <c r="EK3" s="12">
        <f>SUM(DZ3:EJ3)</f>
        <v/>
      </c>
    </row>
    <row r="4">
      <c r="A4" t="n">
        <v>2</v>
      </c>
      <c r="B4" t="inlineStr">
        <is>
          <t>Nguyễn Hải Long</t>
        </is>
      </c>
      <c r="D4" t="inlineStr">
        <is>
          <t>161881-01</t>
        </is>
      </c>
      <c r="S4">
        <f>IFERROR(INDEX(PIS!$A$1:$BZ$1000,MATCH($D4,PIS!C$1:C$500,0),MATCH("Lương CB tháng trước",PIS!$1:$1,0)),0)</f>
        <v/>
      </c>
      <c r="T4">
        <f>IFERROR(INDEX(PIS!$A$1:$BZ$1000,MATCH($D4,PIS!C$1:C$500,0),MATCH("Lương CB hiện tại",PIS!$1:$1,0)),0)</f>
        <v/>
      </c>
      <c r="U4">
        <f>IFERROR(INDEX(PIS!$A$1:$BZ$1000,MATCH($D4,PIS!C$1:C$500,0),MATCH("Lương đóng BHBB",PIS!$1:$1,0)),0)</f>
        <v/>
      </c>
      <c r="V4">
        <f>IFERROR(INDEX(PIS!$A$1:$BZ$1000,MATCH($D4,PIS!C$1:C$500,0),MATCH(V$2,PIS!$2:$2,0)),0)</f>
        <v/>
      </c>
      <c r="W4">
        <f>IFERROR(INDEX(PIS!$A$1:$BZ$1000,MATCH($D4,PIS!C$1:C$500,0),MATCH(W$2,PIS!$2:$2,0)),0)</f>
        <v/>
      </c>
      <c r="X4">
        <f>IFERROR(INDEX(PIS!$A$1:$BZ$1000,MATCH($D4,PIS!C$1:C$500,0),MATCH(X$2,PIS!$2:$2,0)),0)</f>
        <v/>
      </c>
      <c r="Y4">
        <f>IFERROR(INDEX(PIS!$A$1:$BZ$1000,MATCH($D4,PIS!C$1:C$500,0),MATCH(Y$2,PIS!$2:$2,0)),0)</f>
        <v/>
      </c>
      <c r="Z4">
        <f>IFERROR(INDEX(PIS!$A$1:$BZ$1000,MATCH($D4,PIS!C$1:C$500,0),MATCH(Z$2,PIS!$2:$2,0)),0)</f>
        <v/>
      </c>
      <c r="AA4">
        <f>IFERROR(INDEX(PIS!$A$1:$BZ$1000,MATCH($D4,PIS!C$1:C$500,0),MATCH(AA$2,PIS!$2:$2,0)),0)</f>
        <v/>
      </c>
      <c r="AB4">
        <f>IFERROR(INDEX(PIS!$A$1:$BZ$1000,MATCH($D4,PIS!C$1:C$500,0),MATCH(AB$2,PIS!$2:$2,0)),0)</f>
        <v/>
      </c>
      <c r="AC4">
        <f>SUM(V4:AB4)</f>
        <v/>
      </c>
      <c r="AD4">
        <f>IFERROR(INDEX(TIMESHEET!$A$1:$AI$5000,MATCH($D4,TIMESHEET!A$1:A$500,0),MATCH("T100",TIMESHEET!$2:$2,0)),0)</f>
        <v/>
      </c>
      <c r="AE4">
        <f>IFERROR(INDEX(TIMESHEET!$A$1:$AI$5000,MATCH($D4,TIMESHEET!A$1:A$500,0),MATCH("T202",TIMESHEET!$2:$2,0)),0)</f>
        <v/>
      </c>
      <c r="AF4">
        <f>IFERROR(INDEX(TIMESHEET!$A$1:$AI$5000,MATCH($D4,TIMESHEET!A$1:A$500,0),MATCH("T302",TIMESHEET!$2:$2,0)),0)</f>
        <v/>
      </c>
      <c r="AG4">
        <f>IFERROR(INDEX(TIMESHEET!$A$1:$AI$5000,MATCH($D4,TIMESHEET!A$1:A$500,0),MATCH("T406",TIMESHEET!$2:$2,0)),0)</f>
        <v/>
      </c>
      <c r="AH4">
        <f>IF(SUM(AE4:AG4)&gt;=26,26,SUM(AE4:AG4))</f>
        <v/>
      </c>
      <c r="AI4">
        <f>IFERROR(INDEX(TIMESHEET!$A$1:$AI$5000,MATCH($D4,TIMESHEET!A$1:A$500,0),MATCH("T701",TIMESHEET!$2:$2,0)),0)</f>
        <v/>
      </c>
      <c r="AJ4">
        <f>IFERROR(IF(INDEX(PIS!N$1:N$500,MATCH(D4,PIS!C$1:C$500,0))="LC4",(T4*0.85)/AD4*AH4,ROUND(T4/AD4*AH4,0)),0)</f>
        <v/>
      </c>
      <c r="AK4">
        <f>IFERROR(INDEX(ADJ!$A$1:$BZ$1000,MATCH(PAYROLL!D4,ADJ!A$1:A$500,0),MATCH(PAYROLL!AK$2,ADJ!$2:$2,0)),0)</f>
        <v/>
      </c>
      <c r="AL4">
        <f>SUM(AJ4:AK4)</f>
        <v/>
      </c>
      <c r="AM4">
        <f>IF(AH4&gt;13,V4,ROUND(V4/AD4*AH4,0))</f>
        <v/>
      </c>
      <c r="AN4">
        <f>IF(AD4=0,0,ROUND(W4/AD4*AI4,0))</f>
        <v/>
      </c>
      <c r="AO4">
        <f>ROUND(X4*AH4,0)</f>
        <v/>
      </c>
      <c r="AP4">
        <f>IF(AD4=0,0,ROUND(Y4/AD4*AH4,0))</f>
        <v/>
      </c>
      <c r="AQ4">
        <f>IFERROR(IF((AE4+AF4+AG4)&gt;13,Z4,ROUND(Z4/AD4*AH4,0)),0)</f>
        <v/>
      </c>
      <c r="AR4">
        <f>IF(AD4=0,0,ROUND(AA33/AD4*AH4,0))</f>
        <v/>
      </c>
      <c r="AS4">
        <f>IFERROR(IF((AE4+AF4+AG4)&gt;13,AB4,ROUND(AB4/AD4*AH4,0)),0)</f>
        <v/>
      </c>
      <c r="AT4">
        <f>IFERROR(INDEX(ADJ!$A$1:$BZ$1000,MATCH(PAYROLL!D4,ADJ!A$1:A$500,0),MATCH(PAYROLL!AT$2,ADJ!$2:$2,0)),0)</f>
        <v/>
      </c>
      <c r="AU4">
        <f>ROUND(SUM(AM4:AT4),0)</f>
        <v/>
      </c>
      <c r="AV4">
        <f>IFERROR(INDEX(TIMESHEET!$A$1:$AI$5000,MATCH(PAYROLL!D4,TIMESHEET!A$1:A$500,0),MATCH("T620",TIMESHEET!$2:$2,0)),0)</f>
        <v/>
      </c>
      <c r="AW4">
        <f>IFERROR(INDEX(TIMESHEET!$A$1:$AI$5000,MATCH(PAYROLL!D4,TIMESHEET!A$1:A$500,0),MATCH("T601",TIMESHEET!$2:$2,0)),0)</f>
        <v/>
      </c>
      <c r="AX4">
        <f>IFERROR(INDEX(TIMESHEET!$A$1:$AI$5000,MATCH(PAYROLL!D4,TIMESHEET!A$1:A$500,0),MATCH("T602",TIMESHEET!$2:$2,0)),0)</f>
        <v/>
      </c>
      <c r="AY4">
        <f>IFERROR(INDEX(TIMESHEET!$A$1:$AI$5000,MATCH(PAYROLL!D4,TIMESHEET!A$1:A$500,0),MATCH("T603",TIMESHEET!$2:$2,0)),0)</f>
        <v/>
      </c>
      <c r="AZ4">
        <f>IFERROR(INDEX(TIMESHEET!$A$1:$AI$5000,MATCH(PAYROLL!D4,TIMESHEET!A$1:A$500,0),MATCH("T611",TIMESHEET!$2:$2,0)),0)</f>
        <v/>
      </c>
      <c r="BA4">
        <f>IFERROR(INDEX(TIMESHEET!$A$1:$AI$5000,MATCH(PAYROLL!D4,TIMESHEET!A$1:A$500,0),MATCH("T612",TIMESHEET!$2:$2,0)),0)</f>
        <v/>
      </c>
      <c r="BB4">
        <f>IFERROR(INDEX(TIMESHEET!$A$1:$AI$5000,MATCH(PAYROLL!D4,TIMESHEET!A$1:A$500,0),MATCH("T613",TIMESHEET!$2:$2,0)),0)</f>
        <v/>
      </c>
      <c r="BC4">
        <f>IFERROR(INDEX(TIMESHEET!$A$1:$AI$5000,MATCH(PAYROLL!D4,TIMESHEET!A$1:A$500,0),MATCH("T500",TIMESHEET!$2:$2,0)),0)</f>
        <v/>
      </c>
      <c r="BD4">
        <f>IFERROR((T4+V4)/AD4/8*(AV4+AW4*1.5+AX4*2+AY4*3+AZ4*2.1+BA4*2.7+BB4*3.9+BC4*0.3),0)</f>
        <v/>
      </c>
      <c r="BE4">
        <f>IFERROR(INDEX(ADJ!$A$1:$BZ$1000,MATCH(PAYROLL!$D4,ADJ!A$1:A$500,0),MATCH(PAYROLL!BE$2,ADJ!$2:$2,0)),0)</f>
        <v/>
      </c>
      <c r="BF4">
        <f>IFERROR(INDEX(ADJ!$A$1:$BZ$1000,MATCH(PAYROLL!D4,ADJ!A$1:A$500,0),MATCH(PAYROLL!BF$2,ADJ!$2:$2,0)),0)</f>
        <v/>
      </c>
      <c r="BG4">
        <f>IFERROR(INDEX(ADJ!$A$1:$BZ$1000,MATCH(PAYROLL!D4,ADJ!A$1:A$500,0),MATCH(PAYROLL!BG$2,ADJ!$2:$2,0)),0)</f>
        <v/>
      </c>
      <c r="BH4">
        <f>IFERROR(INDEX(ADJ!$A$1:$BZ$1000,MATCH(PAYROLL!D4,ADJ!A$1:A$500,0),MATCH(PAYROLL!BH$2,ADJ!$2:$2,0)),0)</f>
        <v/>
      </c>
      <c r="BI4">
        <f>IFERROR(INDEX(ADJ!$A$1:$BZ$1000,MATCH(PAYROLL!D4,ADJ!A$1:A$500,0),MATCH(PAYROLL!BI$2,ADJ!$2:$2,0)),0)</f>
        <v/>
      </c>
      <c r="BJ4">
        <f>SUM(BE4:BI4)</f>
        <v/>
      </c>
      <c r="BK4">
        <f>IFERROR(IF(INDEX(PIS!N$1:N$500,MATCH(D4,PIS!C$1:C$500))="LC12",(T4*21.5%)/AD4*AH4,0),0)</f>
        <v/>
      </c>
      <c r="BL4">
        <f>IFERROR(INDEX(ADJ!$A$1:$BZ$1000,MATCH(PAYROLL!D4,ADJ!A$1:A$500,0),MATCH(PAYROLL!BL$2,ADJ!$2:$2,0)),0)</f>
        <v/>
      </c>
      <c r="BM4">
        <f>IFERROR(INDEX(ADJ!$A$1:$BZ$1000,MATCH(PAYROLL!D4,ADJ!A$1:A$500,0),MATCH(PAYROLL!BM$2,ADJ!$2:$2,0)),0)</f>
        <v/>
      </c>
      <c r="BN4">
        <f>IFERROR(INDEX(ADJ!$A$1:$BZ$1000,MATCH(PAYROLL!D4,ADJ!A$1:A$500,0),MATCH(PAYROLL!BN$2,ADJ!$2:$2,0)),0)</f>
        <v/>
      </c>
      <c r="BO4">
        <f>SUM(AL4,AU4,BD4,BJ4,BK4:BN4)</f>
        <v/>
      </c>
      <c r="BP4">
        <f>BN4+AP4</f>
        <v/>
      </c>
      <c r="BQ4">
        <f>IFERROR(ROUND(IF(LEFT(INDEX(PIS!O$1:O$500,MATCH(D4,PIS!C$1:C$500)),1)="D",T4/8*(BC4*0.3),IF(LEFT(INDEX(PIS!O$1:O$500,MATCH(D4,PIS!C$1:C$500)),1)="H",T4*($BC4*0.3),T4/$AD4/8*($BC4*0.3))),0),0)</f>
        <v/>
      </c>
      <c r="BR4">
        <f>IF(AO4&lt;1,0,MIN(AO4,730000))</f>
        <v/>
      </c>
      <c r="BS4">
        <f>IFERROR(ROUND((BD4-SUM(AV4:BB4)*T4/AD4/8),0)-BQ4,0)</f>
        <v/>
      </c>
      <c r="BT4">
        <f>AN4</f>
        <v/>
      </c>
      <c r="BU4">
        <f>SUM(BP4:BT4)</f>
        <v/>
      </c>
      <c r="BV4">
        <f>BO4-BU4</f>
        <v/>
      </c>
      <c r="BW4">
        <f>IFERROR(IF(RIGHT(INDEX(PIS!O$1:O$500,MATCH(D4,PIS!C$1:C$500)),5)="Gross",MIN(U4+V4,VLOOKUP("R700",TSC!B:C,2,0)*VLOOKUP("R101",TSC!B:C,2,0))*VLOOKUP("R701",TSC!B:C,2,0)%,0),0)</f>
        <v/>
      </c>
      <c r="BX4">
        <f>IFERROR(IF(RIGHT(INDEX(PIS!O$1:O$500,MATCH(D4,PIS!C$1:C$500)),5)="Gross",MIN(U4+V4,VLOOKUP("R700",TSC!B:C,2,0)*VLOOKUP("R101",TSC!B:C,2,0))*VLOOKUP("T704",TSC!B:C,2,0)%,0),0)</f>
        <v/>
      </c>
      <c r="BY4">
        <f>IFERROR(IF(RIGHT(INDEX(PIS!O$1:O$500,MATCH(D4,PIS!C$1:C$500)),5)="Gross",MIN(U4+V4,VLOOKUP("R700",TSC!B:C,2,0)*VLOOKUP("1",TSC!F:G,2,0))*VLOOKUP("T705",TSC!B:C,2,0)%,0),0)</f>
        <v/>
      </c>
      <c r="BZ4">
        <f>IFERROR(INDEX(ADJ!$A$1:$BZ$1000,MATCH(PAYROLL!D4,ADJ!A$1:A$500,0),MATCH(PAYROLL!BZ$2,ADJ!$2:$2,0)),0)</f>
        <v/>
      </c>
      <c r="CA4">
        <f>IFERROR(INDEX(ADJ!$A$1:$BZ$1000,MATCH(PAYROLL!D4,ADJ!A$1:A$500,0),MATCH(PAYROLL!CA$2,ADJ!$2:$2,0)),0)</f>
        <v/>
      </c>
      <c r="CB4">
        <f>SUM(BW4:CA4)</f>
        <v/>
      </c>
      <c r="CC4">
        <f>IFERROR(INDEX(PIS!$A$1:$BZ$1000,MATCH(PAYROLL!D4,PIS!C$1:C$500,0),MATCH(PAYROLL!CC$1,PIS!$1:$1,0)),0)</f>
        <v/>
      </c>
      <c r="CD4">
        <f>IFERROR(IF(OR(INDEX(PIS!P$1:P$500,MATCH(D4,PIS!C$1:C$500,0))="LT2",INDEX(PIS!P$1:P$500,MATCH(D4,PIS!C$1:C$500,0))="P10"),0,SUM(CB4,CC4*VLOOKUP("R601",TSC!B:C,2,0),VLOOKUP("R602",TSC!B:C,2,0))),0)</f>
        <v/>
      </c>
      <c r="CE4">
        <f>MAX(BV4-CD4,0)</f>
        <v/>
      </c>
      <c r="CF4">
        <f>IFERROR(IF(OR(RIGHT(INDEX(PIS!P$1:P$500,MATCH(D4,PIS!C$1:C$500)),5)="P10",RIGHT(INDEX(PIS!P$1:P$500,MATCH(D4,PIS!C$1:C$500)),5)="CK"),0,IF(CE4&lt;=5000000,CE4*5%,IF(CE4&lt;=10000000,CE4*10%-250000,IF(CE4&lt;=18000000,CE4*15%-750000,IF(CE4&lt;=32000000,CE4*20%-1650000,IF(CE4&lt;=52000000,CE4*25%-3250000,IF(CE4&lt;=80000000,BG4*30%-5850000,CE4*35%-9850000))))))),0)</f>
        <v/>
      </c>
      <c r="CG4">
        <f>IFERROR(IF(OR(INDEX(PIS!P$1:P$500,MATCH(D4,PIS!C$1:C$500))="LT",INDEX(PIS!P$1:P$500,MATCH(D4,PIS!C$1:C$500))="CK"),0,IF(CE4&lt;2000000,0,CE4*10%)),0)</f>
        <v/>
      </c>
      <c r="CH4">
        <f>IFERROR(INDEX(ADJ!$A$1:$BZ$1000,MATCH(PAYROLL!D4,ADJ!A$1:A$500,0),MATCH(PAYROLL!CH$2,ADJ!$2:$2,0)),0)</f>
        <v/>
      </c>
      <c r="CI4">
        <f>IFERROR(INDEX(ADJ!$A$1:$BZ$1000,MATCH(PAYROLL!D4,ADJ!A$1:A$500,0),MATCH(PAYROLL!CI$2,ADJ!$2:$2,0)),0)</f>
        <v/>
      </c>
      <c r="CJ4">
        <f>IFERROR(INDEX(ADJ!$A$1:$BZ$1000,MATCH(PAYROLL!D4,ADJ!A$1:A$500,0),MATCH(PAYROLL!CJ$2,ADJ!$2:$2,0)),0)</f>
        <v/>
      </c>
      <c r="CK4">
        <f>SUM(CF4:CJ4)</f>
        <v/>
      </c>
      <c r="CL4">
        <f>ROUND(SUM(CG4:CJ4),0)</f>
        <v/>
      </c>
      <c r="CM4">
        <f>IFERROR(INDEX(CSDA!D$1:D$500,MATCH($CM$2,CSDA!C$1:C$500,0))*INDEX(PIS!V$1:V$500,MATCH(D4,PIS!C$1:C$500))+INDEX(ADJ!$A$1:$BZ$1000,MATCH(PAYROLL!D4,ADJ!A$1:A$500,0),MATCH(PAYROLL!CM$2,ADJ!$2:$2,0)),0)</f>
        <v/>
      </c>
      <c r="CN4">
        <f>IFERROR(INDEX(ADJ!$A$1:$BZ$1000,MATCH(PAYROLL!D4,ADJ!A$1:A$500,0),MATCH(PAYROLL!CN$2,ADJ!$2:$2,0)),0)</f>
        <v/>
      </c>
      <c r="CO4">
        <f>IFERROR(INDEX(ADJ!$A$1:$BZ$1000,MATCH(PAYROLL!D4,ADJ!A$1:A$500,0),MATCH(PAYROLL!CO$2,ADJ!$2:$2,0)),0)</f>
        <v/>
      </c>
      <c r="CP4">
        <f>BO4-CK4-CH4-CL4-CM4-CN4-CO4-CB4</f>
        <v/>
      </c>
      <c r="CQ4">
        <f>IFERROR(IF(RIGHT(INDEX(PIS!O$1:O$500,MATCH(D4,PIS!C$1:C$500,0)),5)="Gross",MIN(U4+V4,VLOOKUP("R700",TSC!B:C,2,0)*VLOOKUP("R101",TSC!B:C,2,0))*(VLOOKUP("T711",TSC!B:C,2,0)+VLOOKUP("T712",TSC!B:C,2,0))%,MIN(T4+V4,VLOOKUP("R700",TSC!B:C,2,0)*VLOOKUP("R101",TSC!B:C,2,0))*(VLOOKUP("T711",TSC!B:C,2,0)+VLOOKUP("T712",TSC!B:C,2,0)+VLOOKUP("R701",TSC!B:C,2,0))%),0)</f>
        <v/>
      </c>
      <c r="CR4">
        <f>IFERROR(IF(RIGHT(INDEX(PIS!O$1:O$500,MATCH(D4,PIS!C$1:C$500,0)),5)="Gross",MIN(U4+V4,VLOOKUP("R700",TSC!B:C,2,0)*VLOOKUP("R101",TSC!B:C,2,0))*(VLOOKUP("T714",TSC!B:C,2,0))%,MIN(T4+V4,VLOOKUP("R700",TSC!B:C,2,0)*VLOOKUP("R101",TSC!B:C,2,0))*(VLOOKUP("T704",TSC!B:C,2,0)+VLOOKUP("T714",TSC!B:C,2,0))%),0)</f>
        <v/>
      </c>
      <c r="CS4">
        <f>IFERROR(IF(RIGHT(INDEX(PIS!O$1:O$500,MATCH(D4,PIS!C$1:C$500,0)),5)="Gross",MIN(U4+V4,VLOOKUP("R700",TSC!B:C,2,0)*VLOOKUP("R101",TSC!B:C,2,0))*VLOOKUP("T705",TSC!B:C,2,0)%,MIN(T4+V4,VLOOKUP("R700",TSC!B:C,2,0)*VLOOKUP("R101",TSC!B:C,2,0))*VLOOKUP("T705",TSC!B:C,2,0)%),0)</f>
        <v/>
      </c>
      <c r="CT4">
        <f>IFERROR(IF(RIGHT(INDEX(PIS!O$1:O$500,MATCH(D4,PIS!C$1:C$500,0)),5)="Gross",MIN(U4+V4,VLOOKUP("R700",TSC!B:C,2,0)*VLOOKUP("R101",TSC!B:C,2,0))*(VLOOKUP("T713",TSC!B:C,2,0))%,MIN(T4+V4,VLOOKUP("R700",TSC!B:C,2,0)*VLOOKUP("R101",TSC!B:C,2,0))*(VLOOKUP("T713",TSC!B:C,2,0))%),0)</f>
        <v/>
      </c>
      <c r="CU4">
        <f>IFERROR(INDEX(ADJ!$A$1:$BZ$1000,MATCH(PAYROLL!D4,ADJ!A$1:A$500,0),MATCH(PAYROLL!CU$2,ADJ!$2:$2,0)),0)</f>
        <v/>
      </c>
      <c r="CV4">
        <f>IFERROR(INDEX(ADJ!$A$1:$BZ$1000,MATCH(PAYROLL!D4,ADJ!A$1:A$500,0),MATCH(PAYROLL!CV$2,ADJ!$2:$2,0)),0)</f>
        <v/>
      </c>
      <c r="CW4">
        <f>SUM(CQ4:CV4)</f>
        <v/>
      </c>
      <c r="CX4">
        <f>ROUND(IF(CQ4&gt;0,T4+V4*VLOOKUP("R202",TSC!$B$1:$C$500,2,0),0),0)</f>
        <v/>
      </c>
      <c r="CY4">
        <f>IFERROR(INDEX(CSDA!D$1:D$500,MATCH($CY$2,CSDA!C$1:C$500,0)),0)</f>
        <v/>
      </c>
      <c r="CZ4">
        <f>ROUND(T4*0.7%,0)</f>
        <v/>
      </c>
      <c r="DA4">
        <f>ROUND(T4/12,0)</f>
        <v/>
      </c>
      <c r="DB4">
        <f ref="DB4" t="array">IFERROR(INDEX(CSDA!D$1:D$500,MATCH("Trích giữ"&amp;PAYROLL!DB$2,CSDA!A$1:A$500&amp;CSDA!C$1:C$500,0)),0)</f>
        <v/>
      </c>
      <c r="DC4">
        <f ref="DC4" t="array">IFERROR(INDEX(CSDA!D$1:D$500,MATCH("Trích giữ"&amp;PAYROLL!DC$2,CSDA!A$1:A$500&amp;CSDA!C$1:C$500,0)),0)</f>
        <v/>
      </c>
      <c r="DD4">
        <f ref="DD4" t="array">IFERROR(INDEX(CSDA!D$1:D$500,MATCH("Trích giữ"&amp;PAYROLL!DD$2,CSDA!A$1:A$500&amp;CSDA!C$1:C$500,0)),0)</f>
        <v/>
      </c>
      <c r="DE4">
        <f>IFERROR(INDEX(CSDA!D$1:D$500,MATCH(PAYROLL!DE$2,CSDA!C$1:C$500,0)),0)</f>
        <v/>
      </c>
      <c r="DF4">
        <f ref="DF4" t="array">IFERROR(INDEX(CSDA!D$1:D$500,MATCH("Trích giữ"&amp;PAYROLL!DF$2,CSDA!A$1:A$500&amp;CSDA!C$1:C$500,0)),0)</f>
        <v/>
      </c>
      <c r="DG4">
        <f>ROUND(T4/26,0)</f>
        <v/>
      </c>
      <c r="DH4">
        <f ref="DH4" t="array">IFERROR(INDEX(CSDA!D$1:D$500,MATCH("Trích giữ"&amp;PAYROLL!DH$2,CSDA!A$1:A$500&amp;CSDA!C$1:C$500,0)),0)</f>
        <v/>
      </c>
      <c r="DI4">
        <f>IF(U4=0,T4*21.5%-BK4,0)</f>
        <v/>
      </c>
      <c r="DK4">
        <f ref="DK4" t="array">IFERROR(INDEX(CSDA!D$1:D$500,MATCH("Trích giữ"&amp;PAYROLL!DK$2,CSDA!A$1:A$500&amp;CSDA!C$1:C$500,0)),0)</f>
        <v/>
      </c>
      <c r="DL4">
        <f>IFERROR(INDEX(CSDA!D$1:D$500,MATCH(PAYROLL!DL$2,CSDA!C$1:C$500,0))/12,0)</f>
        <v/>
      </c>
      <c r="DM4">
        <f>SUM(DA4:DL4)</f>
        <v/>
      </c>
      <c r="DN4">
        <f>IFERROR(INDEX(ADJ!$A$1:$BZ$1000,MATCH(PAYROLL!D4,ADJ!A$1:A$500,0),MATCH(PAYROLL!DN$2,ADJ!$2:$2,0)),0)</f>
        <v/>
      </c>
      <c r="DO4">
        <f>IFERROR(SUM(BO4,DM4:DN4,CW4:CZ4)-DT4,0)</f>
        <v/>
      </c>
      <c r="DP4">
        <f ref="DP4" t="array">SUM(BV4*IFERROR(INDEX(CSDA!D$1:D$500,MATCH(BV$2,CSDA!C$1:C$500,0)),0)%,CW4*IFERROR(INDEX(CSDA!D$1:D$500,MATCH(CW$2,CSDA!C$1:C$500,0)),0)%,CZ4*IFERROR(INDEX(CSDA!D$1:D$500,MATCH(CZ$2,CSDA!C$1:C$500,0)),0)%,DA4*IFERROR(INDEX(CSDA!D$1:D$500,MATCH(DA$2,CSDA!C$1:C$500,0)),0)%,DE4*IFERROR(INDEX(CSDA!D$1:D$500,MATCH("Phí dịch vụ"&amp;PAYROLL!DE$2,CSDA!A$1:A$500&amp;CSDA!C$1:C$500,0)),0)%,DB4*IFERROR(INDEX(CSDA!D$1:D$500,MATCH("Phí dịch vụ"&amp;PAYROLL!DB$2,CSDA!A$1:A$500&amp;CSDA!C$1:C$500,0)),0)%,DG4*IFERROR(INDEX(CSDA!D$1:D$500,MATCH("Phí dịch vụ"&amp;PAYROLL!DG$2,CSDA!A$1:A$500&amp;CSDA!C$1:C$500,0)),0)%,DI4*IFERROR(INDEX(CSDA!D$1:D$500,MATCH("Phí dịch vụ"&amp;PAYROLL!DI$2,CSDA!A$1:A$500&amp;CSDA!C$1:C$500,0)),0)%,BM4*IFERROR(INDEX(CSDA!D$1:D$500,MATCH(BM$2,CSDA!C$1:C$500,0)),0)%)-BM4*7%</f>
        <v/>
      </c>
      <c r="DQ4">
        <f>IFERROR(INDEX(ADJ!$A$1:$BZ$1000,MATCH(PAYROLL!D4,ADJ!A$1:A$500,0),MATCH(PAYROLL!DQ$2,ADJ!$2:$2,0)),0)</f>
        <v/>
      </c>
      <c r="DR4">
        <f>IFERROR(INDEX(ADJ!$A$1:$BZ$1000,MATCH(PAYROLL!D4,ADJ!A$1:A$500,0),MATCH(PAYROLL!DR$2,ADJ!$2:$2,0)),0)</f>
        <v/>
      </c>
      <c r="DS4">
        <f>SUM(DP4:DR4)</f>
        <v/>
      </c>
      <c r="DT4">
        <f>EK4</f>
        <v/>
      </c>
      <c r="DU4">
        <f>SUM(DO4:DR4)</f>
        <v/>
      </c>
      <c r="DV4">
        <f>ROUND(DU4*0.1,0)</f>
        <v/>
      </c>
      <c r="DW4">
        <f>DU4+DV4</f>
        <v/>
      </c>
      <c r="DZ4">
        <f>IFERROR(INDEX(ADJ!$A$1:$BZ$1000,MATCH(PAYROLL!$D4,ADJ!A$1:A$500,0),MATCH(PAYROLL!DZ$2,ADJ!$2:$2,0)),0)</f>
        <v/>
      </c>
      <c r="EA4">
        <f>IFERROR(INDEX(ADJ!$A$1:$BZ$1000,MATCH(PAYROLL!$D4,ADJ!A$1:A$500,0),MATCH(PAYROLL!EA$2,ADJ!$2:$2,0)),0)</f>
        <v/>
      </c>
      <c r="EB4">
        <f>IFERROR(INDEX(ADJ!$A$1:$BZ$1000,MATCH(PAYROLL!$D4,ADJ!A$1:A$500,0),MATCH(PAYROLL!EB$2,ADJ!$2:$2,0)),0)</f>
        <v/>
      </c>
      <c r="EC4">
        <f>IFERROR(INDEX(ADJ!$A$1:$BZ$1000,MATCH(PAYROLL!$D4,ADJ!A$1:A$500,0),MATCH(PAYROLL!EC$2,ADJ!$2:$2,0)),0)</f>
        <v/>
      </c>
      <c r="ED4">
        <f>IFERROR(INDEX(ADJ!$A$1:$BZ$1000,MATCH(PAYROLL!$D4,ADJ!A$1:A$500,0),MATCH(PAYROLL!ED$2,ADJ!$2:$2,0)),0)</f>
        <v/>
      </c>
      <c r="EE4">
        <f>IFERROR(INDEX(ADJ!$A$1:$BZ$1000,MATCH(PAYROLL!$D4,ADJ!A$1:A$500,0),MATCH(PAYROLL!EE$2,ADJ!$2:$2,0)),0)</f>
        <v/>
      </c>
      <c r="EF4">
        <f>IFERROR(INDEX(ADJ!$A$1:$BZ$1000,MATCH(PAYROLL!$D4,ADJ!A$1:A$500,0),MATCH(PAYROLL!EF$2,ADJ!$2:$2,0)),0)</f>
        <v/>
      </c>
      <c r="EG4">
        <f>IFERROR(INDEX(ADJ!$A$1:$BZ$1000,MATCH(PAYROLL!$D4,ADJ!A$1:A$500,0),MATCH(PAYROLL!EG$2,ADJ!$2:$2,0)),0)</f>
        <v/>
      </c>
      <c r="EH4">
        <f>IFERROR(INDEX(ADJ!$A$1:$BZ$1000,MATCH(PAYROLL!$D4,ADJ!A$1:A$500,0),MATCH(PAYROLL!EH$2,ADJ!$2:$2,0)),0)</f>
        <v/>
      </c>
      <c r="EI4">
        <f>IFERROR(INDEX(ADJ!$A$1:$BZ$1000,MATCH(PAYROLL!D4,ADJ!A$1:A$500,0),MATCH(PAYROLL!EI$2,ADJ!$2:$2,0)),0)</f>
        <v/>
      </c>
      <c r="EJ4">
        <f>IFERROR(INDEX(ADJ!$A$1:$BZ$1000,MATCH(PAYROLL!$D4,ADJ!A$1:A$500,0),MATCH(PAYROLL!EJ$2,ADJ!$2:$2,0)),0)</f>
        <v/>
      </c>
      <c r="EK4">
        <f>SUM(DZ4:EJ4)</f>
        <v/>
      </c>
    </row>
    <row r="5">
      <c r="A5" t="n">
        <v>3</v>
      </c>
      <c r="B5" t="inlineStr">
        <is>
          <t>Đặng Văn Trí</t>
        </is>
      </c>
      <c r="D5" t="inlineStr">
        <is>
          <t>162085-01</t>
        </is>
      </c>
      <c r="S5">
        <f>IFERROR(INDEX(PIS!$A$1:$BZ$1000,MATCH($D5,PIS!C$1:C$500,0),MATCH("Lương CB tháng trước",PIS!$1:$1,0)),0)</f>
        <v/>
      </c>
      <c r="T5">
        <f>IFERROR(INDEX(PIS!$A$1:$BZ$1000,MATCH($D5,PIS!C$1:C$500,0),MATCH("Lương CB hiện tại",PIS!$1:$1,0)),0)</f>
        <v/>
      </c>
      <c r="U5">
        <f>IFERROR(INDEX(PIS!$A$1:$BZ$1000,MATCH($D5,PIS!C$1:C$500,0),MATCH("Lương đóng BHBB",PIS!$1:$1,0)),0)</f>
        <v/>
      </c>
      <c r="V5">
        <f>IFERROR(INDEX(PIS!$A$1:$BZ$1000,MATCH($D5,PIS!C$1:C$500,0),MATCH(V$2,PIS!$2:$2,0)),0)</f>
        <v/>
      </c>
      <c r="W5">
        <f>IFERROR(INDEX(PIS!$A$1:$BZ$1000,MATCH($D5,PIS!C$1:C$500,0),MATCH(W$2,PIS!$2:$2,0)),0)</f>
        <v/>
      </c>
      <c r="X5">
        <f>IFERROR(INDEX(PIS!$A$1:$BZ$1000,MATCH($D5,PIS!C$1:C$500,0),MATCH(X$2,PIS!$2:$2,0)),0)</f>
        <v/>
      </c>
      <c r="Y5">
        <f>IFERROR(INDEX(PIS!$A$1:$BZ$1000,MATCH($D5,PIS!C$1:C$500,0),MATCH(Y$2,PIS!$2:$2,0)),0)</f>
        <v/>
      </c>
      <c r="Z5">
        <f>IFERROR(INDEX(PIS!$A$1:$BZ$1000,MATCH($D5,PIS!C$1:C$500,0),MATCH(Z$2,PIS!$2:$2,0)),0)</f>
        <v/>
      </c>
      <c r="AA5">
        <f>IFERROR(INDEX(PIS!$A$1:$BZ$1000,MATCH($D5,PIS!C$1:C$500,0),MATCH(AA$2,PIS!$2:$2,0)),0)</f>
        <v/>
      </c>
      <c r="AB5">
        <f>IFERROR(INDEX(PIS!$A$1:$BZ$1000,MATCH($D5,PIS!C$1:C$500,0),MATCH(AB$2,PIS!$2:$2,0)),0)</f>
        <v/>
      </c>
      <c r="AC5">
        <f>SUM(V5:AB5)</f>
        <v/>
      </c>
      <c r="AD5">
        <f>IFERROR(INDEX(TIMESHEET!$A$1:$AI$5000,MATCH($D5,TIMESHEET!A$1:A$500,0),MATCH("T100",TIMESHEET!$2:$2,0)),0)</f>
        <v/>
      </c>
      <c r="AE5">
        <f>IFERROR(INDEX(TIMESHEET!$A$1:$AI$5000,MATCH($D5,TIMESHEET!A$1:A$500,0),MATCH("T202",TIMESHEET!$2:$2,0)),0)</f>
        <v/>
      </c>
      <c r="AF5">
        <f>IFERROR(INDEX(TIMESHEET!$A$1:$AI$5000,MATCH($D5,TIMESHEET!A$1:A$500,0),MATCH("T302",TIMESHEET!$2:$2,0)),0)</f>
        <v/>
      </c>
      <c r="AG5">
        <f>IFERROR(INDEX(TIMESHEET!$A$1:$AI$5000,MATCH($D5,TIMESHEET!A$1:A$500,0),MATCH("T406",TIMESHEET!$2:$2,0)),0)</f>
        <v/>
      </c>
      <c r="AH5">
        <f>IF(SUM(AE5:AG5)&gt;=26,26,SUM(AE5:AG5))</f>
        <v/>
      </c>
      <c r="AI5">
        <f>IFERROR(INDEX(TIMESHEET!$A$1:$AI$5000,MATCH($D5,TIMESHEET!A$1:A$500,0),MATCH("T701",TIMESHEET!$2:$2,0)),0)</f>
        <v/>
      </c>
      <c r="AJ5">
        <f>IFERROR(IF(INDEX(PIS!N$1:N$500,MATCH(D5,PIS!C$1:C$500,0))="LC4",(T5*0.85)/AD5*AH5,ROUND(T5/AD5*AH5,0)),0)</f>
        <v/>
      </c>
      <c r="AK5">
        <f>IFERROR(INDEX(ADJ!$A$1:$BZ$1000,MATCH(PAYROLL!D5,ADJ!A$1:A$500,0),MATCH(PAYROLL!AK$2,ADJ!$2:$2,0)),0)</f>
        <v/>
      </c>
      <c r="AL5">
        <f>SUM(AJ5:AK5)</f>
        <v/>
      </c>
      <c r="AM5">
        <f>IF(AH5&gt;13,V5,ROUND(V5/AD5*AH5,0))</f>
        <v/>
      </c>
      <c r="AN5">
        <f>IF(AD5=0,0,ROUND(W5/AD5*AI5,0))</f>
        <v/>
      </c>
      <c r="AO5">
        <f>ROUND(X5*AH5,0)</f>
        <v/>
      </c>
      <c r="AP5">
        <f>IF(AD5=0,0,ROUND(Y5/AD5*AH5,0))</f>
        <v/>
      </c>
      <c r="AQ5">
        <f>IFERROR(IF((AE5+AF5+AG5)&gt;13,Z5,ROUND(Z5/AD5*AH5,0)),0)</f>
        <v/>
      </c>
      <c r="AR5">
        <f>IF(AD5=0,0,ROUND(AA34/AD5*AH5,0))</f>
        <v/>
      </c>
      <c r="AS5">
        <f>IFERROR(IF((AE5+AF5+AG5)&gt;13,AB5,ROUND(AB5/AD5*AH5,0)),0)</f>
        <v/>
      </c>
      <c r="AT5">
        <f>IFERROR(INDEX(ADJ!$A$1:$BZ$1000,MATCH(PAYROLL!D5,ADJ!A$1:A$500,0),MATCH(PAYROLL!AT$2,ADJ!$2:$2,0)),0)</f>
        <v/>
      </c>
      <c r="AU5">
        <f>ROUND(SUM(AM5:AT5),0)</f>
        <v/>
      </c>
      <c r="AV5">
        <f>IFERROR(INDEX(TIMESHEET!$A$1:$AI$5000,MATCH(PAYROLL!D5,TIMESHEET!A$1:A$500,0),MATCH("T620",TIMESHEET!$2:$2,0)),0)</f>
        <v/>
      </c>
      <c r="AW5">
        <f>IFERROR(INDEX(TIMESHEET!$A$1:$AI$5000,MATCH(PAYROLL!D5,TIMESHEET!A$1:A$500,0),MATCH("T601",TIMESHEET!$2:$2,0)),0)</f>
        <v/>
      </c>
      <c r="AX5">
        <f>IFERROR(INDEX(TIMESHEET!$A$1:$AI$5000,MATCH(PAYROLL!D5,TIMESHEET!A$1:A$500,0),MATCH("T602",TIMESHEET!$2:$2,0)),0)</f>
        <v/>
      </c>
      <c r="AY5">
        <f>IFERROR(INDEX(TIMESHEET!$A$1:$AI$5000,MATCH(PAYROLL!D5,TIMESHEET!A$1:A$500,0),MATCH("T603",TIMESHEET!$2:$2,0)),0)</f>
        <v/>
      </c>
      <c r="AZ5">
        <f>IFERROR(INDEX(TIMESHEET!$A$1:$AI$5000,MATCH(PAYROLL!D5,TIMESHEET!A$1:A$500,0),MATCH("T611",TIMESHEET!$2:$2,0)),0)</f>
        <v/>
      </c>
      <c r="BA5">
        <f>IFERROR(INDEX(TIMESHEET!$A$1:$AI$5000,MATCH(PAYROLL!D5,TIMESHEET!A$1:A$500,0),MATCH("T612",TIMESHEET!$2:$2,0)),0)</f>
        <v/>
      </c>
      <c r="BB5">
        <f>IFERROR(INDEX(TIMESHEET!$A$1:$AI$5000,MATCH(PAYROLL!D5,TIMESHEET!A$1:A$500,0),MATCH("T613",TIMESHEET!$2:$2,0)),0)</f>
        <v/>
      </c>
      <c r="BC5">
        <f>IFERROR(INDEX(TIMESHEET!$A$1:$AI$5000,MATCH(PAYROLL!D5,TIMESHEET!A$1:A$500,0),MATCH("T500",TIMESHEET!$2:$2,0)),0)</f>
        <v/>
      </c>
      <c r="BD5">
        <f>IFERROR((T5+V5)/AD5/8*(AV5+AW5*1.5+AX5*2+AY5*3+AZ5*2.1+BA5*2.7+BB5*3.9+BC5*0.3),0)</f>
        <v/>
      </c>
      <c r="BE5">
        <f>IFERROR(INDEX(ADJ!$A$1:$BZ$1000,MATCH(PAYROLL!$D5,ADJ!A$1:A$500,0),MATCH(PAYROLL!BE$2,ADJ!$2:$2,0)),0)</f>
        <v/>
      </c>
      <c r="BF5">
        <f>IFERROR(INDEX(ADJ!$A$1:$BZ$1000,MATCH(PAYROLL!D5,ADJ!A$1:A$500,0),MATCH(PAYROLL!BF$2,ADJ!$2:$2,0)),0)</f>
        <v/>
      </c>
      <c r="BG5">
        <f>IFERROR(INDEX(ADJ!$A$1:$BZ$1000,MATCH(PAYROLL!D5,ADJ!A$1:A$500,0),MATCH(PAYROLL!BG$2,ADJ!$2:$2,0)),0)</f>
        <v/>
      </c>
      <c r="BH5">
        <f>IFERROR(INDEX(ADJ!$A$1:$BZ$1000,MATCH(PAYROLL!D5,ADJ!A$1:A$500,0),MATCH(PAYROLL!BH$2,ADJ!$2:$2,0)),0)</f>
        <v/>
      </c>
      <c r="BI5">
        <f>IFERROR(INDEX(ADJ!$A$1:$BZ$1000,MATCH(PAYROLL!D5,ADJ!A$1:A$500,0),MATCH(PAYROLL!BI$2,ADJ!$2:$2,0)),0)</f>
        <v/>
      </c>
      <c r="BJ5">
        <f>SUM(BE5:BI5)</f>
        <v/>
      </c>
      <c r="BK5">
        <f>IFERROR(IF(INDEX(PIS!N$1:N$500,MATCH(D5,PIS!C$1:C$500))="LC12",(T5*21.5%)/AD5*AH5,0),0)</f>
        <v/>
      </c>
      <c r="BL5">
        <f>IFERROR(INDEX(ADJ!$A$1:$BZ$1000,MATCH(PAYROLL!D5,ADJ!A$1:A$500,0),MATCH(PAYROLL!BL$2,ADJ!$2:$2,0)),0)</f>
        <v/>
      </c>
      <c r="BM5">
        <f>IFERROR(INDEX(ADJ!$A$1:$BZ$1000,MATCH(PAYROLL!D5,ADJ!A$1:A$500,0),MATCH(PAYROLL!BM$2,ADJ!$2:$2,0)),0)</f>
        <v/>
      </c>
      <c r="BN5">
        <f>IFERROR(INDEX(ADJ!$A$1:$BZ$1000,MATCH(PAYROLL!D5,ADJ!A$1:A$500,0),MATCH(PAYROLL!BN$2,ADJ!$2:$2,0)),0)</f>
        <v/>
      </c>
      <c r="BO5">
        <f>SUM(AL5,AU5,BD5,BJ5,BK5:BN5)</f>
        <v/>
      </c>
      <c r="BP5">
        <f>BN5+AP5</f>
        <v/>
      </c>
      <c r="BQ5">
        <f>IFERROR(ROUND(IF(LEFT(INDEX(PIS!O$1:O$500,MATCH(D5,PIS!C$1:C$500)),1)="D",T5/8*(BC5*0.3),IF(LEFT(INDEX(PIS!O$1:O$500,MATCH(D5,PIS!C$1:C$500)),1)="H",T5*($BC5*0.3),T5/$AD5/8*($BC5*0.3))),0),0)</f>
        <v/>
      </c>
      <c r="BR5">
        <f>IF(AO5&lt;1,0,MIN(AO5,730000))</f>
        <v/>
      </c>
      <c r="BS5">
        <f>IFERROR(ROUND((BD5-SUM(AV5:BB5)*T5/AD5/8),0)-BQ5,0)</f>
        <v/>
      </c>
      <c r="BT5">
        <f>AN5</f>
        <v/>
      </c>
      <c r="BU5">
        <f>SUM(BP5:BT5)</f>
        <v/>
      </c>
      <c r="BV5">
        <f>BO5-BU5</f>
        <v/>
      </c>
      <c r="BW5">
        <f>IFERROR(IF(RIGHT(INDEX(PIS!O$1:O$500,MATCH(D5,PIS!C$1:C$500)),5)="Gross",MIN(U5+V5,VLOOKUP("R700",TSC!B:C,2,0)*VLOOKUP("R101",TSC!B:C,2,0))*VLOOKUP("R701",TSC!B:C,2,0)%,0),0)</f>
        <v/>
      </c>
      <c r="BX5">
        <f>IFERROR(IF(RIGHT(INDEX(PIS!O$1:O$500,MATCH(D5,PIS!C$1:C$500)),5)="Gross",MIN(U5+V5,VLOOKUP("R700",TSC!B:C,2,0)*VLOOKUP("R101",TSC!B:C,2,0))*VLOOKUP("T704",TSC!B:C,2,0)%,0),0)</f>
        <v/>
      </c>
      <c r="BY5">
        <f>IFERROR(IF(RIGHT(INDEX(PIS!O$1:O$500,MATCH(D5,PIS!C$1:C$500)),5)="Gross",MIN(U5+V5,VLOOKUP("R700",TSC!B:C,2,0)*VLOOKUP("1",TSC!F:G,2,0))*VLOOKUP("T705",TSC!B:C,2,0)%,0),0)</f>
        <v/>
      </c>
      <c r="BZ5">
        <f>IFERROR(INDEX(ADJ!$A$1:$BZ$1000,MATCH(PAYROLL!D5,ADJ!A$1:A$500,0),MATCH(PAYROLL!BZ$2,ADJ!$2:$2,0)),0)</f>
        <v/>
      </c>
      <c r="CA5">
        <f>IFERROR(INDEX(ADJ!$A$1:$BZ$1000,MATCH(PAYROLL!D5,ADJ!A$1:A$500,0),MATCH(PAYROLL!CA$2,ADJ!$2:$2,0)),0)</f>
        <v/>
      </c>
      <c r="CB5">
        <f>SUM(BW5:CA5)</f>
        <v/>
      </c>
      <c r="CC5">
        <f>IFERROR(INDEX(PIS!$A$1:$BZ$1000,MATCH(PAYROLL!D5,PIS!C$1:C$500,0),MATCH(PAYROLL!CC$1,PIS!$1:$1,0)),0)</f>
        <v/>
      </c>
      <c r="CD5">
        <f>IFERROR(IF(OR(INDEX(PIS!P$1:P$500,MATCH(D5,PIS!C$1:C$500,0))="LT2",INDEX(PIS!P$1:P$500,MATCH(D5,PIS!C$1:C$500,0))="P10"),0,SUM(CB5,CC5*VLOOKUP("R601",TSC!B:C,2,0),VLOOKUP("R602",TSC!B:C,2,0))),0)</f>
        <v/>
      </c>
      <c r="CE5">
        <f>MAX(BV5-CD5,0)</f>
        <v/>
      </c>
      <c r="CF5">
        <f>IFERROR(IF(OR(RIGHT(INDEX(PIS!P$1:P$500,MATCH(D5,PIS!C$1:C$500)),5)="P10",RIGHT(INDEX(PIS!P$1:P$500,MATCH(D5,PIS!C$1:C$500)),5)="CK"),0,IF(CE5&lt;=5000000,CE5*5%,IF(CE5&lt;=10000000,CE5*10%-250000,IF(CE5&lt;=18000000,CE5*15%-750000,IF(CE5&lt;=32000000,CE5*20%-1650000,IF(CE5&lt;=52000000,CE5*25%-3250000,IF(CE5&lt;=80000000,BG5*30%-5850000,CE5*35%-9850000))))))),0)</f>
        <v/>
      </c>
      <c r="CG5">
        <f>IFERROR(IF(OR(INDEX(PIS!P$1:P$500,MATCH(D5,PIS!C$1:C$500))="LT",INDEX(PIS!P$1:P$500,MATCH(D5,PIS!C$1:C$500))="CK"),0,IF(CE5&lt;2000000,0,CE5*10%)),0)</f>
        <v/>
      </c>
      <c r="CH5">
        <f>IFERROR(INDEX(ADJ!$A$1:$BZ$1000,MATCH(PAYROLL!D5,ADJ!A$1:A$500,0),MATCH(PAYROLL!CH$2,ADJ!$2:$2,0)),0)</f>
        <v/>
      </c>
      <c r="CI5">
        <f>IFERROR(INDEX(ADJ!$A$1:$BZ$1000,MATCH(PAYROLL!D5,ADJ!A$1:A$500,0),MATCH(PAYROLL!CI$2,ADJ!$2:$2,0)),0)</f>
        <v/>
      </c>
      <c r="CJ5">
        <f>IFERROR(INDEX(ADJ!$A$1:$BZ$1000,MATCH(PAYROLL!D5,ADJ!A$1:A$500,0),MATCH(PAYROLL!CJ$2,ADJ!$2:$2,0)),0)</f>
        <v/>
      </c>
      <c r="CK5">
        <f>SUM(CF5:CJ5)</f>
        <v/>
      </c>
      <c r="CL5">
        <f>ROUND(SUM(CG5:CJ5),0)</f>
        <v/>
      </c>
      <c r="CM5">
        <f>IFERROR(INDEX(CSDA!D$1:D$500,MATCH($CM$2,CSDA!C$1:C$500,0))*INDEX(PIS!V$1:V$500,MATCH(D5,PIS!C$1:C$500))+INDEX(ADJ!$A$1:$BZ$1000,MATCH(PAYROLL!D5,ADJ!A$1:A$500,0),MATCH(PAYROLL!CM$2,ADJ!$2:$2,0)),0)</f>
        <v/>
      </c>
      <c r="CN5">
        <f>IFERROR(INDEX(ADJ!$A$1:$BZ$1000,MATCH(PAYROLL!D5,ADJ!A$1:A$500,0),MATCH(PAYROLL!CN$2,ADJ!$2:$2,0)),0)</f>
        <v/>
      </c>
      <c r="CO5">
        <f>IFERROR(INDEX(ADJ!$A$1:$BZ$1000,MATCH(PAYROLL!D5,ADJ!A$1:A$500,0),MATCH(PAYROLL!CO$2,ADJ!$2:$2,0)),0)</f>
        <v/>
      </c>
      <c r="CP5">
        <f>BO5-CK5-CH5-CL5-CM5-CN5-CO5-CB5</f>
        <v/>
      </c>
      <c r="CQ5">
        <f>IFERROR(IF(RIGHT(INDEX(PIS!O$1:O$500,MATCH(D5,PIS!C$1:C$500,0)),5)="Gross",MIN(U5+V5,VLOOKUP("R700",TSC!B:C,2,0)*VLOOKUP("R101",TSC!B:C,2,0))*(VLOOKUP("T711",TSC!B:C,2,0)+VLOOKUP("T712",TSC!B:C,2,0))%,MIN(T5+V5,VLOOKUP("R700",TSC!B:C,2,0)*VLOOKUP("R101",TSC!B:C,2,0))*(VLOOKUP("T711",TSC!B:C,2,0)+VLOOKUP("T712",TSC!B:C,2,0)+VLOOKUP("R701",TSC!B:C,2,0))%),0)</f>
        <v/>
      </c>
      <c r="CR5">
        <f>IFERROR(IF(RIGHT(INDEX(PIS!O$1:O$500,MATCH(D5,PIS!C$1:C$500,0)),5)="Gross",MIN(U5+V5,VLOOKUP("R700",TSC!B:C,2,0)*VLOOKUP("R101",TSC!B:C,2,0))*(VLOOKUP("T714",TSC!B:C,2,0))%,MIN(T5+V5,VLOOKUP("R700",TSC!B:C,2,0)*VLOOKUP("R101",TSC!B:C,2,0))*(VLOOKUP("T704",TSC!B:C,2,0)+VLOOKUP("T714",TSC!B:C,2,0))%),0)</f>
        <v/>
      </c>
      <c r="CS5">
        <f>IFERROR(IF(RIGHT(INDEX(PIS!O$1:O$500,MATCH(D5,PIS!C$1:C$500,0)),5)="Gross",MIN(U5+V5,VLOOKUP("R700",TSC!B:C,2,0)*VLOOKUP("R101",TSC!B:C,2,0))*VLOOKUP("T705",TSC!B:C,2,0)%,MIN(T5+V5,VLOOKUP("R700",TSC!B:C,2,0)*VLOOKUP("R101",TSC!B:C,2,0))*VLOOKUP("T705",TSC!B:C,2,0)%),0)</f>
        <v/>
      </c>
      <c r="CT5">
        <f>IFERROR(IF(RIGHT(INDEX(PIS!O$1:O$500,MATCH(D5,PIS!C$1:C$500,0)),5)="Gross",MIN(U5+V5,VLOOKUP("R700",TSC!B:C,2,0)*VLOOKUP("R101",TSC!B:C,2,0))*(VLOOKUP("T713",TSC!B:C,2,0))%,MIN(T5+V5,VLOOKUP("R700",TSC!B:C,2,0)*VLOOKUP("R101",TSC!B:C,2,0))*(VLOOKUP("T713",TSC!B:C,2,0))%),0)</f>
        <v/>
      </c>
      <c r="CU5">
        <f>IFERROR(INDEX(ADJ!$A$1:$BZ$1000,MATCH(PAYROLL!D5,ADJ!A$1:A$500,0),MATCH(PAYROLL!CU$2,ADJ!$2:$2,0)),0)</f>
        <v/>
      </c>
      <c r="CV5">
        <f>IFERROR(INDEX(ADJ!$A$1:$BZ$1000,MATCH(PAYROLL!D5,ADJ!A$1:A$500,0),MATCH(PAYROLL!CV$2,ADJ!$2:$2,0)),0)</f>
        <v/>
      </c>
      <c r="CW5">
        <f>SUM(CQ5:CV5)</f>
        <v/>
      </c>
      <c r="CX5">
        <f>ROUND(IF(CQ5&gt;0,T5+V5*VLOOKUP("R202",TSC!$B$1:$C$500,2,0),0),0)</f>
        <v/>
      </c>
      <c r="CY5">
        <f>IFERROR(INDEX(CSDA!D$1:D$500,MATCH($CY$2,CSDA!C$1:C$500,0)),0)</f>
        <v/>
      </c>
      <c r="CZ5">
        <f>ROUND(T5*0.7%,0)</f>
        <v/>
      </c>
      <c r="DA5">
        <f>ROUND(T5/12,0)</f>
        <v/>
      </c>
      <c r="DB5">
        <f ref="DB5" t="array">IFERROR(INDEX(CSDA!D$1:D$500,MATCH("Trích giữ"&amp;PAYROLL!DB$2,CSDA!A$1:A$500&amp;CSDA!C$1:C$500,0)),0)</f>
        <v/>
      </c>
      <c r="DC5">
        <f ref="DC5" t="array">IFERROR(INDEX(CSDA!D$1:D$500,MATCH("Trích giữ"&amp;PAYROLL!DC$2,CSDA!A$1:A$500&amp;CSDA!C$1:C$500,0)),0)</f>
        <v/>
      </c>
      <c r="DD5">
        <f ref="DD5" t="array">IFERROR(INDEX(CSDA!D$1:D$500,MATCH("Trích giữ"&amp;PAYROLL!DD$2,CSDA!A$1:A$500&amp;CSDA!C$1:C$500,0)),0)</f>
        <v/>
      </c>
      <c r="DE5">
        <f>IFERROR(INDEX(CSDA!D$1:D$500,MATCH(PAYROLL!DE$2,CSDA!C$1:C$500,0)),0)</f>
        <v/>
      </c>
      <c r="DF5">
        <f ref="DF5" t="array">IFERROR(INDEX(CSDA!D$1:D$500,MATCH("Trích giữ"&amp;PAYROLL!DF$2,CSDA!A$1:A$500&amp;CSDA!C$1:C$500,0)),0)</f>
        <v/>
      </c>
      <c r="DG5">
        <f>ROUND(T5/26,0)</f>
        <v/>
      </c>
      <c r="DH5">
        <f ref="DH5" t="array">IFERROR(INDEX(CSDA!D$1:D$500,MATCH("Trích giữ"&amp;PAYROLL!DH$2,CSDA!A$1:A$500&amp;CSDA!C$1:C$500,0)),0)</f>
        <v/>
      </c>
      <c r="DI5">
        <f>IF(U5=0,T5*21.5%-BK5,0)</f>
        <v/>
      </c>
      <c r="DK5">
        <f ref="DK5" t="array">IFERROR(INDEX(CSDA!D$1:D$500,MATCH("Trích giữ"&amp;PAYROLL!DK$2,CSDA!A$1:A$500&amp;CSDA!C$1:C$500,0)),0)</f>
        <v/>
      </c>
      <c r="DL5">
        <f>IFERROR(INDEX(CSDA!D$1:D$500,MATCH(PAYROLL!DL$2,CSDA!C$1:C$500,0))/12,0)</f>
        <v/>
      </c>
      <c r="DM5">
        <f>SUM(DA5:DL5)</f>
        <v/>
      </c>
      <c r="DN5">
        <f>IFERROR(INDEX(ADJ!$A$1:$BZ$1000,MATCH(PAYROLL!D5,ADJ!A$1:A$500,0),MATCH(PAYROLL!DN$2,ADJ!$2:$2,0)),0)</f>
        <v/>
      </c>
      <c r="DO5">
        <f>IFERROR(SUM(BO5,DM5:DN5,CW5:CZ5)-DT5,0)</f>
        <v/>
      </c>
      <c r="DP5">
        <f ref="DP5" t="array">SUM(BV5*IFERROR(INDEX(CSDA!D$1:D$500,MATCH(BV$2,CSDA!C$1:C$500,0)),0)%,CW5*IFERROR(INDEX(CSDA!D$1:D$500,MATCH(CW$2,CSDA!C$1:C$500,0)),0)%,CZ5*IFERROR(INDEX(CSDA!D$1:D$500,MATCH(CZ$2,CSDA!C$1:C$500,0)),0)%,DA5*IFERROR(INDEX(CSDA!D$1:D$500,MATCH(DA$2,CSDA!C$1:C$500,0)),0)%,DE5*IFERROR(INDEX(CSDA!D$1:D$500,MATCH("Phí dịch vụ"&amp;PAYROLL!DE$2,CSDA!A$1:A$500&amp;CSDA!C$1:C$500,0)),0)%,DB5*IFERROR(INDEX(CSDA!D$1:D$500,MATCH("Phí dịch vụ"&amp;PAYROLL!DB$2,CSDA!A$1:A$500&amp;CSDA!C$1:C$500,0)),0)%,DG5*IFERROR(INDEX(CSDA!D$1:D$500,MATCH("Phí dịch vụ"&amp;PAYROLL!DG$2,CSDA!A$1:A$500&amp;CSDA!C$1:C$500,0)),0)%,DI5*IFERROR(INDEX(CSDA!D$1:D$500,MATCH("Phí dịch vụ"&amp;PAYROLL!DI$2,CSDA!A$1:A$500&amp;CSDA!C$1:C$500,0)),0)%,BM5*IFERROR(INDEX(CSDA!D$1:D$500,MATCH(BM$2,CSDA!C$1:C$500,0)),0)%)-BM5*7%</f>
        <v/>
      </c>
      <c r="DQ5">
        <f>IFERROR(INDEX(ADJ!$A$1:$BZ$1000,MATCH(PAYROLL!D5,ADJ!A$1:A$500,0),MATCH(PAYROLL!DQ$2,ADJ!$2:$2,0)),0)</f>
        <v/>
      </c>
      <c r="DR5">
        <f>IFERROR(INDEX(ADJ!$A$1:$BZ$1000,MATCH(PAYROLL!D5,ADJ!A$1:A$500,0),MATCH(PAYROLL!DR$2,ADJ!$2:$2,0)),0)</f>
        <v/>
      </c>
      <c r="DS5">
        <f>SUM(DP5:DR5)</f>
        <v/>
      </c>
      <c r="DT5">
        <f>EK5</f>
        <v/>
      </c>
      <c r="DU5">
        <f>SUM(DO5:DR5)</f>
        <v/>
      </c>
      <c r="DV5">
        <f>ROUND(DU5*0.1,0)</f>
        <v/>
      </c>
      <c r="DW5">
        <f>DU5+DV5</f>
        <v/>
      </c>
      <c r="DZ5">
        <f>IFERROR(INDEX(ADJ!$A$1:$BZ$1000,MATCH(PAYROLL!$D5,ADJ!A$1:A$500,0),MATCH(PAYROLL!DZ$2,ADJ!$2:$2,0)),0)</f>
        <v/>
      </c>
      <c r="EA5">
        <f>IFERROR(INDEX(ADJ!$A$1:$BZ$1000,MATCH(PAYROLL!$D5,ADJ!A$1:A$500,0),MATCH(PAYROLL!EA$2,ADJ!$2:$2,0)),0)</f>
        <v/>
      </c>
      <c r="EB5">
        <f>IFERROR(INDEX(ADJ!$A$1:$BZ$1000,MATCH(PAYROLL!$D5,ADJ!A$1:A$500,0),MATCH(PAYROLL!EB$2,ADJ!$2:$2,0)),0)</f>
        <v/>
      </c>
      <c r="EC5">
        <f>IFERROR(INDEX(ADJ!$A$1:$BZ$1000,MATCH(PAYROLL!$D5,ADJ!A$1:A$500,0),MATCH(PAYROLL!EC$2,ADJ!$2:$2,0)),0)</f>
        <v/>
      </c>
      <c r="ED5">
        <f>IFERROR(INDEX(ADJ!$A$1:$BZ$1000,MATCH(PAYROLL!$D5,ADJ!A$1:A$500,0),MATCH(PAYROLL!ED$2,ADJ!$2:$2,0)),0)</f>
        <v/>
      </c>
      <c r="EE5">
        <f>IFERROR(INDEX(ADJ!$A$1:$BZ$1000,MATCH(PAYROLL!$D5,ADJ!A$1:A$500,0),MATCH(PAYROLL!EE$2,ADJ!$2:$2,0)),0)</f>
        <v/>
      </c>
      <c r="EF5">
        <f>IFERROR(INDEX(ADJ!$A$1:$BZ$1000,MATCH(PAYROLL!$D5,ADJ!A$1:A$500,0),MATCH(PAYROLL!EF$2,ADJ!$2:$2,0)),0)</f>
        <v/>
      </c>
      <c r="EG5">
        <f>IFERROR(INDEX(ADJ!$A$1:$BZ$1000,MATCH(PAYROLL!$D5,ADJ!A$1:A$500,0),MATCH(PAYROLL!EG$2,ADJ!$2:$2,0)),0)</f>
        <v/>
      </c>
      <c r="EH5">
        <f>IFERROR(INDEX(ADJ!$A$1:$BZ$1000,MATCH(PAYROLL!$D5,ADJ!A$1:A$500,0),MATCH(PAYROLL!EH$2,ADJ!$2:$2,0)),0)</f>
        <v/>
      </c>
      <c r="EI5">
        <f>IFERROR(INDEX(ADJ!$A$1:$BZ$1000,MATCH(PAYROLL!D5,ADJ!A$1:A$500,0),MATCH(PAYROLL!EI$2,ADJ!$2:$2,0)),0)</f>
        <v/>
      </c>
      <c r="EJ5">
        <f>IFERROR(INDEX(ADJ!$A$1:$BZ$1000,MATCH(PAYROLL!$D5,ADJ!A$1:A$500,0),MATCH(PAYROLL!EJ$2,ADJ!$2:$2,0)),0)</f>
        <v/>
      </c>
      <c r="EK5">
        <f>SUM(DZ5:EJ5)</f>
        <v/>
      </c>
    </row>
    <row r="6">
      <c r="A6" t="n">
        <v>4</v>
      </c>
      <c r="B6" t="inlineStr">
        <is>
          <t>Trịnh Văn Đạt</t>
        </is>
      </c>
      <c r="D6" t="inlineStr">
        <is>
          <t>160699-01</t>
        </is>
      </c>
      <c r="S6">
        <f>IFERROR(INDEX(PIS!$A$1:$BZ$1000,MATCH($D6,PIS!C$1:C$500,0),MATCH("Lương CB tháng trước",PIS!$1:$1,0)),0)</f>
        <v/>
      </c>
      <c r="T6">
        <f>IFERROR(INDEX(PIS!$A$1:$BZ$1000,MATCH($D6,PIS!C$1:C$500,0),MATCH("Lương CB hiện tại",PIS!$1:$1,0)),0)</f>
        <v/>
      </c>
      <c r="U6">
        <f>IFERROR(INDEX(PIS!$A$1:$BZ$1000,MATCH($D6,PIS!C$1:C$500,0),MATCH("Lương đóng BHBB",PIS!$1:$1,0)),0)</f>
        <v/>
      </c>
      <c r="V6">
        <f>IFERROR(INDEX(PIS!$A$1:$BZ$1000,MATCH($D6,PIS!C$1:C$500,0),MATCH(V$2,PIS!$2:$2,0)),0)</f>
        <v/>
      </c>
      <c r="W6">
        <f>IFERROR(INDEX(PIS!$A$1:$BZ$1000,MATCH($D6,PIS!C$1:C$500,0),MATCH(W$2,PIS!$2:$2,0)),0)</f>
        <v/>
      </c>
      <c r="X6">
        <f>IFERROR(INDEX(PIS!$A$1:$BZ$1000,MATCH($D6,PIS!C$1:C$500,0),MATCH(X$2,PIS!$2:$2,0)),0)</f>
        <v/>
      </c>
      <c r="Y6">
        <f>IFERROR(INDEX(PIS!$A$1:$BZ$1000,MATCH($D6,PIS!C$1:C$500,0),MATCH(Y$2,PIS!$2:$2,0)),0)</f>
        <v/>
      </c>
      <c r="Z6">
        <f>IFERROR(INDEX(PIS!$A$1:$BZ$1000,MATCH($D6,PIS!C$1:C$500,0),MATCH(Z$2,PIS!$2:$2,0)),0)</f>
        <v/>
      </c>
      <c r="AA6">
        <f>IFERROR(INDEX(PIS!$A$1:$BZ$1000,MATCH($D6,PIS!C$1:C$500,0),MATCH(AA$2,PIS!$2:$2,0)),0)</f>
        <v/>
      </c>
      <c r="AB6">
        <f>IFERROR(INDEX(PIS!$A$1:$BZ$1000,MATCH($D6,PIS!C$1:C$500,0),MATCH(AB$2,PIS!$2:$2,0)),0)</f>
        <v/>
      </c>
      <c r="AC6">
        <f>SUM(V6:AB6)</f>
        <v/>
      </c>
      <c r="AD6">
        <f>IFERROR(INDEX(TIMESHEET!$A$1:$AI$5000,MATCH($D6,TIMESHEET!A$1:A$500,0),MATCH("T100",TIMESHEET!$2:$2,0)),0)</f>
        <v/>
      </c>
      <c r="AE6">
        <f>IFERROR(INDEX(TIMESHEET!$A$1:$AI$5000,MATCH($D6,TIMESHEET!A$1:A$500,0),MATCH("T202",TIMESHEET!$2:$2,0)),0)</f>
        <v/>
      </c>
      <c r="AF6">
        <f>IFERROR(INDEX(TIMESHEET!$A$1:$AI$5000,MATCH($D6,TIMESHEET!A$1:A$500,0),MATCH("T302",TIMESHEET!$2:$2,0)),0)</f>
        <v/>
      </c>
      <c r="AG6">
        <f>IFERROR(INDEX(TIMESHEET!$A$1:$AI$5000,MATCH($D6,TIMESHEET!A$1:A$500,0),MATCH("T406",TIMESHEET!$2:$2,0)),0)</f>
        <v/>
      </c>
      <c r="AH6">
        <f>IF(SUM(AE6:AG6)&gt;=26,26,SUM(AE6:AG6))</f>
        <v/>
      </c>
      <c r="AI6">
        <f>IFERROR(INDEX(TIMESHEET!$A$1:$AI$5000,MATCH($D6,TIMESHEET!A$1:A$500,0),MATCH("T701",TIMESHEET!$2:$2,0)),0)</f>
        <v/>
      </c>
      <c r="AJ6">
        <f>IFERROR(IF(INDEX(PIS!N$1:N$500,MATCH(D6,PIS!C$1:C$500,0))="LC4",(T6*0.85)/AD6*AH6,ROUND(T6/AD6*AH6,0)),0)</f>
        <v/>
      </c>
      <c r="AK6">
        <f>IFERROR(INDEX(ADJ!$A$1:$BZ$1000,MATCH(PAYROLL!D6,ADJ!A$1:A$500,0),MATCH(PAYROLL!AK$2,ADJ!$2:$2,0)),0)</f>
        <v/>
      </c>
      <c r="AL6">
        <f>SUM(AJ6:AK6)</f>
        <v/>
      </c>
      <c r="AM6">
        <f>IF(AH6&gt;13,V6,ROUND(V6/AD6*AH6,0))</f>
        <v/>
      </c>
      <c r="AN6">
        <f>IF(AD6=0,0,ROUND(W6/AD6*AI6,0))</f>
        <v/>
      </c>
      <c r="AO6">
        <f>ROUND(X6*AH6,0)</f>
        <v/>
      </c>
      <c r="AP6">
        <f>IF(AD6=0,0,ROUND(Y6/AD6*AH6,0))</f>
        <v/>
      </c>
      <c r="AQ6">
        <f>IFERROR(IF((AE6+AF6+AG6)&gt;13,Z6,ROUND(Z6/AD6*AH6,0)),0)</f>
        <v/>
      </c>
      <c r="AR6">
        <f>IF(AD6=0,0,ROUND(AA35/AD6*AH6,0))</f>
        <v/>
      </c>
      <c r="AS6">
        <f>IFERROR(IF((AE6+AF6+AG6)&gt;13,AB6,ROUND(AB6/AD6*AH6,0)),0)</f>
        <v/>
      </c>
      <c r="AT6">
        <f>IFERROR(INDEX(ADJ!$A$1:$BZ$1000,MATCH(PAYROLL!D6,ADJ!A$1:A$500,0),MATCH(PAYROLL!AT$2,ADJ!$2:$2,0)),0)</f>
        <v/>
      </c>
      <c r="AU6">
        <f>ROUND(SUM(AM6:AT6),0)</f>
        <v/>
      </c>
      <c r="AV6">
        <f>IFERROR(INDEX(TIMESHEET!$A$1:$AI$5000,MATCH(PAYROLL!D6,TIMESHEET!A$1:A$500,0),MATCH("T620",TIMESHEET!$2:$2,0)),0)</f>
        <v/>
      </c>
      <c r="AW6">
        <f>IFERROR(INDEX(TIMESHEET!$A$1:$AI$5000,MATCH(PAYROLL!D6,TIMESHEET!A$1:A$500,0),MATCH("T601",TIMESHEET!$2:$2,0)),0)</f>
        <v/>
      </c>
      <c r="AX6">
        <f>IFERROR(INDEX(TIMESHEET!$A$1:$AI$5000,MATCH(PAYROLL!D6,TIMESHEET!A$1:A$500,0),MATCH("T602",TIMESHEET!$2:$2,0)),0)</f>
        <v/>
      </c>
      <c r="AY6">
        <f>IFERROR(INDEX(TIMESHEET!$A$1:$AI$5000,MATCH(PAYROLL!D6,TIMESHEET!A$1:A$500,0),MATCH("T603",TIMESHEET!$2:$2,0)),0)</f>
        <v/>
      </c>
      <c r="AZ6">
        <f>IFERROR(INDEX(TIMESHEET!$A$1:$AI$5000,MATCH(PAYROLL!D6,TIMESHEET!A$1:A$500,0),MATCH("T611",TIMESHEET!$2:$2,0)),0)</f>
        <v/>
      </c>
      <c r="BA6">
        <f>IFERROR(INDEX(TIMESHEET!$A$1:$AI$5000,MATCH(PAYROLL!D6,TIMESHEET!A$1:A$500,0),MATCH("T612",TIMESHEET!$2:$2,0)),0)</f>
        <v/>
      </c>
      <c r="BB6">
        <f>IFERROR(INDEX(TIMESHEET!$A$1:$AI$5000,MATCH(PAYROLL!D6,TIMESHEET!A$1:A$500,0),MATCH("T613",TIMESHEET!$2:$2,0)),0)</f>
        <v/>
      </c>
      <c r="BC6">
        <f>IFERROR(INDEX(TIMESHEET!$A$1:$AI$5000,MATCH(PAYROLL!D6,TIMESHEET!A$1:A$500,0),MATCH("T500",TIMESHEET!$2:$2,0)),0)</f>
        <v/>
      </c>
      <c r="BD6">
        <f>IFERROR((T6+V6)/AD6/8*(AV6+AW6*1.5+AX6*2+AY6*3+AZ6*2.1+BA6*2.7+BB6*3.9+BC6*0.3),0)</f>
        <v/>
      </c>
      <c r="BE6">
        <f>IFERROR(INDEX(ADJ!$A$1:$BZ$1000,MATCH(PAYROLL!$D6,ADJ!A$1:A$500,0),MATCH(PAYROLL!BE$2,ADJ!$2:$2,0)),0)</f>
        <v/>
      </c>
      <c r="BF6">
        <f>IFERROR(INDEX(ADJ!$A$1:$BZ$1000,MATCH(PAYROLL!D6,ADJ!A$1:A$500,0),MATCH(PAYROLL!BF$2,ADJ!$2:$2,0)),0)</f>
        <v/>
      </c>
      <c r="BG6">
        <f>IFERROR(INDEX(ADJ!$A$1:$BZ$1000,MATCH(PAYROLL!D6,ADJ!A$1:A$500,0),MATCH(PAYROLL!BG$2,ADJ!$2:$2,0)),0)</f>
        <v/>
      </c>
      <c r="BH6">
        <f>IFERROR(INDEX(ADJ!$A$1:$BZ$1000,MATCH(PAYROLL!D6,ADJ!A$1:A$500,0),MATCH(PAYROLL!BH$2,ADJ!$2:$2,0)),0)</f>
        <v/>
      </c>
      <c r="BI6">
        <f>IFERROR(INDEX(ADJ!$A$1:$BZ$1000,MATCH(PAYROLL!D6,ADJ!A$1:A$500,0),MATCH(PAYROLL!BI$2,ADJ!$2:$2,0)),0)</f>
        <v/>
      </c>
      <c r="BJ6">
        <f>SUM(BE6:BI6)</f>
        <v/>
      </c>
      <c r="BK6">
        <f>IFERROR(IF(INDEX(PIS!N$1:N$500,MATCH(D6,PIS!C$1:C$500))="LC12",(T6*21.5%)/AD6*AH6,0),0)</f>
        <v/>
      </c>
      <c r="BL6">
        <f>IFERROR(INDEX(ADJ!$A$1:$BZ$1000,MATCH(PAYROLL!D6,ADJ!A$1:A$500,0),MATCH(PAYROLL!BL$2,ADJ!$2:$2,0)),0)</f>
        <v/>
      </c>
      <c r="BM6">
        <f>IFERROR(INDEX(ADJ!$A$1:$BZ$1000,MATCH(PAYROLL!D6,ADJ!A$1:A$500,0),MATCH(PAYROLL!BM$2,ADJ!$2:$2,0)),0)</f>
        <v/>
      </c>
      <c r="BN6">
        <f>IFERROR(INDEX(ADJ!$A$1:$BZ$1000,MATCH(PAYROLL!D6,ADJ!A$1:A$500,0),MATCH(PAYROLL!BN$2,ADJ!$2:$2,0)),0)</f>
        <v/>
      </c>
      <c r="BO6">
        <f>SUM(AL6,AU6,BD6,BJ6,BK6:BN6)</f>
        <v/>
      </c>
      <c r="BP6">
        <f>BN6+AP6</f>
        <v/>
      </c>
      <c r="BQ6">
        <f>IFERROR(ROUND(IF(LEFT(INDEX(PIS!O$1:O$500,MATCH(D6,PIS!C$1:C$500)),1)="D",T6/8*(BC6*0.3),IF(LEFT(INDEX(PIS!O$1:O$500,MATCH(D6,PIS!C$1:C$500)),1)="H",T6*($BC6*0.3),T6/$AD6/8*($BC6*0.3))),0),0)</f>
        <v/>
      </c>
      <c r="BR6">
        <f>IF(AO6&lt;1,0,MIN(AO6,730000))</f>
        <v/>
      </c>
      <c r="BS6">
        <f>IFERROR(ROUND((BD6-SUM(AV6:BB6)*T6/AD6/8),0)-BQ6,0)</f>
        <v/>
      </c>
      <c r="BT6">
        <f>AN6</f>
        <v/>
      </c>
      <c r="BU6">
        <f>SUM(BP6:BT6)</f>
        <v/>
      </c>
      <c r="BV6">
        <f>BO6-BU6</f>
        <v/>
      </c>
      <c r="BW6">
        <f>IFERROR(IF(RIGHT(INDEX(PIS!O$1:O$500,MATCH(D6,PIS!C$1:C$500)),5)="Gross",MIN(U6+V6,VLOOKUP("R700",TSC!B:C,2,0)*VLOOKUP("R101",TSC!B:C,2,0))*VLOOKUP("R701",TSC!B:C,2,0)%,0),0)</f>
        <v/>
      </c>
      <c r="BX6">
        <f>IFERROR(IF(RIGHT(INDEX(PIS!O$1:O$500,MATCH(D6,PIS!C$1:C$500)),5)="Gross",MIN(U6+V6,VLOOKUP("R700",TSC!B:C,2,0)*VLOOKUP("R101",TSC!B:C,2,0))*VLOOKUP("T704",TSC!B:C,2,0)%,0),0)</f>
        <v/>
      </c>
      <c r="BY6">
        <f>IFERROR(IF(RIGHT(INDEX(PIS!O$1:O$500,MATCH(D6,PIS!C$1:C$500)),5)="Gross",MIN(U6+V6,VLOOKUP("R700",TSC!B:C,2,0)*VLOOKUP("1",TSC!F:G,2,0))*VLOOKUP("T705",TSC!B:C,2,0)%,0),0)</f>
        <v/>
      </c>
      <c r="BZ6">
        <f>IFERROR(INDEX(ADJ!$A$1:$BZ$1000,MATCH(PAYROLL!D6,ADJ!A$1:A$500,0),MATCH(PAYROLL!BZ$2,ADJ!$2:$2,0)),0)</f>
        <v/>
      </c>
      <c r="CA6">
        <f>IFERROR(INDEX(ADJ!$A$1:$BZ$1000,MATCH(PAYROLL!D6,ADJ!A$1:A$500,0),MATCH(PAYROLL!CA$2,ADJ!$2:$2,0)),0)</f>
        <v/>
      </c>
      <c r="CB6">
        <f>SUM(BW6:CA6)</f>
        <v/>
      </c>
      <c r="CC6">
        <f>IFERROR(INDEX(PIS!$A$1:$BZ$1000,MATCH(PAYROLL!D6,PIS!C$1:C$500,0),MATCH(PAYROLL!CC$1,PIS!$1:$1,0)),0)</f>
        <v/>
      </c>
      <c r="CD6">
        <f>IFERROR(IF(OR(INDEX(PIS!P$1:P$500,MATCH(D6,PIS!C$1:C$500,0))="LT2",INDEX(PIS!P$1:P$500,MATCH(D6,PIS!C$1:C$500,0))="P10"),0,SUM(CB6,CC6*VLOOKUP("R601",TSC!B:C,2,0),VLOOKUP("R602",TSC!B:C,2,0))),0)</f>
        <v/>
      </c>
      <c r="CE6">
        <f>MAX(BV6-CD6,0)</f>
        <v/>
      </c>
      <c r="CF6">
        <f>IFERROR(IF(OR(RIGHT(INDEX(PIS!P$1:P$500,MATCH(D6,PIS!C$1:C$500)),5)="P10",RIGHT(INDEX(PIS!P$1:P$500,MATCH(D6,PIS!C$1:C$500)),5)="CK"),0,IF(CE6&lt;=5000000,CE6*5%,IF(CE6&lt;=10000000,CE6*10%-250000,IF(CE6&lt;=18000000,CE6*15%-750000,IF(CE6&lt;=32000000,CE6*20%-1650000,IF(CE6&lt;=52000000,CE6*25%-3250000,IF(CE6&lt;=80000000,BG6*30%-5850000,CE6*35%-9850000))))))),0)</f>
        <v/>
      </c>
      <c r="CG6">
        <f>IFERROR(IF(OR(INDEX(PIS!P$1:P$500,MATCH(D6,PIS!C$1:C$500))="LT",INDEX(PIS!P$1:P$500,MATCH(D6,PIS!C$1:C$500))="CK"),0,IF(CE6&lt;2000000,0,CE6*10%)),0)</f>
        <v/>
      </c>
      <c r="CH6">
        <f>IFERROR(INDEX(ADJ!$A$1:$BZ$1000,MATCH(PAYROLL!D6,ADJ!A$1:A$500,0),MATCH(PAYROLL!CH$2,ADJ!$2:$2,0)),0)</f>
        <v/>
      </c>
      <c r="CI6">
        <f>IFERROR(INDEX(ADJ!$A$1:$BZ$1000,MATCH(PAYROLL!D6,ADJ!A$1:A$500,0),MATCH(PAYROLL!CI$2,ADJ!$2:$2,0)),0)</f>
        <v/>
      </c>
      <c r="CJ6">
        <f>IFERROR(INDEX(ADJ!$A$1:$BZ$1000,MATCH(PAYROLL!D6,ADJ!A$1:A$500,0),MATCH(PAYROLL!CJ$2,ADJ!$2:$2,0)),0)</f>
        <v/>
      </c>
      <c r="CK6">
        <f>SUM(CF6:CJ6)</f>
        <v/>
      </c>
      <c r="CL6">
        <f>ROUND(SUM(CG6:CJ6),0)</f>
        <v/>
      </c>
      <c r="CM6">
        <f>IFERROR(INDEX(CSDA!D$1:D$500,MATCH($CM$2,CSDA!C$1:C$500,0))*INDEX(PIS!V$1:V$500,MATCH(D6,PIS!C$1:C$500))+INDEX(ADJ!$A$1:$BZ$1000,MATCH(PAYROLL!D6,ADJ!A$1:A$500,0),MATCH(PAYROLL!CM$2,ADJ!$2:$2,0)),0)</f>
        <v/>
      </c>
      <c r="CN6">
        <f>IFERROR(INDEX(ADJ!$A$1:$BZ$1000,MATCH(PAYROLL!D6,ADJ!A$1:A$500,0),MATCH(PAYROLL!CN$2,ADJ!$2:$2,0)),0)</f>
        <v/>
      </c>
      <c r="CO6">
        <f>IFERROR(INDEX(ADJ!$A$1:$BZ$1000,MATCH(PAYROLL!D6,ADJ!A$1:A$500,0),MATCH(PAYROLL!CO$2,ADJ!$2:$2,0)),0)</f>
        <v/>
      </c>
      <c r="CP6">
        <f>BO6-CK6-CH6-CL6-CM6-CN6-CO6-CB6</f>
        <v/>
      </c>
      <c r="CQ6">
        <f>IFERROR(IF(RIGHT(INDEX(PIS!O$1:O$500,MATCH(D6,PIS!C$1:C$500,0)),5)="Gross",MIN(U6+V6,VLOOKUP("R700",TSC!B:C,2,0)*VLOOKUP("R101",TSC!B:C,2,0))*(VLOOKUP("T711",TSC!B:C,2,0)+VLOOKUP("T712",TSC!B:C,2,0))%,MIN(T6+V6,VLOOKUP("R700",TSC!B:C,2,0)*VLOOKUP("R101",TSC!B:C,2,0))*(VLOOKUP("T711",TSC!B:C,2,0)+VLOOKUP("T712",TSC!B:C,2,0)+VLOOKUP("R701",TSC!B:C,2,0))%),0)</f>
        <v/>
      </c>
      <c r="CR6">
        <f>IFERROR(IF(RIGHT(INDEX(PIS!O$1:O$500,MATCH(D6,PIS!C$1:C$500,0)),5)="Gross",MIN(U6+V6,VLOOKUP("R700",TSC!B:C,2,0)*VLOOKUP("R101",TSC!B:C,2,0))*(VLOOKUP("T714",TSC!B:C,2,0))%,MIN(T6+V6,VLOOKUP("R700",TSC!B:C,2,0)*VLOOKUP("R101",TSC!B:C,2,0))*(VLOOKUP("T704",TSC!B:C,2,0)+VLOOKUP("T714",TSC!B:C,2,0))%),0)</f>
        <v/>
      </c>
      <c r="CS6">
        <f>IFERROR(IF(RIGHT(INDEX(PIS!O$1:O$500,MATCH(D6,PIS!C$1:C$500,0)),5)="Gross",MIN(U6+V6,VLOOKUP("R700",TSC!B:C,2,0)*VLOOKUP("R101",TSC!B:C,2,0))*VLOOKUP("T705",TSC!B:C,2,0)%,MIN(T6+V6,VLOOKUP("R700",TSC!B:C,2,0)*VLOOKUP("R101",TSC!B:C,2,0))*VLOOKUP("T705",TSC!B:C,2,0)%),0)</f>
        <v/>
      </c>
      <c r="CT6">
        <f>IFERROR(IF(RIGHT(INDEX(PIS!O$1:O$500,MATCH(D6,PIS!C$1:C$500,0)),5)="Gross",MIN(U6+V6,VLOOKUP("R700",TSC!B:C,2,0)*VLOOKUP("R101",TSC!B:C,2,0))*(VLOOKUP("T713",TSC!B:C,2,0))%,MIN(T6+V6,VLOOKUP("R700",TSC!B:C,2,0)*VLOOKUP("R101",TSC!B:C,2,0))*(VLOOKUP("T713",TSC!B:C,2,0))%),0)</f>
        <v/>
      </c>
      <c r="CU6">
        <f>IFERROR(INDEX(ADJ!$A$1:$BZ$1000,MATCH(PAYROLL!D6,ADJ!A$1:A$500,0),MATCH(PAYROLL!CU$2,ADJ!$2:$2,0)),0)</f>
        <v/>
      </c>
      <c r="CV6">
        <f>IFERROR(INDEX(ADJ!$A$1:$BZ$1000,MATCH(PAYROLL!D6,ADJ!A$1:A$500,0),MATCH(PAYROLL!CV$2,ADJ!$2:$2,0)),0)</f>
        <v/>
      </c>
      <c r="CW6">
        <f>SUM(CQ6:CV6)</f>
        <v/>
      </c>
      <c r="CX6">
        <f>ROUND(IF(CQ6&gt;0,T6+V6*VLOOKUP("R202",TSC!$B$1:$C$500,2,0),0),0)</f>
        <v/>
      </c>
      <c r="CY6">
        <f>IFERROR(INDEX(CSDA!D$1:D$500,MATCH($CY$2,CSDA!C$1:C$500,0)),0)</f>
        <v/>
      </c>
      <c r="CZ6">
        <f>ROUND(T6*0.7%,0)</f>
        <v/>
      </c>
      <c r="DA6">
        <f>ROUND(T6/12,0)</f>
        <v/>
      </c>
      <c r="DB6">
        <f ref="DB6" t="array">IFERROR(INDEX(CSDA!D$1:D$500,MATCH("Trích giữ"&amp;PAYROLL!DB$2,CSDA!A$1:A$500&amp;CSDA!C$1:C$500,0)),0)</f>
        <v/>
      </c>
      <c r="DC6">
        <f ref="DC6" t="array">IFERROR(INDEX(CSDA!D$1:D$500,MATCH("Trích giữ"&amp;PAYROLL!DC$2,CSDA!A$1:A$500&amp;CSDA!C$1:C$500,0)),0)</f>
        <v/>
      </c>
      <c r="DD6">
        <f ref="DD6" t="array">IFERROR(INDEX(CSDA!D$1:D$500,MATCH("Trích giữ"&amp;PAYROLL!DD$2,CSDA!A$1:A$500&amp;CSDA!C$1:C$500,0)),0)</f>
        <v/>
      </c>
      <c r="DE6">
        <f>IFERROR(INDEX(CSDA!D$1:D$500,MATCH(PAYROLL!DE$2,CSDA!C$1:C$500,0)),0)</f>
        <v/>
      </c>
      <c r="DF6">
        <f ref="DF6" t="array">IFERROR(INDEX(CSDA!D$1:D$500,MATCH("Trích giữ"&amp;PAYROLL!DF$2,CSDA!A$1:A$500&amp;CSDA!C$1:C$500,0)),0)</f>
        <v/>
      </c>
      <c r="DG6">
        <f>ROUND(T6/26,0)</f>
        <v/>
      </c>
      <c r="DH6">
        <f ref="DH6" t="array">IFERROR(INDEX(CSDA!D$1:D$500,MATCH("Trích giữ"&amp;PAYROLL!DH$2,CSDA!A$1:A$500&amp;CSDA!C$1:C$500,0)),0)</f>
        <v/>
      </c>
      <c r="DI6">
        <f>IF(U6=0,T6*21.5%-BK6,0)</f>
        <v/>
      </c>
      <c r="DK6">
        <f ref="DK6" t="array">IFERROR(INDEX(CSDA!D$1:D$500,MATCH("Trích giữ"&amp;PAYROLL!DK$2,CSDA!A$1:A$500&amp;CSDA!C$1:C$500,0)),0)</f>
        <v/>
      </c>
      <c r="DL6">
        <f>IFERROR(INDEX(CSDA!D$1:D$500,MATCH(PAYROLL!DL$2,CSDA!C$1:C$500,0))/12,0)</f>
        <v/>
      </c>
      <c r="DM6">
        <f>SUM(DA6:DL6)</f>
        <v/>
      </c>
      <c r="DN6">
        <f>IFERROR(INDEX(ADJ!$A$1:$BZ$1000,MATCH(PAYROLL!D6,ADJ!A$1:A$500,0),MATCH(PAYROLL!DN$2,ADJ!$2:$2,0)),0)</f>
        <v/>
      </c>
      <c r="DO6">
        <f>IFERROR(SUM(BO6,DM6:DN6,CW6:CZ6)-DT6,0)</f>
        <v/>
      </c>
      <c r="DP6">
        <f ref="DP6" t="array">SUM(BV6*IFERROR(INDEX(CSDA!D$1:D$500,MATCH(BV$2,CSDA!C$1:C$500,0)),0)%,CW6*IFERROR(INDEX(CSDA!D$1:D$500,MATCH(CW$2,CSDA!C$1:C$500,0)),0)%,CZ6*IFERROR(INDEX(CSDA!D$1:D$500,MATCH(CZ$2,CSDA!C$1:C$500,0)),0)%,DA6*IFERROR(INDEX(CSDA!D$1:D$500,MATCH(DA$2,CSDA!C$1:C$500,0)),0)%,DE6*IFERROR(INDEX(CSDA!D$1:D$500,MATCH("Phí dịch vụ"&amp;PAYROLL!DE$2,CSDA!A$1:A$500&amp;CSDA!C$1:C$500,0)),0)%,DB6*IFERROR(INDEX(CSDA!D$1:D$500,MATCH("Phí dịch vụ"&amp;PAYROLL!DB$2,CSDA!A$1:A$500&amp;CSDA!C$1:C$500,0)),0)%,DG6*IFERROR(INDEX(CSDA!D$1:D$500,MATCH("Phí dịch vụ"&amp;PAYROLL!DG$2,CSDA!A$1:A$500&amp;CSDA!C$1:C$500,0)),0)%,DI6*IFERROR(INDEX(CSDA!D$1:D$500,MATCH("Phí dịch vụ"&amp;PAYROLL!DI$2,CSDA!A$1:A$500&amp;CSDA!C$1:C$500,0)),0)%,BM6*IFERROR(INDEX(CSDA!D$1:D$500,MATCH(BM$2,CSDA!C$1:C$500,0)),0)%)-BM6*7%</f>
        <v/>
      </c>
      <c r="DQ6">
        <f>IFERROR(INDEX(ADJ!$A$1:$BZ$1000,MATCH(PAYROLL!D6,ADJ!A$1:A$500,0),MATCH(PAYROLL!DQ$2,ADJ!$2:$2,0)),0)</f>
        <v/>
      </c>
      <c r="DR6">
        <f>IFERROR(INDEX(ADJ!$A$1:$BZ$1000,MATCH(PAYROLL!D6,ADJ!A$1:A$500,0),MATCH(PAYROLL!DR$2,ADJ!$2:$2,0)),0)</f>
        <v/>
      </c>
      <c r="DS6">
        <f>SUM(DP6:DR6)</f>
        <v/>
      </c>
      <c r="DT6">
        <f>EK6</f>
        <v/>
      </c>
      <c r="DU6">
        <f>SUM(DO6:DR6)</f>
        <v/>
      </c>
      <c r="DV6">
        <f>ROUND(DU6*0.1,0)</f>
        <v/>
      </c>
      <c r="DW6">
        <f>DU6+DV6</f>
        <v/>
      </c>
      <c r="DZ6">
        <f>IFERROR(INDEX(ADJ!$A$1:$BZ$1000,MATCH(PAYROLL!$D6,ADJ!A$1:A$500,0),MATCH(PAYROLL!DZ$2,ADJ!$2:$2,0)),0)</f>
        <v/>
      </c>
      <c r="EA6">
        <f>IFERROR(INDEX(ADJ!$A$1:$BZ$1000,MATCH(PAYROLL!$D6,ADJ!A$1:A$500,0),MATCH(PAYROLL!EA$2,ADJ!$2:$2,0)),0)</f>
        <v/>
      </c>
      <c r="EB6">
        <f>IFERROR(INDEX(ADJ!$A$1:$BZ$1000,MATCH(PAYROLL!$D6,ADJ!A$1:A$500,0),MATCH(PAYROLL!EB$2,ADJ!$2:$2,0)),0)</f>
        <v/>
      </c>
      <c r="EC6">
        <f>IFERROR(INDEX(ADJ!$A$1:$BZ$1000,MATCH(PAYROLL!$D6,ADJ!A$1:A$500,0),MATCH(PAYROLL!EC$2,ADJ!$2:$2,0)),0)</f>
        <v/>
      </c>
      <c r="ED6">
        <f>IFERROR(INDEX(ADJ!$A$1:$BZ$1000,MATCH(PAYROLL!$D6,ADJ!A$1:A$500,0),MATCH(PAYROLL!ED$2,ADJ!$2:$2,0)),0)</f>
        <v/>
      </c>
      <c r="EE6">
        <f>IFERROR(INDEX(ADJ!$A$1:$BZ$1000,MATCH(PAYROLL!$D6,ADJ!A$1:A$500,0),MATCH(PAYROLL!EE$2,ADJ!$2:$2,0)),0)</f>
        <v/>
      </c>
      <c r="EF6">
        <f>IFERROR(INDEX(ADJ!$A$1:$BZ$1000,MATCH(PAYROLL!$D6,ADJ!A$1:A$500,0),MATCH(PAYROLL!EF$2,ADJ!$2:$2,0)),0)</f>
        <v/>
      </c>
      <c r="EG6">
        <f>IFERROR(INDEX(ADJ!$A$1:$BZ$1000,MATCH(PAYROLL!$D6,ADJ!A$1:A$500,0),MATCH(PAYROLL!EG$2,ADJ!$2:$2,0)),0)</f>
        <v/>
      </c>
      <c r="EH6">
        <f>IFERROR(INDEX(ADJ!$A$1:$BZ$1000,MATCH(PAYROLL!$D6,ADJ!A$1:A$500,0),MATCH(PAYROLL!EH$2,ADJ!$2:$2,0)),0)</f>
        <v/>
      </c>
      <c r="EI6">
        <f>IFERROR(INDEX(ADJ!$A$1:$BZ$1000,MATCH(PAYROLL!D6,ADJ!A$1:A$500,0),MATCH(PAYROLL!EI$2,ADJ!$2:$2,0)),0)</f>
        <v/>
      </c>
      <c r="EJ6">
        <f>IFERROR(INDEX(ADJ!$A$1:$BZ$1000,MATCH(PAYROLL!$D6,ADJ!A$1:A$500,0),MATCH(PAYROLL!EJ$2,ADJ!$2:$2,0)),0)</f>
        <v/>
      </c>
      <c r="EK6">
        <f>SUM(DZ6:EJ6)</f>
        <v/>
      </c>
    </row>
    <row r="7">
      <c r="A7" t="n">
        <v>5</v>
      </c>
      <c r="B7" t="inlineStr">
        <is>
          <t>Phạm Minh Tuấn</t>
        </is>
      </c>
      <c r="D7" t="inlineStr">
        <is>
          <t>157311-01</t>
        </is>
      </c>
      <c r="S7">
        <f>IFERROR(INDEX(PIS!$A$1:$BZ$1000,MATCH($D7,PIS!C$1:C$500,0),MATCH("Lương CB tháng trước",PIS!$1:$1,0)),0)</f>
        <v/>
      </c>
      <c r="T7">
        <f>IFERROR(INDEX(PIS!$A$1:$BZ$1000,MATCH($D7,PIS!C$1:C$500,0),MATCH("Lương CB hiện tại",PIS!$1:$1,0)),0)</f>
        <v/>
      </c>
      <c r="U7">
        <f>IFERROR(INDEX(PIS!$A$1:$BZ$1000,MATCH($D7,PIS!C$1:C$500,0),MATCH("Lương đóng BHBB",PIS!$1:$1,0)),0)</f>
        <v/>
      </c>
      <c r="V7">
        <f>IFERROR(INDEX(PIS!$A$1:$BZ$1000,MATCH($D7,PIS!C$1:C$500,0),MATCH(V$2,PIS!$2:$2,0)),0)</f>
        <v/>
      </c>
      <c r="W7">
        <f>IFERROR(INDEX(PIS!$A$1:$BZ$1000,MATCH($D7,PIS!C$1:C$500,0),MATCH(W$2,PIS!$2:$2,0)),0)</f>
        <v/>
      </c>
      <c r="X7">
        <f>IFERROR(INDEX(PIS!$A$1:$BZ$1000,MATCH($D7,PIS!C$1:C$500,0),MATCH(X$2,PIS!$2:$2,0)),0)</f>
        <v/>
      </c>
      <c r="Y7">
        <f>IFERROR(INDEX(PIS!$A$1:$BZ$1000,MATCH($D7,PIS!C$1:C$500,0),MATCH(Y$2,PIS!$2:$2,0)),0)</f>
        <v/>
      </c>
      <c r="Z7">
        <f>IFERROR(INDEX(PIS!$A$1:$BZ$1000,MATCH($D7,PIS!C$1:C$500,0),MATCH(Z$2,PIS!$2:$2,0)),0)</f>
        <v/>
      </c>
      <c r="AA7">
        <f>IFERROR(INDEX(PIS!$A$1:$BZ$1000,MATCH($D7,PIS!C$1:C$500,0),MATCH(AA$2,PIS!$2:$2,0)),0)</f>
        <v/>
      </c>
      <c r="AB7">
        <f>IFERROR(INDEX(PIS!$A$1:$BZ$1000,MATCH($D7,PIS!C$1:C$500,0),MATCH(AB$2,PIS!$2:$2,0)),0)</f>
        <v/>
      </c>
      <c r="AC7">
        <f>SUM(V7:AB7)</f>
        <v/>
      </c>
      <c r="AD7">
        <f>IFERROR(INDEX(TIMESHEET!$A$1:$AI$5000,MATCH($D7,TIMESHEET!A$1:A$500,0),MATCH("T100",TIMESHEET!$2:$2,0)),0)</f>
        <v/>
      </c>
      <c r="AE7">
        <f>IFERROR(INDEX(TIMESHEET!$A$1:$AI$5000,MATCH($D7,TIMESHEET!A$1:A$500,0),MATCH("T202",TIMESHEET!$2:$2,0)),0)</f>
        <v/>
      </c>
      <c r="AF7">
        <f>IFERROR(INDEX(TIMESHEET!$A$1:$AI$5000,MATCH($D7,TIMESHEET!A$1:A$500,0),MATCH("T302",TIMESHEET!$2:$2,0)),0)</f>
        <v/>
      </c>
      <c r="AG7">
        <f>IFERROR(INDEX(TIMESHEET!$A$1:$AI$5000,MATCH($D7,TIMESHEET!A$1:A$500,0),MATCH("T406",TIMESHEET!$2:$2,0)),0)</f>
        <v/>
      </c>
      <c r="AH7">
        <f>IF(SUM(AE7:AG7)&gt;=26,26,SUM(AE7:AG7))</f>
        <v/>
      </c>
      <c r="AI7">
        <f>IFERROR(INDEX(TIMESHEET!$A$1:$AI$5000,MATCH($D7,TIMESHEET!A$1:A$500,0),MATCH("T701",TIMESHEET!$2:$2,0)),0)</f>
        <v/>
      </c>
      <c r="AJ7">
        <f>IFERROR(IF(INDEX(PIS!N$1:N$500,MATCH(D7,PIS!C$1:C$500,0))="LC4",(T7*0.85)/AD7*AH7,ROUND(T7/AD7*AH7,0)),0)</f>
        <v/>
      </c>
      <c r="AK7">
        <f>IFERROR(INDEX(ADJ!$A$1:$BZ$1000,MATCH(PAYROLL!D7,ADJ!A$1:A$500,0),MATCH(PAYROLL!AK$2,ADJ!$2:$2,0)),0)</f>
        <v/>
      </c>
      <c r="AL7">
        <f>SUM(AJ7:AK7)</f>
        <v/>
      </c>
      <c r="AM7">
        <f>IF(AH7&gt;13,V7,ROUND(V7/AD7*AH7,0))</f>
        <v/>
      </c>
      <c r="AN7">
        <f>IF(AD7=0,0,ROUND(W7/AD7*AI7,0))</f>
        <v/>
      </c>
      <c r="AO7">
        <f>ROUND(X7*AH7,0)</f>
        <v/>
      </c>
      <c r="AP7">
        <f>IF(AD7=0,0,ROUND(Y7/AD7*AH7,0))</f>
        <v/>
      </c>
      <c r="AQ7">
        <f>IFERROR(IF((AE7+AF7+AG7)&gt;13,Z7,ROUND(Z7/AD7*AH7,0)),0)</f>
        <v/>
      </c>
      <c r="AR7">
        <f>IF(AD7=0,0,ROUND(AA36/AD7*AH7,0))</f>
        <v/>
      </c>
      <c r="AS7">
        <f>IFERROR(IF((AE7+AF7+AG7)&gt;13,AB7,ROUND(AB7/AD7*AH7,0)),0)</f>
        <v/>
      </c>
      <c r="AT7">
        <f>IFERROR(INDEX(ADJ!$A$1:$BZ$1000,MATCH(PAYROLL!D7,ADJ!A$1:A$500,0),MATCH(PAYROLL!AT$2,ADJ!$2:$2,0)),0)</f>
        <v/>
      </c>
      <c r="AU7">
        <f>ROUND(SUM(AM7:AT7),0)</f>
        <v/>
      </c>
      <c r="AV7">
        <f>IFERROR(INDEX(TIMESHEET!$A$1:$AI$5000,MATCH(PAYROLL!D7,TIMESHEET!A$1:A$500,0),MATCH("T620",TIMESHEET!$2:$2,0)),0)</f>
        <v/>
      </c>
      <c r="AW7">
        <f>IFERROR(INDEX(TIMESHEET!$A$1:$AI$5000,MATCH(PAYROLL!D7,TIMESHEET!A$1:A$500,0),MATCH("T601",TIMESHEET!$2:$2,0)),0)</f>
        <v/>
      </c>
      <c r="AX7">
        <f>IFERROR(INDEX(TIMESHEET!$A$1:$AI$5000,MATCH(PAYROLL!D7,TIMESHEET!A$1:A$500,0),MATCH("T602",TIMESHEET!$2:$2,0)),0)</f>
        <v/>
      </c>
      <c r="AY7">
        <f>IFERROR(INDEX(TIMESHEET!$A$1:$AI$5000,MATCH(PAYROLL!D7,TIMESHEET!A$1:A$500,0),MATCH("T603",TIMESHEET!$2:$2,0)),0)</f>
        <v/>
      </c>
      <c r="AZ7">
        <f>IFERROR(INDEX(TIMESHEET!$A$1:$AI$5000,MATCH(PAYROLL!D7,TIMESHEET!A$1:A$500,0),MATCH("T611",TIMESHEET!$2:$2,0)),0)</f>
        <v/>
      </c>
      <c r="BA7">
        <f>IFERROR(INDEX(TIMESHEET!$A$1:$AI$5000,MATCH(PAYROLL!D7,TIMESHEET!A$1:A$500,0),MATCH("T612",TIMESHEET!$2:$2,0)),0)</f>
        <v/>
      </c>
      <c r="BB7">
        <f>IFERROR(INDEX(TIMESHEET!$A$1:$AI$5000,MATCH(PAYROLL!D7,TIMESHEET!A$1:A$500,0),MATCH("T613",TIMESHEET!$2:$2,0)),0)</f>
        <v/>
      </c>
      <c r="BC7">
        <f>IFERROR(INDEX(TIMESHEET!$A$1:$AI$5000,MATCH(PAYROLL!D7,TIMESHEET!A$1:A$500,0),MATCH("T500",TIMESHEET!$2:$2,0)),0)</f>
        <v/>
      </c>
      <c r="BD7">
        <f>IFERROR((T7+V7)/AD7/8*(AV7+AW7*1.5+AX7*2+AY7*3+AZ7*2.1+BA7*2.7+BB7*3.9+BC7*0.3),0)</f>
        <v/>
      </c>
      <c r="BE7">
        <f>IFERROR(INDEX(ADJ!$A$1:$BZ$1000,MATCH(PAYROLL!$D7,ADJ!A$1:A$500,0),MATCH(PAYROLL!BE$2,ADJ!$2:$2,0)),0)</f>
        <v/>
      </c>
      <c r="BF7">
        <f>IFERROR(INDEX(ADJ!$A$1:$BZ$1000,MATCH(PAYROLL!D7,ADJ!A$1:A$500,0),MATCH(PAYROLL!BF$2,ADJ!$2:$2,0)),0)</f>
        <v/>
      </c>
      <c r="BG7">
        <f>IFERROR(INDEX(ADJ!$A$1:$BZ$1000,MATCH(PAYROLL!D7,ADJ!A$1:A$500,0),MATCH(PAYROLL!BG$2,ADJ!$2:$2,0)),0)</f>
        <v/>
      </c>
      <c r="BH7">
        <f>IFERROR(INDEX(ADJ!$A$1:$BZ$1000,MATCH(PAYROLL!D7,ADJ!A$1:A$500,0),MATCH(PAYROLL!BH$2,ADJ!$2:$2,0)),0)</f>
        <v/>
      </c>
      <c r="BI7">
        <f>IFERROR(INDEX(ADJ!$A$1:$BZ$1000,MATCH(PAYROLL!D7,ADJ!A$1:A$500,0),MATCH(PAYROLL!BI$2,ADJ!$2:$2,0)),0)</f>
        <v/>
      </c>
      <c r="BJ7">
        <f>SUM(BE7:BI7)</f>
        <v/>
      </c>
      <c r="BK7">
        <f>IFERROR(IF(INDEX(PIS!N$1:N$500,MATCH(D7,PIS!C$1:C$500))="LC12",(T7*21.5%)/AD7*AH7,0),0)</f>
        <v/>
      </c>
      <c r="BL7">
        <f>IFERROR(INDEX(ADJ!$A$1:$BZ$1000,MATCH(PAYROLL!D7,ADJ!A$1:A$500,0),MATCH(PAYROLL!BL$2,ADJ!$2:$2,0)),0)</f>
        <v/>
      </c>
      <c r="BM7">
        <f>IFERROR(INDEX(ADJ!$A$1:$BZ$1000,MATCH(PAYROLL!D7,ADJ!A$1:A$500,0),MATCH(PAYROLL!BM$2,ADJ!$2:$2,0)),0)</f>
        <v/>
      </c>
      <c r="BN7">
        <f>IFERROR(INDEX(ADJ!$A$1:$BZ$1000,MATCH(PAYROLL!D7,ADJ!A$1:A$500,0),MATCH(PAYROLL!BN$2,ADJ!$2:$2,0)),0)</f>
        <v/>
      </c>
      <c r="BO7">
        <f>SUM(AL7,AU7,BD7,BJ7,BK7:BN7)</f>
        <v/>
      </c>
      <c r="BP7">
        <f>BN7+AP7</f>
        <v/>
      </c>
      <c r="BQ7">
        <f>IFERROR(ROUND(IF(LEFT(INDEX(PIS!O$1:O$500,MATCH(D7,PIS!C$1:C$500)),1)="D",T7/8*(BC7*0.3),IF(LEFT(INDEX(PIS!O$1:O$500,MATCH(D7,PIS!C$1:C$500)),1)="H",T7*($BC7*0.3),T7/$AD7/8*($BC7*0.3))),0),0)</f>
        <v/>
      </c>
      <c r="BR7">
        <f>IF(AO7&lt;1,0,MIN(AO7,730000))</f>
        <v/>
      </c>
      <c r="BS7">
        <f>IFERROR(ROUND((BD7-SUM(AV7:BB7)*T7/AD7/8),0)-BQ7,0)</f>
        <v/>
      </c>
      <c r="BT7">
        <f>AN7</f>
        <v/>
      </c>
      <c r="BU7">
        <f>SUM(BP7:BT7)</f>
        <v/>
      </c>
      <c r="BV7">
        <f>BO7-BU7</f>
        <v/>
      </c>
      <c r="BW7">
        <f>IFERROR(IF(RIGHT(INDEX(PIS!O$1:O$500,MATCH(D7,PIS!C$1:C$500)),5)="Gross",MIN(U7+V7,VLOOKUP("R700",TSC!B:C,2,0)*VLOOKUP("R101",TSC!B:C,2,0))*VLOOKUP("R701",TSC!B:C,2,0)%,0),0)</f>
        <v/>
      </c>
      <c r="BX7">
        <f>IFERROR(IF(RIGHT(INDEX(PIS!O$1:O$500,MATCH(D7,PIS!C$1:C$500)),5)="Gross",MIN(U7+V7,VLOOKUP("R700",TSC!B:C,2,0)*VLOOKUP("R101",TSC!B:C,2,0))*VLOOKUP("T704",TSC!B:C,2,0)%,0),0)</f>
        <v/>
      </c>
      <c r="BY7">
        <f>IFERROR(IF(RIGHT(INDEX(PIS!O$1:O$500,MATCH(D7,PIS!C$1:C$500)),5)="Gross",MIN(U7+V7,VLOOKUP("R700",TSC!B:C,2,0)*VLOOKUP("1",TSC!F:G,2,0))*VLOOKUP("T705",TSC!B:C,2,0)%,0),0)</f>
        <v/>
      </c>
      <c r="BZ7">
        <f>IFERROR(INDEX(ADJ!$A$1:$BZ$1000,MATCH(PAYROLL!D7,ADJ!A$1:A$500,0),MATCH(PAYROLL!BZ$2,ADJ!$2:$2,0)),0)</f>
        <v/>
      </c>
      <c r="CA7">
        <f>IFERROR(INDEX(ADJ!$A$1:$BZ$1000,MATCH(PAYROLL!D7,ADJ!A$1:A$500,0),MATCH(PAYROLL!CA$2,ADJ!$2:$2,0)),0)</f>
        <v/>
      </c>
      <c r="CB7">
        <f>SUM(BW7:CA7)</f>
        <v/>
      </c>
      <c r="CC7">
        <f>IFERROR(INDEX(PIS!$A$1:$BZ$1000,MATCH(PAYROLL!D7,PIS!C$1:C$500,0),MATCH(PAYROLL!CC$1,PIS!$1:$1,0)),0)</f>
        <v/>
      </c>
      <c r="CD7">
        <f>IFERROR(IF(OR(INDEX(PIS!P$1:P$500,MATCH(D7,PIS!C$1:C$500,0))="LT2",INDEX(PIS!P$1:P$500,MATCH(D7,PIS!C$1:C$500,0))="P10"),0,SUM(CB7,CC7*VLOOKUP("R601",TSC!B:C,2,0),VLOOKUP("R602",TSC!B:C,2,0))),0)</f>
        <v/>
      </c>
      <c r="CE7">
        <f>MAX(BV7-CD7,0)</f>
        <v/>
      </c>
      <c r="CF7">
        <f>IFERROR(IF(OR(RIGHT(INDEX(PIS!P$1:P$500,MATCH(D7,PIS!C$1:C$500)),5)="P10",RIGHT(INDEX(PIS!P$1:P$500,MATCH(D7,PIS!C$1:C$500)),5)="CK"),0,IF(CE7&lt;=5000000,CE7*5%,IF(CE7&lt;=10000000,CE7*10%-250000,IF(CE7&lt;=18000000,CE7*15%-750000,IF(CE7&lt;=32000000,CE7*20%-1650000,IF(CE7&lt;=52000000,CE7*25%-3250000,IF(CE7&lt;=80000000,BG7*30%-5850000,CE7*35%-9850000))))))),0)</f>
        <v/>
      </c>
      <c r="CG7">
        <f>IFERROR(IF(OR(INDEX(PIS!P$1:P$500,MATCH(D7,PIS!C$1:C$500))="LT",INDEX(PIS!P$1:P$500,MATCH(D7,PIS!C$1:C$500))="CK"),0,IF(CE7&lt;2000000,0,CE7*10%)),0)</f>
        <v/>
      </c>
      <c r="CH7">
        <f>IFERROR(INDEX(ADJ!$A$1:$BZ$1000,MATCH(PAYROLL!D7,ADJ!A$1:A$500,0),MATCH(PAYROLL!CH$2,ADJ!$2:$2,0)),0)</f>
        <v/>
      </c>
      <c r="CI7">
        <f>IFERROR(INDEX(ADJ!$A$1:$BZ$1000,MATCH(PAYROLL!D7,ADJ!A$1:A$500,0),MATCH(PAYROLL!CI$2,ADJ!$2:$2,0)),0)</f>
        <v/>
      </c>
      <c r="CJ7">
        <f>IFERROR(INDEX(ADJ!$A$1:$BZ$1000,MATCH(PAYROLL!D7,ADJ!A$1:A$500,0),MATCH(PAYROLL!CJ$2,ADJ!$2:$2,0)),0)</f>
        <v/>
      </c>
      <c r="CK7">
        <f>SUM(CF7:CJ7)</f>
        <v/>
      </c>
      <c r="CL7">
        <f>ROUND(SUM(CG7:CJ7),0)</f>
        <v/>
      </c>
      <c r="CM7">
        <f>IFERROR(INDEX(CSDA!D$1:D$500,MATCH($CM$2,CSDA!C$1:C$500,0))*INDEX(PIS!V$1:V$500,MATCH(D7,PIS!C$1:C$500))+INDEX(ADJ!$A$1:$BZ$1000,MATCH(PAYROLL!D7,ADJ!A$1:A$500,0),MATCH(PAYROLL!CM$2,ADJ!$2:$2,0)),0)</f>
        <v/>
      </c>
      <c r="CN7">
        <f>IFERROR(INDEX(ADJ!$A$1:$BZ$1000,MATCH(PAYROLL!D7,ADJ!A$1:A$500,0),MATCH(PAYROLL!CN$2,ADJ!$2:$2,0)),0)</f>
        <v/>
      </c>
      <c r="CO7">
        <f>IFERROR(INDEX(ADJ!$A$1:$BZ$1000,MATCH(PAYROLL!D7,ADJ!A$1:A$500,0),MATCH(PAYROLL!CO$2,ADJ!$2:$2,0)),0)</f>
        <v/>
      </c>
      <c r="CP7">
        <f>BO7-CK7-CH7-CL7-CM7-CN7-CO7-CB7</f>
        <v/>
      </c>
      <c r="CQ7">
        <f>IFERROR(IF(RIGHT(INDEX(PIS!O$1:O$500,MATCH(D7,PIS!C$1:C$500,0)),5)="Gross",MIN(U7+V7,VLOOKUP("R700",TSC!B:C,2,0)*VLOOKUP("R101",TSC!B:C,2,0))*(VLOOKUP("T711",TSC!B:C,2,0)+VLOOKUP("T712",TSC!B:C,2,0))%,MIN(T7+V7,VLOOKUP("R700",TSC!B:C,2,0)*VLOOKUP("R101",TSC!B:C,2,0))*(VLOOKUP("T711",TSC!B:C,2,0)+VLOOKUP("T712",TSC!B:C,2,0)+VLOOKUP("R701",TSC!B:C,2,0))%),0)</f>
        <v/>
      </c>
      <c r="CR7">
        <f>IFERROR(IF(RIGHT(INDEX(PIS!O$1:O$500,MATCH(D7,PIS!C$1:C$500,0)),5)="Gross",MIN(U7+V7,VLOOKUP("R700",TSC!B:C,2,0)*VLOOKUP("R101",TSC!B:C,2,0))*(VLOOKUP("T714",TSC!B:C,2,0))%,MIN(T7+V7,VLOOKUP("R700",TSC!B:C,2,0)*VLOOKUP("R101",TSC!B:C,2,0))*(VLOOKUP("T704",TSC!B:C,2,0)+VLOOKUP("T714",TSC!B:C,2,0))%),0)</f>
        <v/>
      </c>
      <c r="CS7">
        <f>IFERROR(IF(RIGHT(INDEX(PIS!O$1:O$500,MATCH(D7,PIS!C$1:C$500,0)),5)="Gross",MIN(U7+V7,VLOOKUP("R700",TSC!B:C,2,0)*VLOOKUP("R101",TSC!B:C,2,0))*VLOOKUP("T705",TSC!B:C,2,0)%,MIN(T7+V7,VLOOKUP("R700",TSC!B:C,2,0)*VLOOKUP("R101",TSC!B:C,2,0))*VLOOKUP("T705",TSC!B:C,2,0)%),0)</f>
        <v/>
      </c>
      <c r="CT7">
        <f>IFERROR(IF(RIGHT(INDEX(PIS!O$1:O$500,MATCH(D7,PIS!C$1:C$500,0)),5)="Gross",MIN(U7+V7,VLOOKUP("R700",TSC!B:C,2,0)*VLOOKUP("R101",TSC!B:C,2,0))*(VLOOKUP("T713",TSC!B:C,2,0))%,MIN(T7+V7,VLOOKUP("R700",TSC!B:C,2,0)*VLOOKUP("R101",TSC!B:C,2,0))*(VLOOKUP("T713",TSC!B:C,2,0))%),0)</f>
        <v/>
      </c>
      <c r="CU7">
        <f>IFERROR(INDEX(ADJ!$A$1:$BZ$1000,MATCH(PAYROLL!D7,ADJ!A$1:A$500,0),MATCH(PAYROLL!CU$2,ADJ!$2:$2,0)),0)</f>
        <v/>
      </c>
      <c r="CV7">
        <f>IFERROR(INDEX(ADJ!$A$1:$BZ$1000,MATCH(PAYROLL!D7,ADJ!A$1:A$500,0),MATCH(PAYROLL!CV$2,ADJ!$2:$2,0)),0)</f>
        <v/>
      </c>
      <c r="CW7">
        <f>SUM(CQ7:CV7)</f>
        <v/>
      </c>
      <c r="CX7">
        <f>ROUND(IF(CQ7&gt;0,T7+V7*VLOOKUP("R202",TSC!$B$1:$C$500,2,0),0),0)</f>
        <v/>
      </c>
      <c r="CY7">
        <f>IFERROR(INDEX(CSDA!D$1:D$500,MATCH($CY$2,CSDA!C$1:C$500,0)),0)</f>
        <v/>
      </c>
      <c r="CZ7">
        <f>ROUND(T7*0.7%,0)</f>
        <v/>
      </c>
      <c r="DA7">
        <f>ROUND(T7/12,0)</f>
        <v/>
      </c>
      <c r="DB7">
        <f ref="DB7" t="array">IFERROR(INDEX(CSDA!D$1:D$500,MATCH("Trích giữ"&amp;PAYROLL!DB$2,CSDA!A$1:A$500&amp;CSDA!C$1:C$500,0)),0)</f>
        <v/>
      </c>
      <c r="DC7">
        <f ref="DC7" t="array">IFERROR(INDEX(CSDA!D$1:D$500,MATCH("Trích giữ"&amp;PAYROLL!DC$2,CSDA!A$1:A$500&amp;CSDA!C$1:C$500,0)),0)</f>
        <v/>
      </c>
      <c r="DD7">
        <f ref="DD7" t="array">IFERROR(INDEX(CSDA!D$1:D$500,MATCH("Trích giữ"&amp;PAYROLL!DD$2,CSDA!A$1:A$500&amp;CSDA!C$1:C$500,0)),0)</f>
        <v/>
      </c>
      <c r="DE7">
        <f>IFERROR(INDEX(CSDA!D$1:D$500,MATCH(PAYROLL!DE$2,CSDA!C$1:C$500,0)),0)</f>
        <v/>
      </c>
      <c r="DF7">
        <f ref="DF7" t="array">IFERROR(INDEX(CSDA!D$1:D$500,MATCH("Trích giữ"&amp;PAYROLL!DF$2,CSDA!A$1:A$500&amp;CSDA!C$1:C$500,0)),0)</f>
        <v/>
      </c>
      <c r="DG7">
        <f>ROUND(T7/26,0)</f>
        <v/>
      </c>
      <c r="DH7">
        <f ref="DH7" t="array">IFERROR(INDEX(CSDA!D$1:D$500,MATCH("Trích giữ"&amp;PAYROLL!DH$2,CSDA!A$1:A$500&amp;CSDA!C$1:C$500,0)),0)</f>
        <v/>
      </c>
      <c r="DI7">
        <f>IF(U7=0,T7*21.5%-BK7,0)</f>
        <v/>
      </c>
      <c r="DK7">
        <f ref="DK7" t="array">IFERROR(INDEX(CSDA!D$1:D$500,MATCH("Trích giữ"&amp;PAYROLL!DK$2,CSDA!A$1:A$500&amp;CSDA!C$1:C$500,0)),0)</f>
        <v/>
      </c>
      <c r="DL7">
        <f>IFERROR(INDEX(CSDA!D$1:D$500,MATCH(PAYROLL!DL$2,CSDA!C$1:C$500,0))/12,0)</f>
        <v/>
      </c>
      <c r="DM7">
        <f>SUM(DA7:DL7)</f>
        <v/>
      </c>
      <c r="DN7">
        <f>IFERROR(INDEX(ADJ!$A$1:$BZ$1000,MATCH(PAYROLL!D7,ADJ!A$1:A$500,0),MATCH(PAYROLL!DN$2,ADJ!$2:$2,0)),0)</f>
        <v/>
      </c>
      <c r="DO7">
        <f>IFERROR(SUM(BO7,DM7:DN7,CW7:CZ7)-DT7,0)</f>
        <v/>
      </c>
      <c r="DP7">
        <f ref="DP7" t="array">SUM(BV7*IFERROR(INDEX(CSDA!D$1:D$500,MATCH(BV$2,CSDA!C$1:C$500,0)),0)%,CW7*IFERROR(INDEX(CSDA!D$1:D$500,MATCH(CW$2,CSDA!C$1:C$500,0)),0)%,CZ7*IFERROR(INDEX(CSDA!D$1:D$500,MATCH(CZ$2,CSDA!C$1:C$500,0)),0)%,DA7*IFERROR(INDEX(CSDA!D$1:D$500,MATCH(DA$2,CSDA!C$1:C$500,0)),0)%,DE7*IFERROR(INDEX(CSDA!D$1:D$500,MATCH("Phí dịch vụ"&amp;PAYROLL!DE$2,CSDA!A$1:A$500&amp;CSDA!C$1:C$500,0)),0)%,DB7*IFERROR(INDEX(CSDA!D$1:D$500,MATCH("Phí dịch vụ"&amp;PAYROLL!DB$2,CSDA!A$1:A$500&amp;CSDA!C$1:C$500,0)),0)%,DG7*IFERROR(INDEX(CSDA!D$1:D$500,MATCH("Phí dịch vụ"&amp;PAYROLL!DG$2,CSDA!A$1:A$500&amp;CSDA!C$1:C$500,0)),0)%,DI7*IFERROR(INDEX(CSDA!D$1:D$500,MATCH("Phí dịch vụ"&amp;PAYROLL!DI$2,CSDA!A$1:A$500&amp;CSDA!C$1:C$500,0)),0)%,BM7*IFERROR(INDEX(CSDA!D$1:D$500,MATCH(BM$2,CSDA!C$1:C$500,0)),0)%)-BM7*7%</f>
        <v/>
      </c>
      <c r="DQ7">
        <f>IFERROR(INDEX(ADJ!$A$1:$BZ$1000,MATCH(PAYROLL!D7,ADJ!A$1:A$500,0),MATCH(PAYROLL!DQ$2,ADJ!$2:$2,0)),0)</f>
        <v/>
      </c>
      <c r="DR7">
        <f>IFERROR(INDEX(ADJ!$A$1:$BZ$1000,MATCH(PAYROLL!D7,ADJ!A$1:A$500,0),MATCH(PAYROLL!DR$2,ADJ!$2:$2,0)),0)</f>
        <v/>
      </c>
      <c r="DS7">
        <f>SUM(DP7:DR7)</f>
        <v/>
      </c>
      <c r="DT7">
        <f>EK7</f>
        <v/>
      </c>
      <c r="DU7">
        <f>SUM(DO7:DR7)</f>
        <v/>
      </c>
      <c r="DV7">
        <f>ROUND(DU7*0.1,0)</f>
        <v/>
      </c>
      <c r="DW7">
        <f>DU7+DV7</f>
        <v/>
      </c>
      <c r="DZ7">
        <f>IFERROR(INDEX(ADJ!$A$1:$BZ$1000,MATCH(PAYROLL!$D7,ADJ!A$1:A$500,0),MATCH(PAYROLL!DZ$2,ADJ!$2:$2,0)),0)</f>
        <v/>
      </c>
      <c r="EA7">
        <f>IFERROR(INDEX(ADJ!$A$1:$BZ$1000,MATCH(PAYROLL!$D7,ADJ!A$1:A$500,0),MATCH(PAYROLL!EA$2,ADJ!$2:$2,0)),0)</f>
        <v/>
      </c>
      <c r="EB7">
        <f>IFERROR(INDEX(ADJ!$A$1:$BZ$1000,MATCH(PAYROLL!$D7,ADJ!A$1:A$500,0),MATCH(PAYROLL!EB$2,ADJ!$2:$2,0)),0)</f>
        <v/>
      </c>
      <c r="EC7">
        <f>IFERROR(INDEX(ADJ!$A$1:$BZ$1000,MATCH(PAYROLL!$D7,ADJ!A$1:A$500,0),MATCH(PAYROLL!EC$2,ADJ!$2:$2,0)),0)</f>
        <v/>
      </c>
      <c r="ED7">
        <f>IFERROR(INDEX(ADJ!$A$1:$BZ$1000,MATCH(PAYROLL!$D7,ADJ!A$1:A$500,0),MATCH(PAYROLL!ED$2,ADJ!$2:$2,0)),0)</f>
        <v/>
      </c>
      <c r="EE7">
        <f>IFERROR(INDEX(ADJ!$A$1:$BZ$1000,MATCH(PAYROLL!$D7,ADJ!A$1:A$500,0),MATCH(PAYROLL!EE$2,ADJ!$2:$2,0)),0)</f>
        <v/>
      </c>
      <c r="EF7">
        <f>IFERROR(INDEX(ADJ!$A$1:$BZ$1000,MATCH(PAYROLL!$D7,ADJ!A$1:A$500,0),MATCH(PAYROLL!EF$2,ADJ!$2:$2,0)),0)</f>
        <v/>
      </c>
      <c r="EG7">
        <f>IFERROR(INDEX(ADJ!$A$1:$BZ$1000,MATCH(PAYROLL!$D7,ADJ!A$1:A$500,0),MATCH(PAYROLL!EG$2,ADJ!$2:$2,0)),0)</f>
        <v/>
      </c>
      <c r="EH7">
        <f>IFERROR(INDEX(ADJ!$A$1:$BZ$1000,MATCH(PAYROLL!$D7,ADJ!A$1:A$500,0),MATCH(PAYROLL!EH$2,ADJ!$2:$2,0)),0)</f>
        <v/>
      </c>
      <c r="EI7">
        <f>IFERROR(INDEX(ADJ!$A$1:$BZ$1000,MATCH(PAYROLL!D7,ADJ!A$1:A$500,0),MATCH(PAYROLL!EI$2,ADJ!$2:$2,0)),0)</f>
        <v/>
      </c>
      <c r="EJ7">
        <f>IFERROR(INDEX(ADJ!$A$1:$BZ$1000,MATCH(PAYROLL!$D7,ADJ!A$1:A$500,0),MATCH(PAYROLL!EJ$2,ADJ!$2:$2,0)),0)</f>
        <v/>
      </c>
      <c r="EK7">
        <f>SUM(DZ7:EJ7)</f>
        <v/>
      </c>
    </row>
    <row r="8">
      <c r="A8" t="n">
        <v>6</v>
      </c>
      <c r="B8" t="inlineStr">
        <is>
          <t>Trần Việt Hoàng</t>
        </is>
      </c>
      <c r="D8" t="inlineStr">
        <is>
          <t>159808-01</t>
        </is>
      </c>
      <c r="S8">
        <f>IFERROR(INDEX(PIS!$A$1:$BZ$1000,MATCH($D8,PIS!C$1:C$500,0),MATCH("Lương CB tháng trước",PIS!$1:$1,0)),0)</f>
        <v/>
      </c>
      <c r="T8">
        <f>IFERROR(INDEX(PIS!$A$1:$BZ$1000,MATCH($D8,PIS!C$1:C$500,0),MATCH("Lương CB hiện tại",PIS!$1:$1,0)),0)</f>
        <v/>
      </c>
      <c r="U8">
        <f>IFERROR(INDEX(PIS!$A$1:$BZ$1000,MATCH($D8,PIS!C$1:C$500,0),MATCH("Lương đóng BHBB",PIS!$1:$1,0)),0)</f>
        <v/>
      </c>
      <c r="V8">
        <f>IFERROR(INDEX(PIS!$A$1:$BZ$1000,MATCH($D8,PIS!C$1:C$500,0),MATCH(V$2,PIS!$2:$2,0)),0)</f>
        <v/>
      </c>
      <c r="W8">
        <f>IFERROR(INDEX(PIS!$A$1:$BZ$1000,MATCH($D8,PIS!C$1:C$500,0),MATCH(W$2,PIS!$2:$2,0)),0)</f>
        <v/>
      </c>
      <c r="X8">
        <f>IFERROR(INDEX(PIS!$A$1:$BZ$1000,MATCH($D8,PIS!C$1:C$500,0),MATCH(X$2,PIS!$2:$2,0)),0)</f>
        <v/>
      </c>
      <c r="Y8">
        <f>IFERROR(INDEX(PIS!$A$1:$BZ$1000,MATCH($D8,PIS!C$1:C$500,0),MATCH(Y$2,PIS!$2:$2,0)),0)</f>
        <v/>
      </c>
      <c r="Z8">
        <f>IFERROR(INDEX(PIS!$A$1:$BZ$1000,MATCH($D8,PIS!C$1:C$500,0),MATCH(Z$2,PIS!$2:$2,0)),0)</f>
        <v/>
      </c>
      <c r="AA8">
        <f>IFERROR(INDEX(PIS!$A$1:$BZ$1000,MATCH($D8,PIS!C$1:C$500,0),MATCH(AA$2,PIS!$2:$2,0)),0)</f>
        <v/>
      </c>
      <c r="AB8">
        <f>IFERROR(INDEX(PIS!$A$1:$BZ$1000,MATCH($D8,PIS!C$1:C$500,0),MATCH(AB$2,PIS!$2:$2,0)),0)</f>
        <v/>
      </c>
      <c r="AC8">
        <f>SUM(V8:AB8)</f>
        <v/>
      </c>
      <c r="AD8">
        <f>IFERROR(INDEX(TIMESHEET!$A$1:$AI$5000,MATCH($D8,TIMESHEET!A$1:A$500,0),MATCH("T100",TIMESHEET!$2:$2,0)),0)</f>
        <v/>
      </c>
      <c r="AE8">
        <f>IFERROR(INDEX(TIMESHEET!$A$1:$AI$5000,MATCH($D8,TIMESHEET!A$1:A$500,0),MATCH("T202",TIMESHEET!$2:$2,0)),0)</f>
        <v/>
      </c>
      <c r="AF8">
        <f>IFERROR(INDEX(TIMESHEET!$A$1:$AI$5000,MATCH($D8,TIMESHEET!A$1:A$500,0),MATCH("T302",TIMESHEET!$2:$2,0)),0)</f>
        <v/>
      </c>
      <c r="AG8">
        <f>IFERROR(INDEX(TIMESHEET!$A$1:$AI$5000,MATCH($D8,TIMESHEET!A$1:A$500,0),MATCH("T406",TIMESHEET!$2:$2,0)),0)</f>
        <v/>
      </c>
      <c r="AH8">
        <f>IF(SUM(AE8:AG8)&gt;=26,26,SUM(AE8:AG8))</f>
        <v/>
      </c>
      <c r="AI8">
        <f>IFERROR(INDEX(TIMESHEET!$A$1:$AI$5000,MATCH($D8,TIMESHEET!A$1:A$500,0),MATCH("T701",TIMESHEET!$2:$2,0)),0)</f>
        <v/>
      </c>
      <c r="AJ8">
        <f>IFERROR(IF(INDEX(PIS!N$1:N$500,MATCH(D8,PIS!C$1:C$500,0))="LC4",(T8*0.85)/AD8*AH8,ROUND(T8/AD8*AH8,0)),0)</f>
        <v/>
      </c>
      <c r="AK8">
        <f>IFERROR(INDEX(ADJ!$A$1:$BZ$1000,MATCH(PAYROLL!D8,ADJ!A$1:A$500,0),MATCH(PAYROLL!AK$2,ADJ!$2:$2,0)),0)</f>
        <v/>
      </c>
      <c r="AL8">
        <f>SUM(AJ8:AK8)</f>
        <v/>
      </c>
      <c r="AM8">
        <f>IF(AH8&gt;13,V8,ROUND(V8/AD8*AH8,0))</f>
        <v/>
      </c>
      <c r="AN8">
        <f>IF(AD8=0,0,ROUND(W8/AD8*AI8,0))</f>
        <v/>
      </c>
      <c r="AO8">
        <f>ROUND(X8*AH8,0)</f>
        <v/>
      </c>
      <c r="AP8">
        <f>IF(AD8=0,0,ROUND(Y8/AD8*AH8,0))</f>
        <v/>
      </c>
      <c r="AQ8">
        <f>IFERROR(IF((AE8+AF8+AG8)&gt;13,Z8,ROUND(Z8/AD8*AH8,0)),0)</f>
        <v/>
      </c>
      <c r="AR8">
        <f>IF(AD8=0,0,ROUND(AA37/AD8*AH8,0))</f>
        <v/>
      </c>
      <c r="AS8">
        <f>IFERROR(IF((AE8+AF8+AG8)&gt;13,AB8,ROUND(AB8/AD8*AH8,0)),0)</f>
        <v/>
      </c>
      <c r="AT8">
        <f>IFERROR(INDEX(ADJ!$A$1:$BZ$1000,MATCH(PAYROLL!D8,ADJ!A$1:A$500,0),MATCH(PAYROLL!AT$2,ADJ!$2:$2,0)),0)</f>
        <v/>
      </c>
      <c r="AU8">
        <f>ROUND(SUM(AM8:AT8),0)</f>
        <v/>
      </c>
      <c r="AV8">
        <f>IFERROR(INDEX(TIMESHEET!$A$1:$AI$5000,MATCH(PAYROLL!D8,TIMESHEET!A$1:A$500,0),MATCH("T620",TIMESHEET!$2:$2,0)),0)</f>
        <v/>
      </c>
      <c r="AW8">
        <f>IFERROR(INDEX(TIMESHEET!$A$1:$AI$5000,MATCH(PAYROLL!D8,TIMESHEET!A$1:A$500,0),MATCH("T601",TIMESHEET!$2:$2,0)),0)</f>
        <v/>
      </c>
      <c r="AX8">
        <f>IFERROR(INDEX(TIMESHEET!$A$1:$AI$5000,MATCH(PAYROLL!D8,TIMESHEET!A$1:A$500,0),MATCH("T602",TIMESHEET!$2:$2,0)),0)</f>
        <v/>
      </c>
      <c r="AY8">
        <f>IFERROR(INDEX(TIMESHEET!$A$1:$AI$5000,MATCH(PAYROLL!D8,TIMESHEET!A$1:A$500,0),MATCH("T603",TIMESHEET!$2:$2,0)),0)</f>
        <v/>
      </c>
      <c r="AZ8">
        <f>IFERROR(INDEX(TIMESHEET!$A$1:$AI$5000,MATCH(PAYROLL!D8,TIMESHEET!A$1:A$500,0),MATCH("T611",TIMESHEET!$2:$2,0)),0)</f>
        <v/>
      </c>
      <c r="BA8">
        <f>IFERROR(INDEX(TIMESHEET!$A$1:$AI$5000,MATCH(PAYROLL!D8,TIMESHEET!A$1:A$500,0),MATCH("T612",TIMESHEET!$2:$2,0)),0)</f>
        <v/>
      </c>
      <c r="BB8">
        <f>IFERROR(INDEX(TIMESHEET!$A$1:$AI$5000,MATCH(PAYROLL!D8,TIMESHEET!A$1:A$500,0),MATCH("T613",TIMESHEET!$2:$2,0)),0)</f>
        <v/>
      </c>
      <c r="BC8">
        <f>IFERROR(INDEX(TIMESHEET!$A$1:$AI$5000,MATCH(PAYROLL!D8,TIMESHEET!A$1:A$500,0),MATCH("T500",TIMESHEET!$2:$2,0)),0)</f>
        <v/>
      </c>
      <c r="BD8">
        <f>IFERROR((T8+V8)/AD8/8*(AV8+AW8*1.5+AX8*2+AY8*3+AZ8*2.1+BA8*2.7+BB8*3.9+BC8*0.3),0)</f>
        <v/>
      </c>
      <c r="BE8">
        <f>IFERROR(INDEX(ADJ!$A$1:$BZ$1000,MATCH(PAYROLL!$D8,ADJ!A$1:A$500,0),MATCH(PAYROLL!BE$2,ADJ!$2:$2,0)),0)</f>
        <v/>
      </c>
      <c r="BF8">
        <f>IFERROR(INDEX(ADJ!$A$1:$BZ$1000,MATCH(PAYROLL!D8,ADJ!A$1:A$500,0),MATCH(PAYROLL!BF$2,ADJ!$2:$2,0)),0)</f>
        <v/>
      </c>
      <c r="BG8">
        <f>IFERROR(INDEX(ADJ!$A$1:$BZ$1000,MATCH(PAYROLL!D8,ADJ!A$1:A$500,0),MATCH(PAYROLL!BG$2,ADJ!$2:$2,0)),0)</f>
        <v/>
      </c>
      <c r="BH8">
        <f>IFERROR(INDEX(ADJ!$A$1:$BZ$1000,MATCH(PAYROLL!D8,ADJ!A$1:A$500,0),MATCH(PAYROLL!BH$2,ADJ!$2:$2,0)),0)</f>
        <v/>
      </c>
      <c r="BI8">
        <f>IFERROR(INDEX(ADJ!$A$1:$BZ$1000,MATCH(PAYROLL!D8,ADJ!A$1:A$500,0),MATCH(PAYROLL!BI$2,ADJ!$2:$2,0)),0)</f>
        <v/>
      </c>
      <c r="BJ8">
        <f>SUM(BE8:BI8)</f>
        <v/>
      </c>
      <c r="BK8">
        <f>IFERROR(IF(INDEX(PIS!N$1:N$500,MATCH(D8,PIS!C$1:C$500))="LC12",(T8*21.5%)/AD8*AH8,0),0)</f>
        <v/>
      </c>
      <c r="BL8">
        <f>IFERROR(INDEX(ADJ!$A$1:$BZ$1000,MATCH(PAYROLL!D8,ADJ!A$1:A$500,0),MATCH(PAYROLL!BL$2,ADJ!$2:$2,0)),0)</f>
        <v/>
      </c>
      <c r="BM8">
        <f>IFERROR(INDEX(ADJ!$A$1:$BZ$1000,MATCH(PAYROLL!D8,ADJ!A$1:A$500,0),MATCH(PAYROLL!BM$2,ADJ!$2:$2,0)),0)</f>
        <v/>
      </c>
      <c r="BN8">
        <f>IFERROR(INDEX(ADJ!$A$1:$BZ$1000,MATCH(PAYROLL!D8,ADJ!A$1:A$500,0),MATCH(PAYROLL!BN$2,ADJ!$2:$2,0)),0)</f>
        <v/>
      </c>
      <c r="BO8">
        <f>SUM(AL8,AU8,BD8,BJ8,BK8:BN8)</f>
        <v/>
      </c>
      <c r="BP8">
        <f>BN8+AP8</f>
        <v/>
      </c>
      <c r="BQ8">
        <f>IFERROR(ROUND(IF(LEFT(INDEX(PIS!O$1:O$500,MATCH(D8,PIS!C$1:C$500)),1)="D",T8/8*(BC8*0.3),IF(LEFT(INDEX(PIS!O$1:O$500,MATCH(D8,PIS!C$1:C$500)),1)="H",T8*($BC8*0.3),T8/$AD8/8*($BC8*0.3))),0),0)</f>
        <v/>
      </c>
      <c r="BR8">
        <f>IF(AO8&lt;1,0,MIN(AO8,730000))</f>
        <v/>
      </c>
      <c r="BS8">
        <f>IFERROR(ROUND((BD8-SUM(AV8:BB8)*T8/AD8/8),0)-BQ8,0)</f>
        <v/>
      </c>
      <c r="BT8">
        <f>AN8</f>
        <v/>
      </c>
      <c r="BU8">
        <f>SUM(BP8:BT8)</f>
        <v/>
      </c>
      <c r="BV8">
        <f>BO8-BU8</f>
        <v/>
      </c>
      <c r="BW8">
        <f>IFERROR(IF(RIGHT(INDEX(PIS!O$1:O$500,MATCH(D8,PIS!C$1:C$500)),5)="Gross",MIN(U8+V8,VLOOKUP("R700",TSC!B:C,2,0)*VLOOKUP("R101",TSC!B:C,2,0))*VLOOKUP("R701",TSC!B:C,2,0)%,0),0)</f>
        <v/>
      </c>
      <c r="BX8">
        <f>IFERROR(IF(RIGHT(INDEX(PIS!O$1:O$500,MATCH(D8,PIS!C$1:C$500)),5)="Gross",MIN(U8+V8,VLOOKUP("R700",TSC!B:C,2,0)*VLOOKUP("R101",TSC!B:C,2,0))*VLOOKUP("T704",TSC!B:C,2,0)%,0),0)</f>
        <v/>
      </c>
      <c r="BY8">
        <f>IFERROR(IF(RIGHT(INDEX(PIS!O$1:O$500,MATCH(D8,PIS!C$1:C$500)),5)="Gross",MIN(U8+V8,VLOOKUP("R700",TSC!B:C,2,0)*VLOOKUP("1",TSC!F:G,2,0))*VLOOKUP("T705",TSC!B:C,2,0)%,0),0)</f>
        <v/>
      </c>
      <c r="BZ8">
        <f>IFERROR(INDEX(ADJ!$A$1:$BZ$1000,MATCH(PAYROLL!D8,ADJ!A$1:A$500,0),MATCH(PAYROLL!BZ$2,ADJ!$2:$2,0)),0)</f>
        <v/>
      </c>
      <c r="CA8">
        <f>IFERROR(INDEX(ADJ!$A$1:$BZ$1000,MATCH(PAYROLL!D8,ADJ!A$1:A$500,0),MATCH(PAYROLL!CA$2,ADJ!$2:$2,0)),0)</f>
        <v/>
      </c>
      <c r="CB8">
        <f>SUM(BW8:CA8)</f>
        <v/>
      </c>
      <c r="CC8">
        <f>IFERROR(INDEX(PIS!$A$1:$BZ$1000,MATCH(PAYROLL!D8,PIS!C$1:C$500,0),MATCH(PAYROLL!CC$1,PIS!$1:$1,0)),0)</f>
        <v/>
      </c>
      <c r="CD8">
        <f>IFERROR(IF(OR(INDEX(PIS!P$1:P$500,MATCH(D8,PIS!C$1:C$500,0))="LT2",INDEX(PIS!P$1:P$500,MATCH(D8,PIS!C$1:C$500,0))="P10"),0,SUM(CB8,CC8*VLOOKUP("R601",TSC!B:C,2,0),VLOOKUP("R602",TSC!B:C,2,0))),0)</f>
        <v/>
      </c>
      <c r="CE8">
        <f>MAX(BV8-CD8,0)</f>
        <v/>
      </c>
      <c r="CF8">
        <f>IFERROR(IF(OR(RIGHT(INDEX(PIS!P$1:P$500,MATCH(D8,PIS!C$1:C$500)),5)="P10",RIGHT(INDEX(PIS!P$1:P$500,MATCH(D8,PIS!C$1:C$500)),5)="CK"),0,IF(CE8&lt;=5000000,CE8*5%,IF(CE8&lt;=10000000,CE8*10%-250000,IF(CE8&lt;=18000000,CE8*15%-750000,IF(CE8&lt;=32000000,CE8*20%-1650000,IF(CE8&lt;=52000000,CE8*25%-3250000,IF(CE8&lt;=80000000,BG8*30%-5850000,CE8*35%-9850000))))))),0)</f>
        <v/>
      </c>
      <c r="CG8">
        <f>IFERROR(IF(OR(INDEX(PIS!P$1:P$500,MATCH(D8,PIS!C$1:C$500))="LT",INDEX(PIS!P$1:P$500,MATCH(D8,PIS!C$1:C$500))="CK"),0,IF(CE8&lt;2000000,0,CE8*10%)),0)</f>
        <v/>
      </c>
      <c r="CH8">
        <f>IFERROR(INDEX(ADJ!$A$1:$BZ$1000,MATCH(PAYROLL!D8,ADJ!A$1:A$500,0),MATCH(PAYROLL!CH$2,ADJ!$2:$2,0)),0)</f>
        <v/>
      </c>
      <c r="CI8">
        <f>IFERROR(INDEX(ADJ!$A$1:$BZ$1000,MATCH(PAYROLL!D8,ADJ!A$1:A$500,0),MATCH(PAYROLL!CI$2,ADJ!$2:$2,0)),0)</f>
        <v/>
      </c>
      <c r="CJ8">
        <f>IFERROR(INDEX(ADJ!$A$1:$BZ$1000,MATCH(PAYROLL!D8,ADJ!A$1:A$500,0),MATCH(PAYROLL!CJ$2,ADJ!$2:$2,0)),0)</f>
        <v/>
      </c>
      <c r="CK8">
        <f>SUM(CF8:CJ8)</f>
        <v/>
      </c>
      <c r="CL8">
        <f>ROUND(SUM(CG8:CJ8),0)</f>
        <v/>
      </c>
      <c r="CM8">
        <f>IFERROR(INDEX(CSDA!D$1:D$500,MATCH($CM$2,CSDA!C$1:C$500,0))*INDEX(PIS!V$1:V$500,MATCH(D8,PIS!C$1:C$500))+INDEX(ADJ!$A$1:$BZ$1000,MATCH(PAYROLL!D8,ADJ!A$1:A$500,0),MATCH(PAYROLL!CM$2,ADJ!$2:$2,0)),0)</f>
        <v/>
      </c>
      <c r="CN8">
        <f>IFERROR(INDEX(ADJ!$A$1:$BZ$1000,MATCH(PAYROLL!D8,ADJ!A$1:A$500,0),MATCH(PAYROLL!CN$2,ADJ!$2:$2,0)),0)</f>
        <v/>
      </c>
      <c r="CO8">
        <f>IFERROR(INDEX(ADJ!$A$1:$BZ$1000,MATCH(PAYROLL!D8,ADJ!A$1:A$500,0),MATCH(PAYROLL!CO$2,ADJ!$2:$2,0)),0)</f>
        <v/>
      </c>
      <c r="CP8">
        <f>BO8-CK8-CH8-CL8-CM8-CN8-CO8-CB8</f>
        <v/>
      </c>
      <c r="CQ8">
        <f>IFERROR(IF(RIGHT(INDEX(PIS!O$1:O$500,MATCH(D8,PIS!C$1:C$500,0)),5)="Gross",MIN(U8+V8,VLOOKUP("R700",TSC!B:C,2,0)*VLOOKUP("R101",TSC!B:C,2,0))*(VLOOKUP("T711",TSC!B:C,2,0)+VLOOKUP("T712",TSC!B:C,2,0))%,MIN(T8+V8,VLOOKUP("R700",TSC!B:C,2,0)*VLOOKUP("R101",TSC!B:C,2,0))*(VLOOKUP("T711",TSC!B:C,2,0)+VLOOKUP("T712",TSC!B:C,2,0)+VLOOKUP("R701",TSC!B:C,2,0))%),0)</f>
        <v/>
      </c>
      <c r="CR8">
        <f>IFERROR(IF(RIGHT(INDEX(PIS!O$1:O$500,MATCH(D8,PIS!C$1:C$500,0)),5)="Gross",MIN(U8+V8,VLOOKUP("R700",TSC!B:C,2,0)*VLOOKUP("R101",TSC!B:C,2,0))*(VLOOKUP("T714",TSC!B:C,2,0))%,MIN(T8+V8,VLOOKUP("R700",TSC!B:C,2,0)*VLOOKUP("R101",TSC!B:C,2,0))*(VLOOKUP("T704",TSC!B:C,2,0)+VLOOKUP("T714",TSC!B:C,2,0))%),0)</f>
        <v/>
      </c>
      <c r="CS8">
        <f>IFERROR(IF(RIGHT(INDEX(PIS!O$1:O$500,MATCH(D8,PIS!C$1:C$500,0)),5)="Gross",MIN(U8+V8,VLOOKUP("R700",TSC!B:C,2,0)*VLOOKUP("R101",TSC!B:C,2,0))*VLOOKUP("T705",TSC!B:C,2,0)%,MIN(T8+V8,VLOOKUP("R700",TSC!B:C,2,0)*VLOOKUP("R101",TSC!B:C,2,0))*VLOOKUP("T705",TSC!B:C,2,0)%),0)</f>
        <v/>
      </c>
      <c r="CT8">
        <f>IFERROR(IF(RIGHT(INDEX(PIS!O$1:O$500,MATCH(D8,PIS!C$1:C$500,0)),5)="Gross",MIN(U8+V8,VLOOKUP("R700",TSC!B:C,2,0)*VLOOKUP("R101",TSC!B:C,2,0))*(VLOOKUP("T713",TSC!B:C,2,0))%,MIN(T8+V8,VLOOKUP("R700",TSC!B:C,2,0)*VLOOKUP("R101",TSC!B:C,2,0))*(VLOOKUP("T713",TSC!B:C,2,0))%),0)</f>
        <v/>
      </c>
      <c r="CU8">
        <f>IFERROR(INDEX(ADJ!$A$1:$BZ$1000,MATCH(PAYROLL!D8,ADJ!A$1:A$500,0),MATCH(PAYROLL!CU$2,ADJ!$2:$2,0)),0)</f>
        <v/>
      </c>
      <c r="CV8">
        <f>IFERROR(INDEX(ADJ!$A$1:$BZ$1000,MATCH(PAYROLL!D8,ADJ!A$1:A$500,0),MATCH(PAYROLL!CV$2,ADJ!$2:$2,0)),0)</f>
        <v/>
      </c>
      <c r="CW8">
        <f>SUM(CQ8:CV8)</f>
        <v/>
      </c>
      <c r="CX8">
        <f>ROUND(IF(CQ8&gt;0,T8+V8*VLOOKUP("R202",TSC!$B$1:$C$500,2,0),0),0)</f>
        <v/>
      </c>
      <c r="CY8">
        <f>IFERROR(INDEX(CSDA!D$1:D$500,MATCH($CY$2,CSDA!C$1:C$500,0)),0)</f>
        <v/>
      </c>
      <c r="CZ8">
        <f>ROUND(T8*0.7%,0)</f>
        <v/>
      </c>
      <c r="DA8">
        <f>ROUND(T8/12,0)</f>
        <v/>
      </c>
      <c r="DB8">
        <f ref="DB8" t="array">IFERROR(INDEX(CSDA!D$1:D$500,MATCH("Trích giữ"&amp;PAYROLL!DB$2,CSDA!A$1:A$500&amp;CSDA!C$1:C$500,0)),0)</f>
        <v/>
      </c>
      <c r="DC8">
        <f ref="DC8" t="array">IFERROR(INDEX(CSDA!D$1:D$500,MATCH("Trích giữ"&amp;PAYROLL!DC$2,CSDA!A$1:A$500&amp;CSDA!C$1:C$500,0)),0)</f>
        <v/>
      </c>
      <c r="DD8">
        <f ref="DD8" t="array">IFERROR(INDEX(CSDA!D$1:D$500,MATCH("Trích giữ"&amp;PAYROLL!DD$2,CSDA!A$1:A$500&amp;CSDA!C$1:C$500,0)),0)</f>
        <v/>
      </c>
      <c r="DE8">
        <f>IFERROR(INDEX(CSDA!D$1:D$500,MATCH(PAYROLL!DE$2,CSDA!C$1:C$500,0)),0)</f>
        <v/>
      </c>
      <c r="DF8">
        <f ref="DF8" t="array">IFERROR(INDEX(CSDA!D$1:D$500,MATCH("Trích giữ"&amp;PAYROLL!DF$2,CSDA!A$1:A$500&amp;CSDA!C$1:C$500,0)),0)</f>
        <v/>
      </c>
      <c r="DG8">
        <f>ROUND(T8/26,0)</f>
        <v/>
      </c>
      <c r="DH8">
        <f ref="DH8" t="array">IFERROR(INDEX(CSDA!D$1:D$500,MATCH("Trích giữ"&amp;PAYROLL!DH$2,CSDA!A$1:A$500&amp;CSDA!C$1:C$500,0)),0)</f>
        <v/>
      </c>
      <c r="DI8">
        <f>IF(U8=0,T8*21.5%-BK8,0)</f>
        <v/>
      </c>
      <c r="DK8">
        <f ref="DK8" t="array">IFERROR(INDEX(CSDA!D$1:D$500,MATCH("Trích giữ"&amp;PAYROLL!DK$2,CSDA!A$1:A$500&amp;CSDA!C$1:C$500,0)),0)</f>
        <v/>
      </c>
      <c r="DL8">
        <f>IFERROR(INDEX(CSDA!D$1:D$500,MATCH(PAYROLL!DL$2,CSDA!C$1:C$500,0))/12,0)</f>
        <v/>
      </c>
      <c r="DM8">
        <f>SUM(DA8:DL8)</f>
        <v/>
      </c>
      <c r="DN8">
        <f>IFERROR(INDEX(ADJ!$A$1:$BZ$1000,MATCH(PAYROLL!D8,ADJ!A$1:A$500,0),MATCH(PAYROLL!DN$2,ADJ!$2:$2,0)),0)</f>
        <v/>
      </c>
      <c r="DO8">
        <f>IFERROR(SUM(BO8,DM8:DN8,CW8:CZ8)-DT8,0)</f>
        <v/>
      </c>
      <c r="DP8">
        <f ref="DP8" t="array">SUM(BV8*IFERROR(INDEX(CSDA!D$1:D$500,MATCH(BV$2,CSDA!C$1:C$500,0)),0)%,CW8*IFERROR(INDEX(CSDA!D$1:D$500,MATCH(CW$2,CSDA!C$1:C$500,0)),0)%,CZ8*IFERROR(INDEX(CSDA!D$1:D$500,MATCH(CZ$2,CSDA!C$1:C$500,0)),0)%,DA8*IFERROR(INDEX(CSDA!D$1:D$500,MATCH(DA$2,CSDA!C$1:C$500,0)),0)%,DE8*IFERROR(INDEX(CSDA!D$1:D$500,MATCH("Phí dịch vụ"&amp;PAYROLL!DE$2,CSDA!A$1:A$500&amp;CSDA!C$1:C$500,0)),0)%,DB8*IFERROR(INDEX(CSDA!D$1:D$500,MATCH("Phí dịch vụ"&amp;PAYROLL!DB$2,CSDA!A$1:A$500&amp;CSDA!C$1:C$500,0)),0)%,DG8*IFERROR(INDEX(CSDA!D$1:D$500,MATCH("Phí dịch vụ"&amp;PAYROLL!DG$2,CSDA!A$1:A$500&amp;CSDA!C$1:C$500,0)),0)%,DI8*IFERROR(INDEX(CSDA!D$1:D$500,MATCH("Phí dịch vụ"&amp;PAYROLL!DI$2,CSDA!A$1:A$500&amp;CSDA!C$1:C$500,0)),0)%,BM8*IFERROR(INDEX(CSDA!D$1:D$500,MATCH(BM$2,CSDA!C$1:C$500,0)),0)%)-BM8*7%</f>
        <v/>
      </c>
      <c r="DQ8">
        <f>IFERROR(INDEX(ADJ!$A$1:$BZ$1000,MATCH(PAYROLL!D8,ADJ!A$1:A$500,0),MATCH(PAYROLL!DQ$2,ADJ!$2:$2,0)),0)</f>
        <v/>
      </c>
      <c r="DR8">
        <f>IFERROR(INDEX(ADJ!$A$1:$BZ$1000,MATCH(PAYROLL!D8,ADJ!A$1:A$500,0),MATCH(PAYROLL!DR$2,ADJ!$2:$2,0)),0)</f>
        <v/>
      </c>
      <c r="DS8">
        <f>SUM(DP8:DR8)</f>
        <v/>
      </c>
      <c r="DT8">
        <f>EK8</f>
        <v/>
      </c>
      <c r="DU8">
        <f>SUM(DO8:DR8)</f>
        <v/>
      </c>
      <c r="DV8">
        <f>ROUND(DU8*0.1,0)</f>
        <v/>
      </c>
      <c r="DW8">
        <f>DU8+DV8</f>
        <v/>
      </c>
      <c r="DZ8">
        <f>IFERROR(INDEX(ADJ!$A$1:$BZ$1000,MATCH(PAYROLL!$D8,ADJ!A$1:A$500,0),MATCH(PAYROLL!DZ$2,ADJ!$2:$2,0)),0)</f>
        <v/>
      </c>
      <c r="EA8">
        <f>IFERROR(INDEX(ADJ!$A$1:$BZ$1000,MATCH(PAYROLL!$D8,ADJ!A$1:A$500,0),MATCH(PAYROLL!EA$2,ADJ!$2:$2,0)),0)</f>
        <v/>
      </c>
      <c r="EB8">
        <f>IFERROR(INDEX(ADJ!$A$1:$BZ$1000,MATCH(PAYROLL!$D8,ADJ!A$1:A$500,0),MATCH(PAYROLL!EB$2,ADJ!$2:$2,0)),0)</f>
        <v/>
      </c>
      <c r="EC8">
        <f>IFERROR(INDEX(ADJ!$A$1:$BZ$1000,MATCH(PAYROLL!$D8,ADJ!A$1:A$500,0),MATCH(PAYROLL!EC$2,ADJ!$2:$2,0)),0)</f>
        <v/>
      </c>
      <c r="ED8">
        <f>IFERROR(INDEX(ADJ!$A$1:$BZ$1000,MATCH(PAYROLL!$D8,ADJ!A$1:A$500,0),MATCH(PAYROLL!ED$2,ADJ!$2:$2,0)),0)</f>
        <v/>
      </c>
      <c r="EE8">
        <f>IFERROR(INDEX(ADJ!$A$1:$BZ$1000,MATCH(PAYROLL!$D8,ADJ!A$1:A$500,0),MATCH(PAYROLL!EE$2,ADJ!$2:$2,0)),0)</f>
        <v/>
      </c>
      <c r="EF8">
        <f>IFERROR(INDEX(ADJ!$A$1:$BZ$1000,MATCH(PAYROLL!$D8,ADJ!A$1:A$500,0),MATCH(PAYROLL!EF$2,ADJ!$2:$2,0)),0)</f>
        <v/>
      </c>
      <c r="EG8">
        <f>IFERROR(INDEX(ADJ!$A$1:$BZ$1000,MATCH(PAYROLL!$D8,ADJ!A$1:A$500,0),MATCH(PAYROLL!EG$2,ADJ!$2:$2,0)),0)</f>
        <v/>
      </c>
      <c r="EH8">
        <f>IFERROR(INDEX(ADJ!$A$1:$BZ$1000,MATCH(PAYROLL!$D8,ADJ!A$1:A$500,0),MATCH(PAYROLL!EH$2,ADJ!$2:$2,0)),0)</f>
        <v/>
      </c>
      <c r="EI8">
        <f>IFERROR(INDEX(ADJ!$A$1:$BZ$1000,MATCH(PAYROLL!D8,ADJ!A$1:A$500,0),MATCH(PAYROLL!EI$2,ADJ!$2:$2,0)),0)</f>
        <v/>
      </c>
      <c r="EJ8">
        <f>IFERROR(INDEX(ADJ!$A$1:$BZ$1000,MATCH(PAYROLL!$D8,ADJ!A$1:A$500,0),MATCH(PAYROLL!EJ$2,ADJ!$2:$2,0)),0)</f>
        <v/>
      </c>
      <c r="EK8">
        <f>SUM(DZ8:EJ8)</f>
        <v/>
      </c>
    </row>
    <row r="9">
      <c r="A9" t="n">
        <v>7</v>
      </c>
      <c r="B9" t="inlineStr">
        <is>
          <t>Đinh Xuân Hoàng</t>
        </is>
      </c>
      <c r="D9" t="inlineStr">
        <is>
          <t>157310-01</t>
        </is>
      </c>
      <c r="S9">
        <f>IFERROR(INDEX(PIS!$A$1:$BZ$1000,MATCH($D9,PIS!C$1:C$500,0),MATCH("Lương CB tháng trước",PIS!$1:$1,0)),0)</f>
        <v/>
      </c>
      <c r="T9">
        <f>IFERROR(INDEX(PIS!$A$1:$BZ$1000,MATCH($D9,PIS!C$1:C$500,0),MATCH("Lương CB hiện tại",PIS!$1:$1,0)),0)</f>
        <v/>
      </c>
      <c r="U9">
        <f>IFERROR(INDEX(PIS!$A$1:$BZ$1000,MATCH($D9,PIS!C$1:C$500,0),MATCH("Lương đóng BHBB",PIS!$1:$1,0)),0)</f>
        <v/>
      </c>
      <c r="V9">
        <f>IFERROR(INDEX(PIS!$A$1:$BZ$1000,MATCH($D9,PIS!C$1:C$500,0),MATCH(V$2,PIS!$2:$2,0)),0)</f>
        <v/>
      </c>
      <c r="W9">
        <f>IFERROR(INDEX(PIS!$A$1:$BZ$1000,MATCH($D9,PIS!C$1:C$500,0),MATCH(W$2,PIS!$2:$2,0)),0)</f>
        <v/>
      </c>
      <c r="X9">
        <f>IFERROR(INDEX(PIS!$A$1:$BZ$1000,MATCH($D9,PIS!C$1:C$500,0),MATCH(X$2,PIS!$2:$2,0)),0)</f>
        <v/>
      </c>
      <c r="Y9">
        <f>IFERROR(INDEX(PIS!$A$1:$BZ$1000,MATCH($D9,PIS!C$1:C$500,0),MATCH(Y$2,PIS!$2:$2,0)),0)</f>
        <v/>
      </c>
      <c r="Z9">
        <f>IFERROR(INDEX(PIS!$A$1:$BZ$1000,MATCH($D9,PIS!C$1:C$500,0),MATCH(Z$2,PIS!$2:$2,0)),0)</f>
        <v/>
      </c>
      <c r="AA9">
        <f>IFERROR(INDEX(PIS!$A$1:$BZ$1000,MATCH($D9,PIS!C$1:C$500,0),MATCH(AA$2,PIS!$2:$2,0)),0)</f>
        <v/>
      </c>
      <c r="AB9">
        <f>IFERROR(INDEX(PIS!$A$1:$BZ$1000,MATCH($D9,PIS!C$1:C$500,0),MATCH(AB$2,PIS!$2:$2,0)),0)</f>
        <v/>
      </c>
      <c r="AC9">
        <f>SUM(V9:AB9)</f>
        <v/>
      </c>
      <c r="AD9">
        <f>IFERROR(INDEX(TIMESHEET!$A$1:$AI$5000,MATCH($D9,TIMESHEET!A$1:A$500,0),MATCH("T100",TIMESHEET!$2:$2,0)),0)</f>
        <v/>
      </c>
      <c r="AE9">
        <f>IFERROR(INDEX(TIMESHEET!$A$1:$AI$5000,MATCH($D9,TIMESHEET!A$1:A$500,0),MATCH("T202",TIMESHEET!$2:$2,0)),0)</f>
        <v/>
      </c>
      <c r="AF9">
        <f>IFERROR(INDEX(TIMESHEET!$A$1:$AI$5000,MATCH($D9,TIMESHEET!A$1:A$500,0),MATCH("T302",TIMESHEET!$2:$2,0)),0)</f>
        <v/>
      </c>
      <c r="AG9">
        <f>IFERROR(INDEX(TIMESHEET!$A$1:$AI$5000,MATCH($D9,TIMESHEET!A$1:A$500,0),MATCH("T406",TIMESHEET!$2:$2,0)),0)</f>
        <v/>
      </c>
      <c r="AH9">
        <f>IF(SUM(AE9:AG9)&gt;=26,26,SUM(AE9:AG9))</f>
        <v/>
      </c>
      <c r="AI9">
        <f>IFERROR(INDEX(TIMESHEET!$A$1:$AI$5000,MATCH($D9,TIMESHEET!A$1:A$500,0),MATCH("T701",TIMESHEET!$2:$2,0)),0)</f>
        <v/>
      </c>
      <c r="AJ9">
        <f>IFERROR(IF(INDEX(PIS!N$1:N$500,MATCH(D9,PIS!C$1:C$500,0))="LC4",(T9*0.85)/AD9*AH9,ROUND(T9/AD9*AH9,0)),0)</f>
        <v/>
      </c>
      <c r="AK9">
        <f>IFERROR(INDEX(ADJ!$A$1:$BZ$1000,MATCH(PAYROLL!D9,ADJ!A$1:A$500,0),MATCH(PAYROLL!AK$2,ADJ!$2:$2,0)),0)</f>
        <v/>
      </c>
      <c r="AL9">
        <f>SUM(AJ9:AK9)</f>
        <v/>
      </c>
      <c r="AM9">
        <f>IF(AH9&gt;13,V9,ROUND(V9/AD9*AH9,0))</f>
        <v/>
      </c>
      <c r="AN9">
        <f>IF(AD9=0,0,ROUND(W9/AD9*AI9,0))</f>
        <v/>
      </c>
      <c r="AO9">
        <f>ROUND(X9*AH9,0)</f>
        <v/>
      </c>
      <c r="AP9">
        <f>IF(AD9=0,0,ROUND(Y9/AD9*AH9,0))</f>
        <v/>
      </c>
      <c r="AQ9">
        <f>IFERROR(IF((AE9+AF9+AG9)&gt;13,Z9,ROUND(Z9/AD9*AH9,0)),0)</f>
        <v/>
      </c>
      <c r="AR9">
        <f>IF(AD9=0,0,ROUND(AA38/AD9*AH9,0))</f>
        <v/>
      </c>
      <c r="AS9">
        <f>IFERROR(IF((AE9+AF9+AG9)&gt;13,AB9,ROUND(AB9/AD9*AH9,0)),0)</f>
        <v/>
      </c>
      <c r="AT9">
        <f>IFERROR(INDEX(ADJ!$A$1:$BZ$1000,MATCH(PAYROLL!D9,ADJ!A$1:A$500,0),MATCH(PAYROLL!AT$2,ADJ!$2:$2,0)),0)</f>
        <v/>
      </c>
      <c r="AU9">
        <f>ROUND(SUM(AM9:AT9),0)</f>
        <v/>
      </c>
      <c r="AV9">
        <f>IFERROR(INDEX(TIMESHEET!$A$1:$AI$5000,MATCH(PAYROLL!D9,TIMESHEET!A$1:A$500,0),MATCH("T620",TIMESHEET!$2:$2,0)),0)</f>
        <v/>
      </c>
      <c r="AW9">
        <f>IFERROR(INDEX(TIMESHEET!$A$1:$AI$5000,MATCH(PAYROLL!D9,TIMESHEET!A$1:A$500,0),MATCH("T601",TIMESHEET!$2:$2,0)),0)</f>
        <v/>
      </c>
      <c r="AX9">
        <f>IFERROR(INDEX(TIMESHEET!$A$1:$AI$5000,MATCH(PAYROLL!D9,TIMESHEET!A$1:A$500,0),MATCH("T602",TIMESHEET!$2:$2,0)),0)</f>
        <v/>
      </c>
      <c r="AY9">
        <f>IFERROR(INDEX(TIMESHEET!$A$1:$AI$5000,MATCH(PAYROLL!D9,TIMESHEET!A$1:A$500,0),MATCH("T603",TIMESHEET!$2:$2,0)),0)</f>
        <v/>
      </c>
      <c r="AZ9">
        <f>IFERROR(INDEX(TIMESHEET!$A$1:$AI$5000,MATCH(PAYROLL!D9,TIMESHEET!A$1:A$500,0),MATCH("T611",TIMESHEET!$2:$2,0)),0)</f>
        <v/>
      </c>
      <c r="BA9">
        <f>IFERROR(INDEX(TIMESHEET!$A$1:$AI$5000,MATCH(PAYROLL!D9,TIMESHEET!A$1:A$500,0),MATCH("T612",TIMESHEET!$2:$2,0)),0)</f>
        <v/>
      </c>
      <c r="BB9">
        <f>IFERROR(INDEX(TIMESHEET!$A$1:$AI$5000,MATCH(PAYROLL!D9,TIMESHEET!A$1:A$500,0),MATCH("T613",TIMESHEET!$2:$2,0)),0)</f>
        <v/>
      </c>
      <c r="BC9">
        <f>IFERROR(INDEX(TIMESHEET!$A$1:$AI$5000,MATCH(PAYROLL!D9,TIMESHEET!A$1:A$500,0),MATCH("T500",TIMESHEET!$2:$2,0)),0)</f>
        <v/>
      </c>
      <c r="BD9">
        <f>IFERROR((T9+V9)/AD9/8*(AV9+AW9*1.5+AX9*2+AY9*3+AZ9*2.1+BA9*2.7+BB9*3.9+BC9*0.3),0)</f>
        <v/>
      </c>
      <c r="BE9">
        <f>IFERROR(INDEX(ADJ!$A$1:$BZ$1000,MATCH(PAYROLL!$D9,ADJ!A$1:A$500,0),MATCH(PAYROLL!BE$2,ADJ!$2:$2,0)),0)</f>
        <v/>
      </c>
      <c r="BF9">
        <f>IFERROR(INDEX(ADJ!$A$1:$BZ$1000,MATCH(PAYROLL!D9,ADJ!A$1:A$500,0),MATCH(PAYROLL!BF$2,ADJ!$2:$2,0)),0)</f>
        <v/>
      </c>
      <c r="BG9">
        <f>IFERROR(INDEX(ADJ!$A$1:$BZ$1000,MATCH(PAYROLL!D9,ADJ!A$1:A$500,0),MATCH(PAYROLL!BG$2,ADJ!$2:$2,0)),0)</f>
        <v/>
      </c>
      <c r="BH9">
        <f>IFERROR(INDEX(ADJ!$A$1:$BZ$1000,MATCH(PAYROLL!D9,ADJ!A$1:A$500,0),MATCH(PAYROLL!BH$2,ADJ!$2:$2,0)),0)</f>
        <v/>
      </c>
      <c r="BI9">
        <f>IFERROR(INDEX(ADJ!$A$1:$BZ$1000,MATCH(PAYROLL!D9,ADJ!A$1:A$500,0),MATCH(PAYROLL!BI$2,ADJ!$2:$2,0)),0)</f>
        <v/>
      </c>
      <c r="BJ9">
        <f>SUM(BE9:BI9)</f>
        <v/>
      </c>
      <c r="BK9">
        <f>IFERROR(IF(INDEX(PIS!N$1:N$500,MATCH(D9,PIS!C$1:C$500))="LC12",(T9*21.5%)/AD9*AH9,0),0)</f>
        <v/>
      </c>
      <c r="BL9">
        <f>IFERROR(INDEX(ADJ!$A$1:$BZ$1000,MATCH(PAYROLL!D9,ADJ!A$1:A$500,0),MATCH(PAYROLL!BL$2,ADJ!$2:$2,0)),0)</f>
        <v/>
      </c>
      <c r="BM9">
        <f>IFERROR(INDEX(ADJ!$A$1:$BZ$1000,MATCH(PAYROLL!D9,ADJ!A$1:A$500,0),MATCH(PAYROLL!BM$2,ADJ!$2:$2,0)),0)</f>
        <v/>
      </c>
      <c r="BN9">
        <f>IFERROR(INDEX(ADJ!$A$1:$BZ$1000,MATCH(PAYROLL!D9,ADJ!A$1:A$500,0),MATCH(PAYROLL!BN$2,ADJ!$2:$2,0)),0)</f>
        <v/>
      </c>
      <c r="BO9">
        <f>SUM(AL9,AU9,BD9,BJ9,BK9:BN9)</f>
        <v/>
      </c>
      <c r="BP9">
        <f>BN9+AP9</f>
        <v/>
      </c>
      <c r="BQ9">
        <f>IFERROR(ROUND(IF(LEFT(INDEX(PIS!O$1:O$500,MATCH(D9,PIS!C$1:C$500)),1)="D",T9/8*(BC9*0.3),IF(LEFT(INDEX(PIS!O$1:O$500,MATCH(D9,PIS!C$1:C$500)),1)="H",T9*($BC9*0.3),T9/$AD9/8*($BC9*0.3))),0),0)</f>
        <v/>
      </c>
      <c r="BR9">
        <f>IF(AO9&lt;1,0,MIN(AO9,730000))</f>
        <v/>
      </c>
      <c r="BS9">
        <f>IFERROR(ROUND((BD9-SUM(AV9:BB9)*T9/AD9/8),0)-BQ9,0)</f>
        <v/>
      </c>
      <c r="BT9">
        <f>AN9</f>
        <v/>
      </c>
      <c r="BU9">
        <f>SUM(BP9:BT9)</f>
        <v/>
      </c>
      <c r="BV9">
        <f>BO9-BU9</f>
        <v/>
      </c>
      <c r="BW9">
        <f>IFERROR(IF(RIGHT(INDEX(PIS!O$1:O$500,MATCH(D9,PIS!C$1:C$500)),5)="Gross",MIN(U9+V9,VLOOKUP("R700",TSC!B:C,2,0)*VLOOKUP("R101",TSC!B:C,2,0))*VLOOKUP("R701",TSC!B:C,2,0)%,0),0)</f>
        <v/>
      </c>
      <c r="BX9">
        <f>IFERROR(IF(RIGHT(INDEX(PIS!O$1:O$500,MATCH(D9,PIS!C$1:C$500)),5)="Gross",MIN(U9+V9,VLOOKUP("R700",TSC!B:C,2,0)*VLOOKUP("R101",TSC!B:C,2,0))*VLOOKUP("T704",TSC!B:C,2,0)%,0),0)</f>
        <v/>
      </c>
      <c r="BY9">
        <f>IFERROR(IF(RIGHT(INDEX(PIS!O$1:O$500,MATCH(D9,PIS!C$1:C$500)),5)="Gross",MIN(U9+V9,VLOOKUP("R700",TSC!B:C,2,0)*VLOOKUP("1",TSC!F:G,2,0))*VLOOKUP("T705",TSC!B:C,2,0)%,0),0)</f>
        <v/>
      </c>
      <c r="BZ9">
        <f>IFERROR(INDEX(ADJ!$A$1:$BZ$1000,MATCH(PAYROLL!D9,ADJ!A$1:A$500,0),MATCH(PAYROLL!BZ$2,ADJ!$2:$2,0)),0)</f>
        <v/>
      </c>
      <c r="CA9">
        <f>IFERROR(INDEX(ADJ!$A$1:$BZ$1000,MATCH(PAYROLL!D9,ADJ!A$1:A$500,0),MATCH(PAYROLL!CA$2,ADJ!$2:$2,0)),0)</f>
        <v/>
      </c>
      <c r="CB9">
        <f>SUM(BW9:CA9)</f>
        <v/>
      </c>
      <c r="CC9">
        <f>IFERROR(INDEX(PIS!$A$1:$BZ$1000,MATCH(PAYROLL!D9,PIS!C$1:C$500,0),MATCH(PAYROLL!CC$1,PIS!$1:$1,0)),0)</f>
        <v/>
      </c>
      <c r="CD9">
        <f>IFERROR(IF(OR(INDEX(PIS!P$1:P$500,MATCH(D9,PIS!C$1:C$500,0))="LT2",INDEX(PIS!P$1:P$500,MATCH(D9,PIS!C$1:C$500,0))="P10"),0,SUM(CB9,CC9*VLOOKUP("R601",TSC!B:C,2,0),VLOOKUP("R602",TSC!B:C,2,0))),0)</f>
        <v/>
      </c>
      <c r="CE9">
        <f>MAX(BV9-CD9,0)</f>
        <v/>
      </c>
      <c r="CF9">
        <f>IFERROR(IF(OR(RIGHT(INDEX(PIS!P$1:P$500,MATCH(D9,PIS!C$1:C$500)),5)="P10",RIGHT(INDEX(PIS!P$1:P$500,MATCH(D9,PIS!C$1:C$500)),5)="CK"),0,IF(CE9&lt;=5000000,CE9*5%,IF(CE9&lt;=10000000,CE9*10%-250000,IF(CE9&lt;=18000000,CE9*15%-750000,IF(CE9&lt;=32000000,CE9*20%-1650000,IF(CE9&lt;=52000000,CE9*25%-3250000,IF(CE9&lt;=80000000,BG9*30%-5850000,CE9*35%-9850000))))))),0)</f>
        <v/>
      </c>
      <c r="CG9">
        <f>IFERROR(IF(OR(INDEX(PIS!P$1:P$500,MATCH(D9,PIS!C$1:C$500))="LT",INDEX(PIS!P$1:P$500,MATCH(D9,PIS!C$1:C$500))="CK"),0,IF(CE9&lt;2000000,0,CE9*10%)),0)</f>
        <v/>
      </c>
      <c r="CH9">
        <f>IFERROR(INDEX(ADJ!$A$1:$BZ$1000,MATCH(PAYROLL!D9,ADJ!A$1:A$500,0),MATCH(PAYROLL!CH$2,ADJ!$2:$2,0)),0)</f>
        <v/>
      </c>
      <c r="CI9">
        <f>IFERROR(INDEX(ADJ!$A$1:$BZ$1000,MATCH(PAYROLL!D9,ADJ!A$1:A$500,0),MATCH(PAYROLL!CI$2,ADJ!$2:$2,0)),0)</f>
        <v/>
      </c>
      <c r="CJ9">
        <f>IFERROR(INDEX(ADJ!$A$1:$BZ$1000,MATCH(PAYROLL!D9,ADJ!A$1:A$500,0),MATCH(PAYROLL!CJ$2,ADJ!$2:$2,0)),0)</f>
        <v/>
      </c>
      <c r="CK9">
        <f>SUM(CF9:CJ9)</f>
        <v/>
      </c>
      <c r="CL9">
        <f>ROUND(SUM(CG9:CJ9),0)</f>
        <v/>
      </c>
      <c r="CM9">
        <f>IFERROR(INDEX(CSDA!D$1:D$500,MATCH($CM$2,CSDA!C$1:C$500,0))*INDEX(PIS!V$1:V$500,MATCH(D9,PIS!C$1:C$500))+INDEX(ADJ!$A$1:$BZ$1000,MATCH(PAYROLL!D9,ADJ!A$1:A$500,0),MATCH(PAYROLL!CM$2,ADJ!$2:$2,0)),0)</f>
        <v/>
      </c>
      <c r="CN9">
        <f>IFERROR(INDEX(ADJ!$A$1:$BZ$1000,MATCH(PAYROLL!D9,ADJ!A$1:A$500,0),MATCH(PAYROLL!CN$2,ADJ!$2:$2,0)),0)</f>
        <v/>
      </c>
      <c r="CO9">
        <f>IFERROR(INDEX(ADJ!$A$1:$BZ$1000,MATCH(PAYROLL!D9,ADJ!A$1:A$500,0),MATCH(PAYROLL!CO$2,ADJ!$2:$2,0)),0)</f>
        <v/>
      </c>
      <c r="CP9">
        <f>BO9-CK9-CH9-CL9-CM9-CN9-CO9-CB9</f>
        <v/>
      </c>
      <c r="CQ9">
        <f>IFERROR(IF(RIGHT(INDEX(PIS!O$1:O$500,MATCH(D9,PIS!C$1:C$500,0)),5)="Gross",MIN(U9+V9,VLOOKUP("R700",TSC!B:C,2,0)*VLOOKUP("R101",TSC!B:C,2,0))*(VLOOKUP("T711",TSC!B:C,2,0)+VLOOKUP("T712",TSC!B:C,2,0))%,MIN(T9+V9,VLOOKUP("R700",TSC!B:C,2,0)*VLOOKUP("R101",TSC!B:C,2,0))*(VLOOKUP("T711",TSC!B:C,2,0)+VLOOKUP("T712",TSC!B:C,2,0)+VLOOKUP("R701",TSC!B:C,2,0))%),0)</f>
        <v/>
      </c>
      <c r="CR9">
        <f>IFERROR(IF(RIGHT(INDEX(PIS!O$1:O$500,MATCH(D9,PIS!C$1:C$500,0)),5)="Gross",MIN(U9+V9,VLOOKUP("R700",TSC!B:C,2,0)*VLOOKUP("R101",TSC!B:C,2,0))*(VLOOKUP("T714",TSC!B:C,2,0))%,MIN(T9+V9,VLOOKUP("R700",TSC!B:C,2,0)*VLOOKUP("R101",TSC!B:C,2,0))*(VLOOKUP("T704",TSC!B:C,2,0)+VLOOKUP("T714",TSC!B:C,2,0))%),0)</f>
        <v/>
      </c>
      <c r="CS9">
        <f>IFERROR(IF(RIGHT(INDEX(PIS!O$1:O$500,MATCH(D9,PIS!C$1:C$500,0)),5)="Gross",MIN(U9+V9,VLOOKUP("R700",TSC!B:C,2,0)*VLOOKUP("R101",TSC!B:C,2,0))*VLOOKUP("T705",TSC!B:C,2,0)%,MIN(T9+V9,VLOOKUP("R700",TSC!B:C,2,0)*VLOOKUP("R101",TSC!B:C,2,0))*VLOOKUP("T705",TSC!B:C,2,0)%),0)</f>
        <v/>
      </c>
      <c r="CT9">
        <f>IFERROR(IF(RIGHT(INDEX(PIS!O$1:O$500,MATCH(D9,PIS!C$1:C$500,0)),5)="Gross",MIN(U9+V9,VLOOKUP("R700",TSC!B:C,2,0)*VLOOKUP("R101",TSC!B:C,2,0))*(VLOOKUP("T713",TSC!B:C,2,0))%,MIN(T9+V9,VLOOKUP("R700",TSC!B:C,2,0)*VLOOKUP("R101",TSC!B:C,2,0))*(VLOOKUP("T713",TSC!B:C,2,0))%),0)</f>
        <v/>
      </c>
      <c r="CU9">
        <f>IFERROR(INDEX(ADJ!$A$1:$BZ$1000,MATCH(PAYROLL!D9,ADJ!A$1:A$500,0),MATCH(PAYROLL!CU$2,ADJ!$2:$2,0)),0)</f>
        <v/>
      </c>
      <c r="CV9">
        <f>IFERROR(INDEX(ADJ!$A$1:$BZ$1000,MATCH(PAYROLL!D9,ADJ!A$1:A$500,0),MATCH(PAYROLL!CV$2,ADJ!$2:$2,0)),0)</f>
        <v/>
      </c>
      <c r="CW9">
        <f>SUM(CQ9:CV9)</f>
        <v/>
      </c>
      <c r="CX9">
        <f>ROUND(IF(CQ9&gt;0,T9+V9*VLOOKUP("R202",TSC!$B$1:$C$500,2,0),0),0)</f>
        <v/>
      </c>
      <c r="CY9">
        <f>IFERROR(INDEX(CSDA!D$1:D$500,MATCH($CY$2,CSDA!C$1:C$500,0)),0)</f>
        <v/>
      </c>
      <c r="CZ9">
        <f>ROUND(T9*0.7%,0)</f>
        <v/>
      </c>
      <c r="DA9">
        <f>ROUND(T9/12,0)</f>
        <v/>
      </c>
      <c r="DB9">
        <f ref="DB9" t="array">IFERROR(INDEX(CSDA!D$1:D$500,MATCH("Trích giữ"&amp;PAYROLL!DB$2,CSDA!A$1:A$500&amp;CSDA!C$1:C$500,0)),0)</f>
        <v/>
      </c>
      <c r="DC9">
        <f ref="DC9" t="array">IFERROR(INDEX(CSDA!D$1:D$500,MATCH("Trích giữ"&amp;PAYROLL!DC$2,CSDA!A$1:A$500&amp;CSDA!C$1:C$500,0)),0)</f>
        <v/>
      </c>
      <c r="DD9">
        <f ref="DD9" t="array">IFERROR(INDEX(CSDA!D$1:D$500,MATCH("Trích giữ"&amp;PAYROLL!DD$2,CSDA!A$1:A$500&amp;CSDA!C$1:C$500,0)),0)</f>
        <v/>
      </c>
      <c r="DE9">
        <f>IFERROR(INDEX(CSDA!D$1:D$500,MATCH(PAYROLL!DE$2,CSDA!C$1:C$500,0)),0)</f>
        <v/>
      </c>
      <c r="DF9">
        <f ref="DF9" t="array">IFERROR(INDEX(CSDA!D$1:D$500,MATCH("Trích giữ"&amp;PAYROLL!DF$2,CSDA!A$1:A$500&amp;CSDA!C$1:C$500,0)),0)</f>
        <v/>
      </c>
      <c r="DG9">
        <f>ROUND(T9/26,0)</f>
        <v/>
      </c>
      <c r="DH9">
        <f ref="DH9" t="array">IFERROR(INDEX(CSDA!D$1:D$500,MATCH("Trích giữ"&amp;PAYROLL!DH$2,CSDA!A$1:A$500&amp;CSDA!C$1:C$500,0)),0)</f>
        <v/>
      </c>
      <c r="DI9">
        <f>IF(U9=0,T9*21.5%-BK9,0)</f>
        <v/>
      </c>
      <c r="DK9">
        <f ref="DK9" t="array">IFERROR(INDEX(CSDA!D$1:D$500,MATCH("Trích giữ"&amp;PAYROLL!DK$2,CSDA!A$1:A$500&amp;CSDA!C$1:C$500,0)),0)</f>
        <v/>
      </c>
      <c r="DL9">
        <f>IFERROR(INDEX(CSDA!D$1:D$500,MATCH(PAYROLL!DL$2,CSDA!C$1:C$500,0))/12,0)</f>
        <v/>
      </c>
      <c r="DM9">
        <f>SUM(DA9:DL9)</f>
        <v/>
      </c>
      <c r="DN9">
        <f>IFERROR(INDEX(ADJ!$A$1:$BZ$1000,MATCH(PAYROLL!D9,ADJ!A$1:A$500,0),MATCH(PAYROLL!DN$2,ADJ!$2:$2,0)),0)</f>
        <v/>
      </c>
      <c r="DO9">
        <f>IFERROR(SUM(BO9,DM9:DN9,CW9:CZ9)-DT9,0)</f>
        <v/>
      </c>
      <c r="DP9">
        <f ref="DP9" t="array">SUM(BV9*IFERROR(INDEX(CSDA!D$1:D$500,MATCH(BV$2,CSDA!C$1:C$500,0)),0)%,CW9*IFERROR(INDEX(CSDA!D$1:D$500,MATCH(CW$2,CSDA!C$1:C$500,0)),0)%,CZ9*IFERROR(INDEX(CSDA!D$1:D$500,MATCH(CZ$2,CSDA!C$1:C$500,0)),0)%,DA9*IFERROR(INDEX(CSDA!D$1:D$500,MATCH(DA$2,CSDA!C$1:C$500,0)),0)%,DE9*IFERROR(INDEX(CSDA!D$1:D$500,MATCH("Phí dịch vụ"&amp;PAYROLL!DE$2,CSDA!A$1:A$500&amp;CSDA!C$1:C$500,0)),0)%,DB9*IFERROR(INDEX(CSDA!D$1:D$500,MATCH("Phí dịch vụ"&amp;PAYROLL!DB$2,CSDA!A$1:A$500&amp;CSDA!C$1:C$500,0)),0)%,DG9*IFERROR(INDEX(CSDA!D$1:D$500,MATCH("Phí dịch vụ"&amp;PAYROLL!DG$2,CSDA!A$1:A$500&amp;CSDA!C$1:C$500,0)),0)%,DI9*IFERROR(INDEX(CSDA!D$1:D$500,MATCH("Phí dịch vụ"&amp;PAYROLL!DI$2,CSDA!A$1:A$500&amp;CSDA!C$1:C$500,0)),0)%,BM9*IFERROR(INDEX(CSDA!D$1:D$500,MATCH(BM$2,CSDA!C$1:C$500,0)),0)%)-BM9*7%</f>
        <v/>
      </c>
      <c r="DQ9">
        <f>IFERROR(INDEX(ADJ!$A$1:$BZ$1000,MATCH(PAYROLL!D9,ADJ!A$1:A$500,0),MATCH(PAYROLL!DQ$2,ADJ!$2:$2,0)),0)</f>
        <v/>
      </c>
      <c r="DR9">
        <f>IFERROR(INDEX(ADJ!$A$1:$BZ$1000,MATCH(PAYROLL!D9,ADJ!A$1:A$500,0),MATCH(PAYROLL!DR$2,ADJ!$2:$2,0)),0)</f>
        <v/>
      </c>
      <c r="DS9">
        <f>SUM(DP9:DR9)</f>
        <v/>
      </c>
      <c r="DT9">
        <f>EK9</f>
        <v/>
      </c>
      <c r="DU9">
        <f>SUM(DO9:DR9)</f>
        <v/>
      </c>
      <c r="DV9">
        <f>ROUND(DU9*0.1,0)</f>
        <v/>
      </c>
      <c r="DW9">
        <f>DU9+DV9</f>
        <v/>
      </c>
      <c r="DZ9">
        <f>IFERROR(INDEX(ADJ!$A$1:$BZ$1000,MATCH(PAYROLL!$D9,ADJ!A$1:A$500,0),MATCH(PAYROLL!DZ$2,ADJ!$2:$2,0)),0)</f>
        <v/>
      </c>
      <c r="EA9">
        <f>IFERROR(INDEX(ADJ!$A$1:$BZ$1000,MATCH(PAYROLL!$D9,ADJ!A$1:A$500,0),MATCH(PAYROLL!EA$2,ADJ!$2:$2,0)),0)</f>
        <v/>
      </c>
      <c r="EB9">
        <f>IFERROR(INDEX(ADJ!$A$1:$BZ$1000,MATCH(PAYROLL!$D9,ADJ!A$1:A$500,0),MATCH(PAYROLL!EB$2,ADJ!$2:$2,0)),0)</f>
        <v/>
      </c>
      <c r="EC9">
        <f>IFERROR(INDEX(ADJ!$A$1:$BZ$1000,MATCH(PAYROLL!$D9,ADJ!A$1:A$500,0),MATCH(PAYROLL!EC$2,ADJ!$2:$2,0)),0)</f>
        <v/>
      </c>
      <c r="ED9">
        <f>IFERROR(INDEX(ADJ!$A$1:$BZ$1000,MATCH(PAYROLL!$D9,ADJ!A$1:A$500,0),MATCH(PAYROLL!ED$2,ADJ!$2:$2,0)),0)</f>
        <v/>
      </c>
      <c r="EE9">
        <f>IFERROR(INDEX(ADJ!$A$1:$BZ$1000,MATCH(PAYROLL!$D9,ADJ!A$1:A$500,0),MATCH(PAYROLL!EE$2,ADJ!$2:$2,0)),0)</f>
        <v/>
      </c>
      <c r="EF9">
        <f>IFERROR(INDEX(ADJ!$A$1:$BZ$1000,MATCH(PAYROLL!$D9,ADJ!A$1:A$500,0),MATCH(PAYROLL!EF$2,ADJ!$2:$2,0)),0)</f>
        <v/>
      </c>
      <c r="EG9">
        <f>IFERROR(INDEX(ADJ!$A$1:$BZ$1000,MATCH(PAYROLL!$D9,ADJ!A$1:A$500,0),MATCH(PAYROLL!EG$2,ADJ!$2:$2,0)),0)</f>
        <v/>
      </c>
      <c r="EH9">
        <f>IFERROR(INDEX(ADJ!$A$1:$BZ$1000,MATCH(PAYROLL!$D9,ADJ!A$1:A$500,0),MATCH(PAYROLL!EH$2,ADJ!$2:$2,0)),0)</f>
        <v/>
      </c>
      <c r="EI9">
        <f>IFERROR(INDEX(ADJ!$A$1:$BZ$1000,MATCH(PAYROLL!D9,ADJ!A$1:A$500,0),MATCH(PAYROLL!EI$2,ADJ!$2:$2,0)),0)</f>
        <v/>
      </c>
      <c r="EJ9">
        <f>IFERROR(INDEX(ADJ!$A$1:$BZ$1000,MATCH(PAYROLL!$D9,ADJ!A$1:A$500,0),MATCH(PAYROLL!EJ$2,ADJ!$2:$2,0)),0)</f>
        <v/>
      </c>
      <c r="EK9">
        <f>SUM(DZ9:EJ9)</f>
        <v/>
      </c>
    </row>
    <row r="10">
      <c r="A10" t="n">
        <v>8</v>
      </c>
      <c r="B10" t="inlineStr">
        <is>
          <t>Nguyễn Tuấn Nghĩa</t>
        </is>
      </c>
      <c r="D10" t="inlineStr">
        <is>
          <t>156800-01</t>
        </is>
      </c>
      <c r="S10">
        <f>IFERROR(INDEX(PIS!$A$1:$BZ$1000,MATCH($D10,PIS!C$1:C$500,0),MATCH("Lương CB tháng trước",PIS!$1:$1,0)),0)</f>
        <v/>
      </c>
      <c r="T10">
        <f>IFERROR(INDEX(PIS!$A$1:$BZ$1000,MATCH($D10,PIS!C$1:C$500,0),MATCH("Lương CB hiện tại",PIS!$1:$1,0)),0)</f>
        <v/>
      </c>
      <c r="U10">
        <f>IFERROR(INDEX(PIS!$A$1:$BZ$1000,MATCH($D10,PIS!C$1:C$500,0),MATCH("Lương đóng BHBB",PIS!$1:$1,0)),0)</f>
        <v/>
      </c>
      <c r="V10">
        <f>IFERROR(INDEX(PIS!$A$1:$BZ$1000,MATCH($D10,PIS!C$1:C$500,0),MATCH(V$2,PIS!$2:$2,0)),0)</f>
        <v/>
      </c>
      <c r="W10">
        <f>IFERROR(INDEX(PIS!$A$1:$BZ$1000,MATCH($D10,PIS!C$1:C$500,0),MATCH(W$2,PIS!$2:$2,0)),0)</f>
        <v/>
      </c>
      <c r="X10">
        <f>IFERROR(INDEX(PIS!$A$1:$BZ$1000,MATCH($D10,PIS!C$1:C$500,0),MATCH(X$2,PIS!$2:$2,0)),0)</f>
        <v/>
      </c>
      <c r="Y10">
        <f>IFERROR(INDEX(PIS!$A$1:$BZ$1000,MATCH($D10,PIS!C$1:C$500,0),MATCH(Y$2,PIS!$2:$2,0)),0)</f>
        <v/>
      </c>
      <c r="Z10">
        <f>IFERROR(INDEX(PIS!$A$1:$BZ$1000,MATCH($D10,PIS!C$1:C$500,0),MATCH(Z$2,PIS!$2:$2,0)),0)</f>
        <v/>
      </c>
      <c r="AA10">
        <f>IFERROR(INDEX(PIS!$A$1:$BZ$1000,MATCH($D10,PIS!C$1:C$500,0),MATCH(AA$2,PIS!$2:$2,0)),0)</f>
        <v/>
      </c>
      <c r="AB10">
        <f>IFERROR(INDEX(PIS!$A$1:$BZ$1000,MATCH($D10,PIS!C$1:C$500,0),MATCH(AB$2,PIS!$2:$2,0)),0)</f>
        <v/>
      </c>
      <c r="AC10">
        <f>SUM(V10:AB10)</f>
        <v/>
      </c>
      <c r="AD10">
        <f>IFERROR(INDEX(TIMESHEET!$A$1:$AI$5000,MATCH($D10,TIMESHEET!A$1:A$500,0),MATCH("T100",TIMESHEET!$2:$2,0)),0)</f>
        <v/>
      </c>
      <c r="AE10">
        <f>IFERROR(INDEX(TIMESHEET!$A$1:$AI$5000,MATCH($D10,TIMESHEET!A$1:A$500,0),MATCH("T202",TIMESHEET!$2:$2,0)),0)</f>
        <v/>
      </c>
      <c r="AF10">
        <f>IFERROR(INDEX(TIMESHEET!$A$1:$AI$5000,MATCH($D10,TIMESHEET!A$1:A$500,0),MATCH("T302",TIMESHEET!$2:$2,0)),0)</f>
        <v/>
      </c>
      <c r="AG10">
        <f>IFERROR(INDEX(TIMESHEET!$A$1:$AI$5000,MATCH($D10,TIMESHEET!A$1:A$500,0),MATCH("T406",TIMESHEET!$2:$2,0)),0)</f>
        <v/>
      </c>
      <c r="AH10">
        <f>IF(SUM(AE10:AG10)&gt;=26,26,SUM(AE10:AG10))</f>
        <v/>
      </c>
      <c r="AI10">
        <f>IFERROR(INDEX(TIMESHEET!$A$1:$AI$5000,MATCH($D10,TIMESHEET!A$1:A$500,0),MATCH("T701",TIMESHEET!$2:$2,0)),0)</f>
        <v/>
      </c>
      <c r="AJ10">
        <f>IFERROR(IF(INDEX(PIS!N$1:N$500,MATCH(D10,PIS!C$1:C$500,0))="LC4",(T10*0.85)/AD10*AH10,ROUND(T10/AD10*AH10,0)),0)</f>
        <v/>
      </c>
      <c r="AK10">
        <f>IFERROR(INDEX(ADJ!$A$1:$BZ$1000,MATCH(PAYROLL!D10,ADJ!A$1:A$500,0),MATCH(PAYROLL!AK$2,ADJ!$2:$2,0)),0)</f>
        <v/>
      </c>
      <c r="AL10">
        <f>SUM(AJ10:AK10)</f>
        <v/>
      </c>
      <c r="AM10">
        <f>IF(AH10&gt;13,V10,ROUND(V10/AD10*AH10,0))</f>
        <v/>
      </c>
      <c r="AN10">
        <f>IF(AD10=0,0,ROUND(W10/AD10*AI10,0))</f>
        <v/>
      </c>
      <c r="AO10">
        <f>ROUND(X10*AH10,0)</f>
        <v/>
      </c>
      <c r="AP10">
        <f>IF(AD10=0,0,ROUND(Y10/AD10*AH10,0))</f>
        <v/>
      </c>
      <c r="AQ10">
        <f>IFERROR(IF((AE10+AF10+AG10)&gt;13,Z10,ROUND(Z10/AD10*AH10,0)),0)</f>
        <v/>
      </c>
      <c r="AR10">
        <f>IF(AD10=0,0,ROUND(AA39/AD10*AH10,0))</f>
        <v/>
      </c>
      <c r="AS10">
        <f>IFERROR(IF((AE10+AF10+AG10)&gt;13,AB10,ROUND(AB10/AD10*AH10,0)),0)</f>
        <v/>
      </c>
      <c r="AT10">
        <f>IFERROR(INDEX(ADJ!$A$1:$BZ$1000,MATCH(PAYROLL!D10,ADJ!A$1:A$500,0),MATCH(PAYROLL!AT$2,ADJ!$2:$2,0)),0)</f>
        <v/>
      </c>
      <c r="AU10">
        <f>ROUND(SUM(AM10:AT10),0)</f>
        <v/>
      </c>
      <c r="AV10">
        <f>IFERROR(INDEX(TIMESHEET!$A$1:$AI$5000,MATCH(PAYROLL!D10,TIMESHEET!A$1:A$500,0),MATCH("T620",TIMESHEET!$2:$2,0)),0)</f>
        <v/>
      </c>
      <c r="AW10">
        <f>IFERROR(INDEX(TIMESHEET!$A$1:$AI$5000,MATCH(PAYROLL!D10,TIMESHEET!A$1:A$500,0),MATCH("T601",TIMESHEET!$2:$2,0)),0)</f>
        <v/>
      </c>
      <c r="AX10">
        <f>IFERROR(INDEX(TIMESHEET!$A$1:$AI$5000,MATCH(PAYROLL!D10,TIMESHEET!A$1:A$500,0),MATCH("T602",TIMESHEET!$2:$2,0)),0)</f>
        <v/>
      </c>
      <c r="AY10">
        <f>IFERROR(INDEX(TIMESHEET!$A$1:$AI$5000,MATCH(PAYROLL!D10,TIMESHEET!A$1:A$500,0),MATCH("T603",TIMESHEET!$2:$2,0)),0)</f>
        <v/>
      </c>
      <c r="AZ10">
        <f>IFERROR(INDEX(TIMESHEET!$A$1:$AI$5000,MATCH(PAYROLL!D10,TIMESHEET!A$1:A$500,0),MATCH("T611",TIMESHEET!$2:$2,0)),0)</f>
        <v/>
      </c>
      <c r="BA10">
        <f>IFERROR(INDEX(TIMESHEET!$A$1:$AI$5000,MATCH(PAYROLL!D10,TIMESHEET!A$1:A$500,0),MATCH("T612",TIMESHEET!$2:$2,0)),0)</f>
        <v/>
      </c>
      <c r="BB10">
        <f>IFERROR(INDEX(TIMESHEET!$A$1:$AI$5000,MATCH(PAYROLL!D10,TIMESHEET!A$1:A$500,0),MATCH("T613",TIMESHEET!$2:$2,0)),0)</f>
        <v/>
      </c>
      <c r="BC10">
        <f>IFERROR(INDEX(TIMESHEET!$A$1:$AI$5000,MATCH(PAYROLL!D10,TIMESHEET!A$1:A$500,0),MATCH("T500",TIMESHEET!$2:$2,0)),0)</f>
        <v/>
      </c>
      <c r="BD10">
        <f>IFERROR((T10+V10)/AD10/8*(AV10+AW10*1.5+AX10*2+AY10*3+AZ10*2.1+BA10*2.7+BB10*3.9+BC10*0.3),0)</f>
        <v/>
      </c>
      <c r="BE10">
        <f>IFERROR(INDEX(ADJ!$A$1:$BZ$1000,MATCH(PAYROLL!$D10,ADJ!A$1:A$500,0),MATCH(PAYROLL!BE$2,ADJ!$2:$2,0)),0)</f>
        <v/>
      </c>
      <c r="BF10">
        <f>IFERROR(INDEX(ADJ!$A$1:$BZ$1000,MATCH(PAYROLL!D10,ADJ!A$1:A$500,0),MATCH(PAYROLL!BF$2,ADJ!$2:$2,0)),0)</f>
        <v/>
      </c>
      <c r="BG10">
        <f>IFERROR(INDEX(ADJ!$A$1:$BZ$1000,MATCH(PAYROLL!D10,ADJ!A$1:A$500,0),MATCH(PAYROLL!BG$2,ADJ!$2:$2,0)),0)</f>
        <v/>
      </c>
      <c r="BH10">
        <f>IFERROR(INDEX(ADJ!$A$1:$BZ$1000,MATCH(PAYROLL!D10,ADJ!A$1:A$500,0),MATCH(PAYROLL!BH$2,ADJ!$2:$2,0)),0)</f>
        <v/>
      </c>
      <c r="BI10">
        <f>IFERROR(INDEX(ADJ!$A$1:$BZ$1000,MATCH(PAYROLL!D10,ADJ!A$1:A$500,0),MATCH(PAYROLL!BI$2,ADJ!$2:$2,0)),0)</f>
        <v/>
      </c>
      <c r="BJ10">
        <f>SUM(BE10:BI10)</f>
        <v/>
      </c>
      <c r="BK10">
        <f>IFERROR(IF(INDEX(PIS!N$1:N$500,MATCH(D10,PIS!C$1:C$500))="LC12",(T10*21.5%)/AD10*AH10,0),0)</f>
        <v/>
      </c>
      <c r="BL10">
        <f>IFERROR(INDEX(ADJ!$A$1:$BZ$1000,MATCH(PAYROLL!D10,ADJ!A$1:A$500,0),MATCH(PAYROLL!BL$2,ADJ!$2:$2,0)),0)</f>
        <v/>
      </c>
      <c r="BM10">
        <f>IFERROR(INDEX(ADJ!$A$1:$BZ$1000,MATCH(PAYROLL!D10,ADJ!A$1:A$500,0),MATCH(PAYROLL!BM$2,ADJ!$2:$2,0)),0)</f>
        <v/>
      </c>
      <c r="BN10">
        <f>IFERROR(INDEX(ADJ!$A$1:$BZ$1000,MATCH(PAYROLL!D10,ADJ!A$1:A$500,0),MATCH(PAYROLL!BN$2,ADJ!$2:$2,0)),0)</f>
        <v/>
      </c>
      <c r="BO10">
        <f>SUM(AL10,AU10,BD10,BJ10,BK10:BN10)</f>
        <v/>
      </c>
      <c r="BP10">
        <f>BN10+AP10</f>
        <v/>
      </c>
      <c r="BQ10">
        <f>IFERROR(ROUND(IF(LEFT(INDEX(PIS!O$1:O$500,MATCH(D10,PIS!C$1:C$500)),1)="D",T10/8*(BC10*0.3),IF(LEFT(INDEX(PIS!O$1:O$500,MATCH(D10,PIS!C$1:C$500)),1)="H",T10*($BC10*0.3),T10/$AD10/8*($BC10*0.3))),0),0)</f>
        <v/>
      </c>
      <c r="BR10">
        <f>IF(AO10&lt;1,0,MIN(AO10,730000))</f>
        <v/>
      </c>
      <c r="BS10">
        <f>IFERROR(ROUND((BD10-SUM(AV10:BB10)*T10/AD10/8),0)-BQ10,0)</f>
        <v/>
      </c>
      <c r="BT10">
        <f>AN10</f>
        <v/>
      </c>
      <c r="BU10">
        <f>SUM(BP10:BT10)</f>
        <v/>
      </c>
      <c r="BV10">
        <f>BO10-BU10</f>
        <v/>
      </c>
      <c r="BW10">
        <f>IFERROR(IF(RIGHT(INDEX(PIS!O$1:O$500,MATCH(D10,PIS!C$1:C$500)),5)="Gross",MIN(U10+V10,VLOOKUP("R700",TSC!B:C,2,0)*VLOOKUP("R101",TSC!B:C,2,0))*VLOOKUP("R701",TSC!B:C,2,0)%,0),0)</f>
        <v/>
      </c>
      <c r="BX10">
        <f>IFERROR(IF(RIGHT(INDEX(PIS!O$1:O$500,MATCH(D10,PIS!C$1:C$500)),5)="Gross",MIN(U10+V10,VLOOKUP("R700",TSC!B:C,2,0)*VLOOKUP("R101",TSC!B:C,2,0))*VLOOKUP("T704",TSC!B:C,2,0)%,0),0)</f>
        <v/>
      </c>
      <c r="BY10">
        <f>IFERROR(IF(RIGHT(INDEX(PIS!O$1:O$500,MATCH(D10,PIS!C$1:C$500)),5)="Gross",MIN(U10+V10,VLOOKUP("R700",TSC!B:C,2,0)*VLOOKUP("1",TSC!F:G,2,0))*VLOOKUP("T705",TSC!B:C,2,0)%,0),0)</f>
        <v/>
      </c>
      <c r="BZ10">
        <f>IFERROR(INDEX(ADJ!$A$1:$BZ$1000,MATCH(PAYROLL!D10,ADJ!A$1:A$500,0),MATCH(PAYROLL!BZ$2,ADJ!$2:$2,0)),0)</f>
        <v/>
      </c>
      <c r="CA10">
        <f>IFERROR(INDEX(ADJ!$A$1:$BZ$1000,MATCH(PAYROLL!D10,ADJ!A$1:A$500,0),MATCH(PAYROLL!CA$2,ADJ!$2:$2,0)),0)</f>
        <v/>
      </c>
      <c r="CB10">
        <f>SUM(BW10:CA10)</f>
        <v/>
      </c>
      <c r="CC10">
        <f>IFERROR(INDEX(PIS!$A$1:$BZ$1000,MATCH(PAYROLL!D10,PIS!C$1:C$500,0),MATCH(PAYROLL!CC$1,PIS!$1:$1,0)),0)</f>
        <v/>
      </c>
      <c r="CD10">
        <f>IFERROR(IF(OR(INDEX(PIS!P$1:P$500,MATCH(D10,PIS!C$1:C$500,0))="LT2",INDEX(PIS!P$1:P$500,MATCH(D10,PIS!C$1:C$500,0))="P10"),0,SUM(CB10,CC10*VLOOKUP("R601",TSC!B:C,2,0),VLOOKUP("R602",TSC!B:C,2,0))),0)</f>
        <v/>
      </c>
      <c r="CE10">
        <f>MAX(BV10-CD10,0)</f>
        <v/>
      </c>
      <c r="CF10">
        <f>IFERROR(IF(OR(RIGHT(INDEX(PIS!P$1:P$500,MATCH(D10,PIS!C$1:C$500)),5)="P10",RIGHT(INDEX(PIS!P$1:P$500,MATCH(D10,PIS!C$1:C$500)),5)="CK"),0,IF(CE10&lt;=5000000,CE10*5%,IF(CE10&lt;=10000000,CE10*10%-250000,IF(CE10&lt;=18000000,CE10*15%-750000,IF(CE10&lt;=32000000,CE10*20%-1650000,IF(CE10&lt;=52000000,CE10*25%-3250000,IF(CE10&lt;=80000000,BG10*30%-5850000,CE10*35%-9850000))))))),0)</f>
        <v/>
      </c>
      <c r="CG10">
        <f>IFERROR(IF(OR(INDEX(PIS!P$1:P$500,MATCH(D10,PIS!C$1:C$500))="LT",INDEX(PIS!P$1:P$500,MATCH(D10,PIS!C$1:C$500))="CK"),0,IF(CE10&lt;2000000,0,CE10*10%)),0)</f>
        <v/>
      </c>
      <c r="CH10">
        <f>IFERROR(INDEX(ADJ!$A$1:$BZ$1000,MATCH(PAYROLL!D10,ADJ!A$1:A$500,0),MATCH(PAYROLL!CH$2,ADJ!$2:$2,0)),0)</f>
        <v/>
      </c>
      <c r="CI10">
        <f>IFERROR(INDEX(ADJ!$A$1:$BZ$1000,MATCH(PAYROLL!D10,ADJ!A$1:A$500,0),MATCH(PAYROLL!CI$2,ADJ!$2:$2,0)),0)</f>
        <v/>
      </c>
      <c r="CJ10">
        <f>IFERROR(INDEX(ADJ!$A$1:$BZ$1000,MATCH(PAYROLL!D10,ADJ!A$1:A$500,0),MATCH(PAYROLL!CJ$2,ADJ!$2:$2,0)),0)</f>
        <v/>
      </c>
      <c r="CK10">
        <f>SUM(CF10:CJ10)</f>
        <v/>
      </c>
      <c r="CL10">
        <f>ROUND(SUM(CG10:CJ10),0)</f>
        <v/>
      </c>
      <c r="CM10">
        <f>IFERROR(INDEX(CSDA!D$1:D$500,MATCH($CM$2,CSDA!C$1:C$500,0))*INDEX(PIS!V$1:V$500,MATCH(D10,PIS!C$1:C$500))+INDEX(ADJ!$A$1:$BZ$1000,MATCH(PAYROLL!D10,ADJ!A$1:A$500,0),MATCH(PAYROLL!CM$2,ADJ!$2:$2,0)),0)</f>
        <v/>
      </c>
      <c r="CN10">
        <f>IFERROR(INDEX(ADJ!$A$1:$BZ$1000,MATCH(PAYROLL!D10,ADJ!A$1:A$500,0),MATCH(PAYROLL!CN$2,ADJ!$2:$2,0)),0)</f>
        <v/>
      </c>
      <c r="CO10">
        <f>IFERROR(INDEX(ADJ!$A$1:$BZ$1000,MATCH(PAYROLL!D10,ADJ!A$1:A$500,0),MATCH(PAYROLL!CO$2,ADJ!$2:$2,0)),0)</f>
        <v/>
      </c>
      <c r="CP10">
        <f>BO10-CK10-CH10-CL10-CM10-CN10-CO10-CB10</f>
        <v/>
      </c>
      <c r="CQ10">
        <f>IFERROR(IF(RIGHT(INDEX(PIS!O$1:O$500,MATCH(D10,PIS!C$1:C$500,0)),5)="Gross",MIN(U10+V10,VLOOKUP("R700",TSC!B:C,2,0)*VLOOKUP("R101",TSC!B:C,2,0))*(VLOOKUP("T711",TSC!B:C,2,0)+VLOOKUP("T712",TSC!B:C,2,0))%,MIN(T10+V10,VLOOKUP("R700",TSC!B:C,2,0)*VLOOKUP("R101",TSC!B:C,2,0))*(VLOOKUP("T711",TSC!B:C,2,0)+VLOOKUP("T712",TSC!B:C,2,0)+VLOOKUP("R701",TSC!B:C,2,0))%),0)</f>
        <v/>
      </c>
      <c r="CR10">
        <f>IFERROR(IF(RIGHT(INDEX(PIS!O$1:O$500,MATCH(D10,PIS!C$1:C$500,0)),5)="Gross",MIN(U10+V10,VLOOKUP("R700",TSC!B:C,2,0)*VLOOKUP("R101",TSC!B:C,2,0))*(VLOOKUP("T714",TSC!B:C,2,0))%,MIN(T10+V10,VLOOKUP("R700",TSC!B:C,2,0)*VLOOKUP("R101",TSC!B:C,2,0))*(VLOOKUP("T704",TSC!B:C,2,0)+VLOOKUP("T714",TSC!B:C,2,0))%),0)</f>
        <v/>
      </c>
      <c r="CS10">
        <f>IFERROR(IF(RIGHT(INDEX(PIS!O$1:O$500,MATCH(D10,PIS!C$1:C$500,0)),5)="Gross",MIN(U10+V10,VLOOKUP("R700",TSC!B:C,2,0)*VLOOKUP("R101",TSC!B:C,2,0))*VLOOKUP("T705",TSC!B:C,2,0)%,MIN(T10+V10,VLOOKUP("R700",TSC!B:C,2,0)*VLOOKUP("R101",TSC!B:C,2,0))*VLOOKUP("T705",TSC!B:C,2,0)%),0)</f>
        <v/>
      </c>
      <c r="CT10">
        <f>IFERROR(IF(RIGHT(INDEX(PIS!O$1:O$500,MATCH(D10,PIS!C$1:C$500,0)),5)="Gross",MIN(U10+V10,VLOOKUP("R700",TSC!B:C,2,0)*VLOOKUP("R101",TSC!B:C,2,0))*(VLOOKUP("T713",TSC!B:C,2,0))%,MIN(T10+V10,VLOOKUP("R700",TSC!B:C,2,0)*VLOOKUP("R101",TSC!B:C,2,0))*(VLOOKUP("T713",TSC!B:C,2,0))%),0)</f>
        <v/>
      </c>
      <c r="CU10">
        <f>IFERROR(INDEX(ADJ!$A$1:$BZ$1000,MATCH(PAYROLL!D10,ADJ!A$1:A$500,0),MATCH(PAYROLL!CU$2,ADJ!$2:$2,0)),0)</f>
        <v/>
      </c>
      <c r="CV10">
        <f>IFERROR(INDEX(ADJ!$A$1:$BZ$1000,MATCH(PAYROLL!D10,ADJ!A$1:A$500,0),MATCH(PAYROLL!CV$2,ADJ!$2:$2,0)),0)</f>
        <v/>
      </c>
      <c r="CW10">
        <f>SUM(CQ10:CV10)</f>
        <v/>
      </c>
      <c r="CX10">
        <f>ROUND(IF(CQ10&gt;0,T10+V10*VLOOKUP("R202",TSC!$B$1:$C$500,2,0),0),0)</f>
        <v/>
      </c>
      <c r="CY10">
        <f>IFERROR(INDEX(CSDA!D$1:D$500,MATCH($CY$2,CSDA!C$1:C$500,0)),0)</f>
        <v/>
      </c>
      <c r="CZ10">
        <f>ROUND(T10*0.7%,0)</f>
        <v/>
      </c>
      <c r="DA10">
        <f>ROUND(T10/12,0)</f>
        <v/>
      </c>
      <c r="DB10">
        <f ref="DB10" t="array">IFERROR(INDEX(CSDA!D$1:D$500,MATCH("Trích giữ"&amp;PAYROLL!DB$2,CSDA!A$1:A$500&amp;CSDA!C$1:C$500,0)),0)</f>
        <v/>
      </c>
      <c r="DC10">
        <f ref="DC10" t="array">IFERROR(INDEX(CSDA!D$1:D$500,MATCH("Trích giữ"&amp;PAYROLL!DC$2,CSDA!A$1:A$500&amp;CSDA!C$1:C$500,0)),0)</f>
        <v/>
      </c>
      <c r="DD10">
        <f ref="DD10" t="array">IFERROR(INDEX(CSDA!D$1:D$500,MATCH("Trích giữ"&amp;PAYROLL!DD$2,CSDA!A$1:A$500&amp;CSDA!C$1:C$500,0)),0)</f>
        <v/>
      </c>
      <c r="DE10">
        <f>IFERROR(INDEX(CSDA!D$1:D$500,MATCH(PAYROLL!DE$2,CSDA!C$1:C$500,0)),0)</f>
        <v/>
      </c>
      <c r="DF10">
        <f ref="DF10" t="array">IFERROR(INDEX(CSDA!D$1:D$500,MATCH("Trích giữ"&amp;PAYROLL!DF$2,CSDA!A$1:A$500&amp;CSDA!C$1:C$500,0)),0)</f>
        <v/>
      </c>
      <c r="DG10">
        <f>ROUND(T10/26,0)</f>
        <v/>
      </c>
      <c r="DH10">
        <f ref="DH10" t="array">IFERROR(INDEX(CSDA!D$1:D$500,MATCH("Trích giữ"&amp;PAYROLL!DH$2,CSDA!A$1:A$500&amp;CSDA!C$1:C$500,0)),0)</f>
        <v/>
      </c>
      <c r="DI10">
        <f>IF(U10=0,T10*21.5%-BK10,0)</f>
        <v/>
      </c>
      <c r="DK10">
        <f ref="DK10" t="array">IFERROR(INDEX(CSDA!D$1:D$500,MATCH("Trích giữ"&amp;PAYROLL!DK$2,CSDA!A$1:A$500&amp;CSDA!C$1:C$500,0)),0)</f>
        <v/>
      </c>
      <c r="DL10">
        <f>IFERROR(INDEX(CSDA!D$1:D$500,MATCH(PAYROLL!DL$2,CSDA!C$1:C$500,0))/12,0)</f>
        <v/>
      </c>
      <c r="DM10">
        <f>SUM(DA10:DL10)</f>
        <v/>
      </c>
      <c r="DN10">
        <f>IFERROR(INDEX(ADJ!$A$1:$BZ$1000,MATCH(PAYROLL!D10,ADJ!A$1:A$500,0),MATCH(PAYROLL!DN$2,ADJ!$2:$2,0)),0)</f>
        <v/>
      </c>
      <c r="DO10">
        <f>IFERROR(SUM(BO10,DM10:DN10,CW10:CZ10)-DT10,0)</f>
        <v/>
      </c>
      <c r="DP10">
        <f ref="DP10" t="array">SUM(BV10*IFERROR(INDEX(CSDA!D$1:D$500,MATCH(BV$2,CSDA!C$1:C$500,0)),0)%,CW10*IFERROR(INDEX(CSDA!D$1:D$500,MATCH(CW$2,CSDA!C$1:C$500,0)),0)%,CZ10*IFERROR(INDEX(CSDA!D$1:D$500,MATCH(CZ$2,CSDA!C$1:C$500,0)),0)%,DA10*IFERROR(INDEX(CSDA!D$1:D$500,MATCH(DA$2,CSDA!C$1:C$500,0)),0)%,DE10*IFERROR(INDEX(CSDA!D$1:D$500,MATCH("Phí dịch vụ"&amp;PAYROLL!DE$2,CSDA!A$1:A$500&amp;CSDA!C$1:C$500,0)),0)%,DB10*IFERROR(INDEX(CSDA!D$1:D$500,MATCH("Phí dịch vụ"&amp;PAYROLL!DB$2,CSDA!A$1:A$500&amp;CSDA!C$1:C$500,0)),0)%,DG10*IFERROR(INDEX(CSDA!D$1:D$500,MATCH("Phí dịch vụ"&amp;PAYROLL!DG$2,CSDA!A$1:A$500&amp;CSDA!C$1:C$500,0)),0)%,DI10*IFERROR(INDEX(CSDA!D$1:D$500,MATCH("Phí dịch vụ"&amp;PAYROLL!DI$2,CSDA!A$1:A$500&amp;CSDA!C$1:C$500,0)),0)%,BM10*IFERROR(INDEX(CSDA!D$1:D$500,MATCH(BM$2,CSDA!C$1:C$500,0)),0)%)-BM10*7%</f>
        <v/>
      </c>
      <c r="DQ10">
        <f>IFERROR(INDEX(ADJ!$A$1:$BZ$1000,MATCH(PAYROLL!D10,ADJ!A$1:A$500,0),MATCH(PAYROLL!DQ$2,ADJ!$2:$2,0)),0)</f>
        <v/>
      </c>
      <c r="DR10">
        <f>IFERROR(INDEX(ADJ!$A$1:$BZ$1000,MATCH(PAYROLL!D10,ADJ!A$1:A$500,0),MATCH(PAYROLL!DR$2,ADJ!$2:$2,0)),0)</f>
        <v/>
      </c>
      <c r="DS10">
        <f>SUM(DP10:DR10)</f>
        <v/>
      </c>
      <c r="DT10">
        <f>EK10</f>
        <v/>
      </c>
      <c r="DU10">
        <f>SUM(DO10:DR10)</f>
        <v/>
      </c>
      <c r="DV10">
        <f>ROUND(DU10*0.1,0)</f>
        <v/>
      </c>
      <c r="DW10">
        <f>DU10+DV10</f>
        <v/>
      </c>
      <c r="DZ10">
        <f>IFERROR(INDEX(ADJ!$A$1:$BZ$1000,MATCH(PAYROLL!$D10,ADJ!A$1:A$500,0),MATCH(PAYROLL!DZ$2,ADJ!$2:$2,0)),0)</f>
        <v/>
      </c>
      <c r="EA10">
        <f>IFERROR(INDEX(ADJ!$A$1:$BZ$1000,MATCH(PAYROLL!$D10,ADJ!A$1:A$500,0),MATCH(PAYROLL!EA$2,ADJ!$2:$2,0)),0)</f>
        <v/>
      </c>
      <c r="EB10">
        <f>IFERROR(INDEX(ADJ!$A$1:$BZ$1000,MATCH(PAYROLL!$D10,ADJ!A$1:A$500,0),MATCH(PAYROLL!EB$2,ADJ!$2:$2,0)),0)</f>
        <v/>
      </c>
      <c r="EC10">
        <f>IFERROR(INDEX(ADJ!$A$1:$BZ$1000,MATCH(PAYROLL!$D10,ADJ!A$1:A$500,0),MATCH(PAYROLL!EC$2,ADJ!$2:$2,0)),0)</f>
        <v/>
      </c>
      <c r="ED10">
        <f>IFERROR(INDEX(ADJ!$A$1:$BZ$1000,MATCH(PAYROLL!$D10,ADJ!A$1:A$500,0),MATCH(PAYROLL!ED$2,ADJ!$2:$2,0)),0)</f>
        <v/>
      </c>
      <c r="EE10">
        <f>IFERROR(INDEX(ADJ!$A$1:$BZ$1000,MATCH(PAYROLL!$D10,ADJ!A$1:A$500,0),MATCH(PAYROLL!EE$2,ADJ!$2:$2,0)),0)</f>
        <v/>
      </c>
      <c r="EF10">
        <f>IFERROR(INDEX(ADJ!$A$1:$BZ$1000,MATCH(PAYROLL!$D10,ADJ!A$1:A$500,0),MATCH(PAYROLL!EF$2,ADJ!$2:$2,0)),0)</f>
        <v/>
      </c>
      <c r="EG10">
        <f>IFERROR(INDEX(ADJ!$A$1:$BZ$1000,MATCH(PAYROLL!$D10,ADJ!A$1:A$500,0),MATCH(PAYROLL!EG$2,ADJ!$2:$2,0)),0)</f>
        <v/>
      </c>
      <c r="EH10">
        <f>IFERROR(INDEX(ADJ!$A$1:$BZ$1000,MATCH(PAYROLL!$D10,ADJ!A$1:A$500,0),MATCH(PAYROLL!EH$2,ADJ!$2:$2,0)),0)</f>
        <v/>
      </c>
      <c r="EI10">
        <f>IFERROR(INDEX(ADJ!$A$1:$BZ$1000,MATCH(PAYROLL!D10,ADJ!A$1:A$500,0),MATCH(PAYROLL!EI$2,ADJ!$2:$2,0)),0)</f>
        <v/>
      </c>
      <c r="EJ10">
        <f>IFERROR(INDEX(ADJ!$A$1:$BZ$1000,MATCH(PAYROLL!$D10,ADJ!A$1:A$500,0),MATCH(PAYROLL!EJ$2,ADJ!$2:$2,0)),0)</f>
        <v/>
      </c>
      <c r="EK10">
        <f>SUM(DZ10:EJ10)</f>
        <v/>
      </c>
    </row>
    <row r="11">
      <c r="A11" t="n">
        <v>9</v>
      </c>
      <c r="B11" t="inlineStr">
        <is>
          <t>Nguyễn Mạnh Dương</t>
        </is>
      </c>
      <c r="D11" t="inlineStr">
        <is>
          <t>157507-01</t>
        </is>
      </c>
      <c r="S11">
        <f>IFERROR(INDEX(PIS!$A$1:$BZ$1000,MATCH($D11,PIS!C$1:C$500,0),MATCH("Lương CB tháng trước",PIS!$1:$1,0)),0)</f>
        <v/>
      </c>
      <c r="T11">
        <f>IFERROR(INDEX(PIS!$A$1:$BZ$1000,MATCH($D11,PIS!C$1:C$500,0),MATCH("Lương CB hiện tại",PIS!$1:$1,0)),0)</f>
        <v/>
      </c>
      <c r="U11">
        <f>IFERROR(INDEX(PIS!$A$1:$BZ$1000,MATCH($D11,PIS!C$1:C$500,0),MATCH("Lương đóng BHBB",PIS!$1:$1,0)),0)</f>
        <v/>
      </c>
      <c r="V11">
        <f>IFERROR(INDEX(PIS!$A$1:$BZ$1000,MATCH($D11,PIS!C$1:C$500,0),MATCH(V$2,PIS!$2:$2,0)),0)</f>
        <v/>
      </c>
      <c r="W11">
        <f>IFERROR(INDEX(PIS!$A$1:$BZ$1000,MATCH($D11,PIS!C$1:C$500,0),MATCH(W$2,PIS!$2:$2,0)),0)</f>
        <v/>
      </c>
      <c r="X11">
        <f>IFERROR(INDEX(PIS!$A$1:$BZ$1000,MATCH($D11,PIS!C$1:C$500,0),MATCH(X$2,PIS!$2:$2,0)),0)</f>
        <v/>
      </c>
      <c r="Y11">
        <f>IFERROR(INDEX(PIS!$A$1:$BZ$1000,MATCH($D11,PIS!C$1:C$500,0),MATCH(Y$2,PIS!$2:$2,0)),0)</f>
        <v/>
      </c>
      <c r="Z11">
        <f>IFERROR(INDEX(PIS!$A$1:$BZ$1000,MATCH($D11,PIS!C$1:C$500,0),MATCH(Z$2,PIS!$2:$2,0)),0)</f>
        <v/>
      </c>
      <c r="AA11">
        <f>IFERROR(INDEX(PIS!$A$1:$BZ$1000,MATCH($D11,PIS!C$1:C$500,0),MATCH(AA$2,PIS!$2:$2,0)),0)</f>
        <v/>
      </c>
      <c r="AB11">
        <f>IFERROR(INDEX(PIS!$A$1:$BZ$1000,MATCH($D11,PIS!C$1:C$500,0),MATCH(AB$2,PIS!$2:$2,0)),0)</f>
        <v/>
      </c>
      <c r="AC11">
        <f>SUM(V11:AB11)</f>
        <v/>
      </c>
      <c r="AD11">
        <f>IFERROR(INDEX(TIMESHEET!$A$1:$AI$5000,MATCH($D11,TIMESHEET!A$1:A$500,0),MATCH("T100",TIMESHEET!$2:$2,0)),0)</f>
        <v/>
      </c>
      <c r="AE11">
        <f>IFERROR(INDEX(TIMESHEET!$A$1:$AI$5000,MATCH($D11,TIMESHEET!A$1:A$500,0),MATCH("T202",TIMESHEET!$2:$2,0)),0)</f>
        <v/>
      </c>
      <c r="AF11">
        <f>IFERROR(INDEX(TIMESHEET!$A$1:$AI$5000,MATCH($D11,TIMESHEET!A$1:A$500,0),MATCH("T302",TIMESHEET!$2:$2,0)),0)</f>
        <v/>
      </c>
      <c r="AG11">
        <f>IFERROR(INDEX(TIMESHEET!$A$1:$AI$5000,MATCH($D11,TIMESHEET!A$1:A$500,0),MATCH("T406",TIMESHEET!$2:$2,0)),0)</f>
        <v/>
      </c>
      <c r="AH11">
        <f>IF(SUM(AE11:AG11)&gt;=26,26,SUM(AE11:AG11))</f>
        <v/>
      </c>
      <c r="AI11">
        <f>IFERROR(INDEX(TIMESHEET!$A$1:$AI$5000,MATCH($D11,TIMESHEET!A$1:A$500,0),MATCH("T701",TIMESHEET!$2:$2,0)),0)</f>
        <v/>
      </c>
      <c r="AJ11">
        <f>IFERROR(IF(INDEX(PIS!N$1:N$500,MATCH(D11,PIS!C$1:C$500,0))="LC4",(T11*0.85)/AD11*AH11,ROUND(T11/AD11*AH11,0)),0)</f>
        <v/>
      </c>
      <c r="AK11">
        <f>IFERROR(INDEX(ADJ!$A$1:$BZ$1000,MATCH(PAYROLL!D11,ADJ!A$1:A$500,0),MATCH(PAYROLL!AK$2,ADJ!$2:$2,0)),0)</f>
        <v/>
      </c>
      <c r="AL11">
        <f>SUM(AJ11:AK11)</f>
        <v/>
      </c>
      <c r="AM11">
        <f>IF(AH11&gt;13,V11,ROUND(V11/AD11*AH11,0))</f>
        <v/>
      </c>
      <c r="AN11">
        <f>IF(AD11=0,0,ROUND(W11/AD11*AI11,0))</f>
        <v/>
      </c>
      <c r="AO11">
        <f>ROUND(X11*AH11,0)</f>
        <v/>
      </c>
      <c r="AP11">
        <f>IF(AD11=0,0,ROUND(Y11/AD11*AH11,0))</f>
        <v/>
      </c>
      <c r="AQ11">
        <f>IFERROR(IF((AE11+AF11+AG11)&gt;13,Z11,ROUND(Z11/AD11*AH11,0)),0)</f>
        <v/>
      </c>
      <c r="AR11">
        <f>IF(AD11=0,0,ROUND(AA40/AD11*AH11,0))</f>
        <v/>
      </c>
      <c r="AS11">
        <f>IFERROR(IF((AE11+AF11+AG11)&gt;13,AB11,ROUND(AB11/AD11*AH11,0)),0)</f>
        <v/>
      </c>
      <c r="AT11">
        <f>IFERROR(INDEX(ADJ!$A$1:$BZ$1000,MATCH(PAYROLL!D11,ADJ!A$1:A$500,0),MATCH(PAYROLL!AT$2,ADJ!$2:$2,0)),0)</f>
        <v/>
      </c>
      <c r="AU11">
        <f>ROUND(SUM(AM11:AT11),0)</f>
        <v/>
      </c>
      <c r="AV11">
        <f>IFERROR(INDEX(TIMESHEET!$A$1:$AI$5000,MATCH(PAYROLL!D11,TIMESHEET!A$1:A$500,0),MATCH("T620",TIMESHEET!$2:$2,0)),0)</f>
        <v/>
      </c>
      <c r="AW11">
        <f>IFERROR(INDEX(TIMESHEET!$A$1:$AI$5000,MATCH(PAYROLL!D11,TIMESHEET!A$1:A$500,0),MATCH("T601",TIMESHEET!$2:$2,0)),0)</f>
        <v/>
      </c>
      <c r="AX11">
        <f>IFERROR(INDEX(TIMESHEET!$A$1:$AI$5000,MATCH(PAYROLL!D11,TIMESHEET!A$1:A$500,0),MATCH("T602",TIMESHEET!$2:$2,0)),0)</f>
        <v/>
      </c>
      <c r="AY11">
        <f>IFERROR(INDEX(TIMESHEET!$A$1:$AI$5000,MATCH(PAYROLL!D11,TIMESHEET!A$1:A$500,0),MATCH("T603",TIMESHEET!$2:$2,0)),0)</f>
        <v/>
      </c>
      <c r="AZ11">
        <f>IFERROR(INDEX(TIMESHEET!$A$1:$AI$5000,MATCH(PAYROLL!D11,TIMESHEET!A$1:A$500,0),MATCH("T611",TIMESHEET!$2:$2,0)),0)</f>
        <v/>
      </c>
      <c r="BA11">
        <f>IFERROR(INDEX(TIMESHEET!$A$1:$AI$5000,MATCH(PAYROLL!D11,TIMESHEET!A$1:A$500,0),MATCH("T612",TIMESHEET!$2:$2,0)),0)</f>
        <v/>
      </c>
      <c r="BB11">
        <f>IFERROR(INDEX(TIMESHEET!$A$1:$AI$5000,MATCH(PAYROLL!D11,TIMESHEET!A$1:A$500,0),MATCH("T613",TIMESHEET!$2:$2,0)),0)</f>
        <v/>
      </c>
      <c r="BC11">
        <f>IFERROR(INDEX(TIMESHEET!$A$1:$AI$5000,MATCH(PAYROLL!D11,TIMESHEET!A$1:A$500,0),MATCH("T500",TIMESHEET!$2:$2,0)),0)</f>
        <v/>
      </c>
      <c r="BD11">
        <f>IFERROR((T11+V11)/AD11/8*(AV11+AW11*1.5+AX11*2+AY11*3+AZ11*2.1+BA11*2.7+BB11*3.9+BC11*0.3),0)</f>
        <v/>
      </c>
      <c r="BE11">
        <f>IFERROR(INDEX(ADJ!$A$1:$BZ$1000,MATCH(PAYROLL!$D11,ADJ!A$1:A$500,0),MATCH(PAYROLL!BE$2,ADJ!$2:$2,0)),0)</f>
        <v/>
      </c>
      <c r="BF11">
        <f>IFERROR(INDEX(ADJ!$A$1:$BZ$1000,MATCH(PAYROLL!D11,ADJ!A$1:A$500,0),MATCH(PAYROLL!BF$2,ADJ!$2:$2,0)),0)</f>
        <v/>
      </c>
      <c r="BG11">
        <f>IFERROR(INDEX(ADJ!$A$1:$BZ$1000,MATCH(PAYROLL!D11,ADJ!A$1:A$500,0),MATCH(PAYROLL!BG$2,ADJ!$2:$2,0)),0)</f>
        <v/>
      </c>
      <c r="BH11">
        <f>IFERROR(INDEX(ADJ!$A$1:$BZ$1000,MATCH(PAYROLL!D11,ADJ!A$1:A$500,0),MATCH(PAYROLL!BH$2,ADJ!$2:$2,0)),0)</f>
        <v/>
      </c>
      <c r="BI11">
        <f>IFERROR(INDEX(ADJ!$A$1:$BZ$1000,MATCH(PAYROLL!D11,ADJ!A$1:A$500,0),MATCH(PAYROLL!BI$2,ADJ!$2:$2,0)),0)</f>
        <v/>
      </c>
      <c r="BJ11">
        <f>SUM(BE11:BI11)</f>
        <v/>
      </c>
      <c r="BK11">
        <f>IFERROR(IF(INDEX(PIS!N$1:N$500,MATCH(D11,PIS!C$1:C$500))="LC12",(T11*21.5%)/AD11*AH11,0),0)</f>
        <v/>
      </c>
      <c r="BL11">
        <f>IFERROR(INDEX(ADJ!$A$1:$BZ$1000,MATCH(PAYROLL!D11,ADJ!A$1:A$500,0),MATCH(PAYROLL!BL$2,ADJ!$2:$2,0)),0)</f>
        <v/>
      </c>
      <c r="BM11">
        <f>IFERROR(INDEX(ADJ!$A$1:$BZ$1000,MATCH(PAYROLL!D11,ADJ!A$1:A$500,0),MATCH(PAYROLL!BM$2,ADJ!$2:$2,0)),0)</f>
        <v/>
      </c>
      <c r="BN11">
        <f>IFERROR(INDEX(ADJ!$A$1:$BZ$1000,MATCH(PAYROLL!D11,ADJ!A$1:A$500,0),MATCH(PAYROLL!BN$2,ADJ!$2:$2,0)),0)</f>
        <v/>
      </c>
      <c r="BO11">
        <f>SUM(AL11,AU11,BD11,BJ11,BK11:BN11)</f>
        <v/>
      </c>
      <c r="BP11">
        <f>BN11+AP11</f>
        <v/>
      </c>
      <c r="BQ11">
        <f>IFERROR(ROUND(IF(LEFT(INDEX(PIS!O$1:O$500,MATCH(D11,PIS!C$1:C$500)),1)="D",T11/8*(BC11*0.3),IF(LEFT(INDEX(PIS!O$1:O$500,MATCH(D11,PIS!C$1:C$500)),1)="H",T11*($BC11*0.3),T11/$AD11/8*($BC11*0.3))),0),0)</f>
        <v/>
      </c>
      <c r="BR11">
        <f>IF(AO11&lt;1,0,MIN(AO11,730000))</f>
        <v/>
      </c>
      <c r="BS11">
        <f>IFERROR(ROUND((BD11-SUM(AV11:BB11)*T11/AD11/8),0)-BQ11,0)</f>
        <v/>
      </c>
      <c r="BT11">
        <f>AN11</f>
        <v/>
      </c>
      <c r="BU11">
        <f>SUM(BP11:BT11)</f>
        <v/>
      </c>
      <c r="BV11">
        <f>BO11-BU11</f>
        <v/>
      </c>
      <c r="BW11">
        <f>IFERROR(IF(RIGHT(INDEX(PIS!O$1:O$500,MATCH(D11,PIS!C$1:C$500)),5)="Gross",MIN(U11+V11,VLOOKUP("R700",TSC!B:C,2,0)*VLOOKUP("R101",TSC!B:C,2,0))*VLOOKUP("R701",TSC!B:C,2,0)%,0),0)</f>
        <v/>
      </c>
      <c r="BX11">
        <f>IFERROR(IF(RIGHT(INDEX(PIS!O$1:O$500,MATCH(D11,PIS!C$1:C$500)),5)="Gross",MIN(U11+V11,VLOOKUP("R700",TSC!B:C,2,0)*VLOOKUP("R101",TSC!B:C,2,0))*VLOOKUP("T704",TSC!B:C,2,0)%,0),0)</f>
        <v/>
      </c>
      <c r="BY11">
        <f>IFERROR(IF(RIGHT(INDEX(PIS!O$1:O$500,MATCH(D11,PIS!C$1:C$500)),5)="Gross",MIN(U11+V11,VLOOKUP("R700",TSC!B:C,2,0)*VLOOKUP("1",TSC!F:G,2,0))*VLOOKUP("T705",TSC!B:C,2,0)%,0),0)</f>
        <v/>
      </c>
      <c r="BZ11">
        <f>IFERROR(INDEX(ADJ!$A$1:$BZ$1000,MATCH(PAYROLL!D11,ADJ!A$1:A$500,0),MATCH(PAYROLL!BZ$2,ADJ!$2:$2,0)),0)</f>
        <v/>
      </c>
      <c r="CA11">
        <f>IFERROR(INDEX(ADJ!$A$1:$BZ$1000,MATCH(PAYROLL!D11,ADJ!A$1:A$500,0),MATCH(PAYROLL!CA$2,ADJ!$2:$2,0)),0)</f>
        <v/>
      </c>
      <c r="CB11">
        <f>SUM(BW11:CA11)</f>
        <v/>
      </c>
      <c r="CC11">
        <f>IFERROR(INDEX(PIS!$A$1:$BZ$1000,MATCH(PAYROLL!D11,PIS!C$1:C$500,0),MATCH(PAYROLL!CC$1,PIS!$1:$1,0)),0)</f>
        <v/>
      </c>
      <c r="CD11">
        <f>IFERROR(IF(OR(INDEX(PIS!P$1:P$500,MATCH(D11,PIS!C$1:C$500,0))="LT2",INDEX(PIS!P$1:P$500,MATCH(D11,PIS!C$1:C$500,0))="P10"),0,SUM(CB11,CC11*VLOOKUP("R601",TSC!B:C,2,0),VLOOKUP("R602",TSC!B:C,2,0))),0)</f>
        <v/>
      </c>
      <c r="CE11">
        <f>MAX(BV11-CD11,0)</f>
        <v/>
      </c>
      <c r="CF11">
        <f>IFERROR(IF(OR(RIGHT(INDEX(PIS!P$1:P$500,MATCH(D11,PIS!C$1:C$500)),5)="P10",RIGHT(INDEX(PIS!P$1:P$500,MATCH(D11,PIS!C$1:C$500)),5)="CK"),0,IF(CE11&lt;=5000000,CE11*5%,IF(CE11&lt;=10000000,CE11*10%-250000,IF(CE11&lt;=18000000,CE11*15%-750000,IF(CE11&lt;=32000000,CE11*20%-1650000,IF(CE11&lt;=52000000,CE11*25%-3250000,IF(CE11&lt;=80000000,BG11*30%-5850000,CE11*35%-9850000))))))),0)</f>
        <v/>
      </c>
      <c r="CG11">
        <f>IFERROR(IF(OR(INDEX(PIS!P$1:P$500,MATCH(D11,PIS!C$1:C$500))="LT",INDEX(PIS!P$1:P$500,MATCH(D11,PIS!C$1:C$500))="CK"),0,IF(CE11&lt;2000000,0,CE11*10%)),0)</f>
        <v/>
      </c>
      <c r="CH11">
        <f>IFERROR(INDEX(ADJ!$A$1:$BZ$1000,MATCH(PAYROLL!D11,ADJ!A$1:A$500,0),MATCH(PAYROLL!CH$2,ADJ!$2:$2,0)),0)</f>
        <v/>
      </c>
      <c r="CI11">
        <f>IFERROR(INDEX(ADJ!$A$1:$BZ$1000,MATCH(PAYROLL!D11,ADJ!A$1:A$500,0),MATCH(PAYROLL!CI$2,ADJ!$2:$2,0)),0)</f>
        <v/>
      </c>
      <c r="CJ11">
        <f>IFERROR(INDEX(ADJ!$A$1:$BZ$1000,MATCH(PAYROLL!D11,ADJ!A$1:A$500,0),MATCH(PAYROLL!CJ$2,ADJ!$2:$2,0)),0)</f>
        <v/>
      </c>
      <c r="CK11">
        <f>SUM(CF11:CJ11)</f>
        <v/>
      </c>
      <c r="CL11">
        <f>ROUND(SUM(CG11:CJ11),0)</f>
        <v/>
      </c>
      <c r="CM11">
        <f>IFERROR(INDEX(CSDA!D$1:D$500,MATCH($CM$2,CSDA!C$1:C$500,0))*INDEX(PIS!V$1:V$500,MATCH(D11,PIS!C$1:C$500))+INDEX(ADJ!$A$1:$BZ$1000,MATCH(PAYROLL!D11,ADJ!A$1:A$500,0),MATCH(PAYROLL!CM$2,ADJ!$2:$2,0)),0)</f>
        <v/>
      </c>
      <c r="CN11">
        <f>IFERROR(INDEX(ADJ!$A$1:$BZ$1000,MATCH(PAYROLL!D11,ADJ!A$1:A$500,0),MATCH(PAYROLL!CN$2,ADJ!$2:$2,0)),0)</f>
        <v/>
      </c>
      <c r="CO11">
        <f>IFERROR(INDEX(ADJ!$A$1:$BZ$1000,MATCH(PAYROLL!D11,ADJ!A$1:A$500,0),MATCH(PAYROLL!CO$2,ADJ!$2:$2,0)),0)</f>
        <v/>
      </c>
      <c r="CP11">
        <f>BO11-CK11-CH11-CL11-CM11-CN11-CO11-CB11</f>
        <v/>
      </c>
      <c r="CQ11">
        <f>IFERROR(IF(RIGHT(INDEX(PIS!O$1:O$500,MATCH(D11,PIS!C$1:C$500,0)),5)="Gross",MIN(U11+V11,VLOOKUP("R700",TSC!B:C,2,0)*VLOOKUP("R101",TSC!B:C,2,0))*(VLOOKUP("T711",TSC!B:C,2,0)+VLOOKUP("T712",TSC!B:C,2,0))%,MIN(T11+V11,VLOOKUP("R700",TSC!B:C,2,0)*VLOOKUP("R101",TSC!B:C,2,0))*(VLOOKUP("T711",TSC!B:C,2,0)+VLOOKUP("T712",TSC!B:C,2,0)+VLOOKUP("R701",TSC!B:C,2,0))%),0)</f>
        <v/>
      </c>
      <c r="CR11">
        <f>IFERROR(IF(RIGHT(INDEX(PIS!O$1:O$500,MATCH(D11,PIS!C$1:C$500,0)),5)="Gross",MIN(U11+V11,VLOOKUP("R700",TSC!B:C,2,0)*VLOOKUP("R101",TSC!B:C,2,0))*(VLOOKUP("T714",TSC!B:C,2,0))%,MIN(T11+V11,VLOOKUP("R700",TSC!B:C,2,0)*VLOOKUP("R101",TSC!B:C,2,0))*(VLOOKUP("T704",TSC!B:C,2,0)+VLOOKUP("T714",TSC!B:C,2,0))%),0)</f>
        <v/>
      </c>
      <c r="CS11">
        <f>IFERROR(IF(RIGHT(INDEX(PIS!O$1:O$500,MATCH(D11,PIS!C$1:C$500,0)),5)="Gross",MIN(U11+V11,VLOOKUP("R700",TSC!B:C,2,0)*VLOOKUP("R101",TSC!B:C,2,0))*VLOOKUP("T705",TSC!B:C,2,0)%,MIN(T11+V11,VLOOKUP("R700",TSC!B:C,2,0)*VLOOKUP("R101",TSC!B:C,2,0))*VLOOKUP("T705",TSC!B:C,2,0)%),0)</f>
        <v/>
      </c>
      <c r="CT11">
        <f>IFERROR(IF(RIGHT(INDEX(PIS!O$1:O$500,MATCH(D11,PIS!C$1:C$500,0)),5)="Gross",MIN(U11+V11,VLOOKUP("R700",TSC!B:C,2,0)*VLOOKUP("R101",TSC!B:C,2,0))*(VLOOKUP("T713",TSC!B:C,2,0))%,MIN(T11+V11,VLOOKUP("R700",TSC!B:C,2,0)*VLOOKUP("R101",TSC!B:C,2,0))*(VLOOKUP("T713",TSC!B:C,2,0))%),0)</f>
        <v/>
      </c>
      <c r="CU11">
        <f>IFERROR(INDEX(ADJ!$A$1:$BZ$1000,MATCH(PAYROLL!D11,ADJ!A$1:A$500,0),MATCH(PAYROLL!CU$2,ADJ!$2:$2,0)),0)</f>
        <v/>
      </c>
      <c r="CV11">
        <f>IFERROR(INDEX(ADJ!$A$1:$BZ$1000,MATCH(PAYROLL!D11,ADJ!A$1:A$500,0),MATCH(PAYROLL!CV$2,ADJ!$2:$2,0)),0)</f>
        <v/>
      </c>
      <c r="CW11">
        <f>SUM(CQ11:CV11)</f>
        <v/>
      </c>
      <c r="CX11">
        <f>ROUND(IF(CQ11&gt;0,T11+V11*VLOOKUP("R202",TSC!$B$1:$C$500,2,0),0),0)</f>
        <v/>
      </c>
      <c r="CY11">
        <f>IFERROR(INDEX(CSDA!D$1:D$500,MATCH($CY$2,CSDA!C$1:C$500,0)),0)</f>
        <v/>
      </c>
      <c r="CZ11">
        <f>ROUND(T11*0.7%,0)</f>
        <v/>
      </c>
      <c r="DA11">
        <f>ROUND(T11/12,0)</f>
        <v/>
      </c>
      <c r="DB11">
        <f ref="DB11" t="array">IFERROR(INDEX(CSDA!D$1:D$500,MATCH("Trích giữ"&amp;PAYROLL!DB$2,CSDA!A$1:A$500&amp;CSDA!C$1:C$500,0)),0)</f>
        <v/>
      </c>
      <c r="DC11">
        <f ref="DC11" t="array">IFERROR(INDEX(CSDA!D$1:D$500,MATCH("Trích giữ"&amp;PAYROLL!DC$2,CSDA!A$1:A$500&amp;CSDA!C$1:C$500,0)),0)</f>
        <v/>
      </c>
      <c r="DD11">
        <f ref="DD11" t="array">IFERROR(INDEX(CSDA!D$1:D$500,MATCH("Trích giữ"&amp;PAYROLL!DD$2,CSDA!A$1:A$500&amp;CSDA!C$1:C$500,0)),0)</f>
        <v/>
      </c>
      <c r="DE11">
        <f>IFERROR(INDEX(CSDA!D$1:D$500,MATCH(PAYROLL!DE$2,CSDA!C$1:C$500,0)),0)</f>
        <v/>
      </c>
      <c r="DF11">
        <f ref="DF11" t="array">IFERROR(INDEX(CSDA!D$1:D$500,MATCH("Trích giữ"&amp;PAYROLL!DF$2,CSDA!A$1:A$500&amp;CSDA!C$1:C$500,0)),0)</f>
        <v/>
      </c>
      <c r="DG11">
        <f>ROUND(T11/26,0)</f>
        <v/>
      </c>
      <c r="DH11">
        <f ref="DH11" t="array">IFERROR(INDEX(CSDA!D$1:D$500,MATCH("Trích giữ"&amp;PAYROLL!DH$2,CSDA!A$1:A$500&amp;CSDA!C$1:C$500,0)),0)</f>
        <v/>
      </c>
      <c r="DI11">
        <f>IF(U11=0,T11*21.5%-BK11,0)</f>
        <v/>
      </c>
      <c r="DK11">
        <f ref="DK11" t="array">IFERROR(INDEX(CSDA!D$1:D$500,MATCH("Trích giữ"&amp;PAYROLL!DK$2,CSDA!A$1:A$500&amp;CSDA!C$1:C$500,0)),0)</f>
        <v/>
      </c>
      <c r="DL11">
        <f>IFERROR(INDEX(CSDA!D$1:D$500,MATCH(PAYROLL!DL$2,CSDA!C$1:C$500,0))/12,0)</f>
        <v/>
      </c>
      <c r="DM11">
        <f>SUM(DA11:DL11)</f>
        <v/>
      </c>
      <c r="DN11">
        <f>IFERROR(INDEX(ADJ!$A$1:$BZ$1000,MATCH(PAYROLL!D11,ADJ!A$1:A$500,0),MATCH(PAYROLL!DN$2,ADJ!$2:$2,0)),0)</f>
        <v/>
      </c>
      <c r="DO11">
        <f>IFERROR(SUM(BO11,DM11:DN11,CW11:CZ11)-DT11,0)</f>
        <v/>
      </c>
      <c r="DP11">
        <f ref="DP11" t="array">SUM(BV11*IFERROR(INDEX(CSDA!D$1:D$500,MATCH(BV$2,CSDA!C$1:C$500,0)),0)%,CW11*IFERROR(INDEX(CSDA!D$1:D$500,MATCH(CW$2,CSDA!C$1:C$500,0)),0)%,CZ11*IFERROR(INDEX(CSDA!D$1:D$500,MATCH(CZ$2,CSDA!C$1:C$500,0)),0)%,DA11*IFERROR(INDEX(CSDA!D$1:D$500,MATCH(DA$2,CSDA!C$1:C$500,0)),0)%,DE11*IFERROR(INDEX(CSDA!D$1:D$500,MATCH("Phí dịch vụ"&amp;PAYROLL!DE$2,CSDA!A$1:A$500&amp;CSDA!C$1:C$500,0)),0)%,DB11*IFERROR(INDEX(CSDA!D$1:D$500,MATCH("Phí dịch vụ"&amp;PAYROLL!DB$2,CSDA!A$1:A$500&amp;CSDA!C$1:C$500,0)),0)%,DG11*IFERROR(INDEX(CSDA!D$1:D$500,MATCH("Phí dịch vụ"&amp;PAYROLL!DG$2,CSDA!A$1:A$500&amp;CSDA!C$1:C$500,0)),0)%,DI11*IFERROR(INDEX(CSDA!D$1:D$500,MATCH("Phí dịch vụ"&amp;PAYROLL!DI$2,CSDA!A$1:A$500&amp;CSDA!C$1:C$500,0)),0)%,BM11*IFERROR(INDEX(CSDA!D$1:D$500,MATCH(BM$2,CSDA!C$1:C$500,0)),0)%)-BM11*7%</f>
        <v/>
      </c>
      <c r="DQ11">
        <f>IFERROR(INDEX(ADJ!$A$1:$BZ$1000,MATCH(PAYROLL!D11,ADJ!A$1:A$500,0),MATCH(PAYROLL!DQ$2,ADJ!$2:$2,0)),0)</f>
        <v/>
      </c>
      <c r="DR11">
        <f>IFERROR(INDEX(ADJ!$A$1:$BZ$1000,MATCH(PAYROLL!D11,ADJ!A$1:A$500,0),MATCH(PAYROLL!DR$2,ADJ!$2:$2,0)),0)</f>
        <v/>
      </c>
      <c r="DS11">
        <f>SUM(DP11:DR11)</f>
        <v/>
      </c>
      <c r="DT11">
        <f>EK11</f>
        <v/>
      </c>
      <c r="DU11">
        <f>SUM(DO11:DR11)</f>
        <v/>
      </c>
      <c r="DV11">
        <f>ROUND(DU11*0.1,0)</f>
        <v/>
      </c>
      <c r="DW11">
        <f>DU11+DV11</f>
        <v/>
      </c>
      <c r="DZ11">
        <f>IFERROR(INDEX(ADJ!$A$1:$BZ$1000,MATCH(PAYROLL!$D11,ADJ!A$1:A$500,0),MATCH(PAYROLL!DZ$2,ADJ!$2:$2,0)),0)</f>
        <v/>
      </c>
      <c r="EA11">
        <f>IFERROR(INDEX(ADJ!$A$1:$BZ$1000,MATCH(PAYROLL!$D11,ADJ!A$1:A$500,0),MATCH(PAYROLL!EA$2,ADJ!$2:$2,0)),0)</f>
        <v/>
      </c>
      <c r="EB11">
        <f>IFERROR(INDEX(ADJ!$A$1:$BZ$1000,MATCH(PAYROLL!$D11,ADJ!A$1:A$500,0),MATCH(PAYROLL!EB$2,ADJ!$2:$2,0)),0)</f>
        <v/>
      </c>
      <c r="EC11">
        <f>IFERROR(INDEX(ADJ!$A$1:$BZ$1000,MATCH(PAYROLL!$D11,ADJ!A$1:A$500,0),MATCH(PAYROLL!EC$2,ADJ!$2:$2,0)),0)</f>
        <v/>
      </c>
      <c r="ED11">
        <f>IFERROR(INDEX(ADJ!$A$1:$BZ$1000,MATCH(PAYROLL!$D11,ADJ!A$1:A$500,0),MATCH(PAYROLL!ED$2,ADJ!$2:$2,0)),0)</f>
        <v/>
      </c>
      <c r="EE11">
        <f>IFERROR(INDEX(ADJ!$A$1:$BZ$1000,MATCH(PAYROLL!$D11,ADJ!A$1:A$500,0),MATCH(PAYROLL!EE$2,ADJ!$2:$2,0)),0)</f>
        <v/>
      </c>
      <c r="EF11">
        <f>IFERROR(INDEX(ADJ!$A$1:$BZ$1000,MATCH(PAYROLL!$D11,ADJ!A$1:A$500,0),MATCH(PAYROLL!EF$2,ADJ!$2:$2,0)),0)</f>
        <v/>
      </c>
      <c r="EG11">
        <f>IFERROR(INDEX(ADJ!$A$1:$BZ$1000,MATCH(PAYROLL!$D11,ADJ!A$1:A$500,0),MATCH(PAYROLL!EG$2,ADJ!$2:$2,0)),0)</f>
        <v/>
      </c>
      <c r="EH11">
        <f>IFERROR(INDEX(ADJ!$A$1:$BZ$1000,MATCH(PAYROLL!$D11,ADJ!A$1:A$500,0),MATCH(PAYROLL!EH$2,ADJ!$2:$2,0)),0)</f>
        <v/>
      </c>
      <c r="EI11">
        <f>IFERROR(INDEX(ADJ!$A$1:$BZ$1000,MATCH(PAYROLL!D11,ADJ!A$1:A$500,0),MATCH(PAYROLL!EI$2,ADJ!$2:$2,0)),0)</f>
        <v/>
      </c>
      <c r="EJ11">
        <f>IFERROR(INDEX(ADJ!$A$1:$BZ$1000,MATCH(PAYROLL!$D11,ADJ!A$1:A$500,0),MATCH(PAYROLL!EJ$2,ADJ!$2:$2,0)),0)</f>
        <v/>
      </c>
      <c r="EK11">
        <f>SUM(DZ11:EJ11)</f>
        <v/>
      </c>
    </row>
    <row r="12">
      <c r="A12" t="n">
        <v>10</v>
      </c>
      <c r="B12" t="inlineStr">
        <is>
          <t>Trần Ngôn Khanh</t>
        </is>
      </c>
      <c r="D12" t="inlineStr">
        <is>
          <t>158026-01</t>
        </is>
      </c>
      <c r="S12">
        <f>IFERROR(INDEX(PIS!$A$1:$BZ$1000,MATCH($D12,PIS!C$1:C$500,0),MATCH("Lương CB tháng trước",PIS!$1:$1,0)),0)</f>
        <v/>
      </c>
      <c r="T12">
        <f>IFERROR(INDEX(PIS!$A$1:$BZ$1000,MATCH($D12,PIS!C$1:C$500,0),MATCH("Lương CB hiện tại",PIS!$1:$1,0)),0)</f>
        <v/>
      </c>
      <c r="U12">
        <f>IFERROR(INDEX(PIS!$A$1:$BZ$1000,MATCH($D12,PIS!C$1:C$500,0),MATCH("Lương đóng BHBB",PIS!$1:$1,0)),0)</f>
        <v/>
      </c>
      <c r="V12">
        <f>IFERROR(INDEX(PIS!$A$1:$BZ$1000,MATCH($D12,PIS!C$1:C$500,0),MATCH(V$2,PIS!$2:$2,0)),0)</f>
        <v/>
      </c>
      <c r="W12">
        <f>IFERROR(INDEX(PIS!$A$1:$BZ$1000,MATCH($D12,PIS!C$1:C$500,0),MATCH(W$2,PIS!$2:$2,0)),0)</f>
        <v/>
      </c>
      <c r="X12">
        <f>IFERROR(INDEX(PIS!$A$1:$BZ$1000,MATCH($D12,PIS!C$1:C$500,0),MATCH(X$2,PIS!$2:$2,0)),0)</f>
        <v/>
      </c>
      <c r="Y12">
        <f>IFERROR(INDEX(PIS!$A$1:$BZ$1000,MATCH($D12,PIS!C$1:C$500,0),MATCH(Y$2,PIS!$2:$2,0)),0)</f>
        <v/>
      </c>
      <c r="Z12">
        <f>IFERROR(INDEX(PIS!$A$1:$BZ$1000,MATCH($D12,PIS!C$1:C$500,0),MATCH(Z$2,PIS!$2:$2,0)),0)</f>
        <v/>
      </c>
      <c r="AA12">
        <f>IFERROR(INDEX(PIS!$A$1:$BZ$1000,MATCH($D12,PIS!C$1:C$500,0),MATCH(AA$2,PIS!$2:$2,0)),0)</f>
        <v/>
      </c>
      <c r="AB12">
        <f>IFERROR(INDEX(PIS!$A$1:$BZ$1000,MATCH($D12,PIS!C$1:C$500,0),MATCH(AB$2,PIS!$2:$2,0)),0)</f>
        <v/>
      </c>
      <c r="AC12">
        <f>SUM(V12:AB12)</f>
        <v/>
      </c>
      <c r="AD12">
        <f>IFERROR(INDEX(TIMESHEET!$A$1:$AI$5000,MATCH($D12,TIMESHEET!A$1:A$500,0),MATCH("T100",TIMESHEET!$2:$2,0)),0)</f>
        <v/>
      </c>
      <c r="AE12">
        <f>IFERROR(INDEX(TIMESHEET!$A$1:$AI$5000,MATCH($D12,TIMESHEET!A$1:A$500,0),MATCH("T202",TIMESHEET!$2:$2,0)),0)</f>
        <v/>
      </c>
      <c r="AF12">
        <f>IFERROR(INDEX(TIMESHEET!$A$1:$AI$5000,MATCH($D12,TIMESHEET!A$1:A$500,0),MATCH("T302",TIMESHEET!$2:$2,0)),0)</f>
        <v/>
      </c>
      <c r="AG12">
        <f>IFERROR(INDEX(TIMESHEET!$A$1:$AI$5000,MATCH($D12,TIMESHEET!A$1:A$500,0),MATCH("T406",TIMESHEET!$2:$2,0)),0)</f>
        <v/>
      </c>
      <c r="AH12">
        <f>IF(SUM(AE12:AG12)&gt;=26,26,SUM(AE12:AG12))</f>
        <v/>
      </c>
      <c r="AI12">
        <f>IFERROR(INDEX(TIMESHEET!$A$1:$AI$5000,MATCH($D12,TIMESHEET!A$1:A$500,0),MATCH("T701",TIMESHEET!$2:$2,0)),0)</f>
        <v/>
      </c>
      <c r="AJ12">
        <f>IFERROR(IF(INDEX(PIS!N$1:N$500,MATCH(D12,PIS!C$1:C$500,0))="LC4",(T12*0.85)/AD12*AH12,ROUND(T12/AD12*AH12,0)),0)</f>
        <v/>
      </c>
      <c r="AK12">
        <f>IFERROR(INDEX(ADJ!$A$1:$BZ$1000,MATCH(PAYROLL!D12,ADJ!A$1:A$500,0),MATCH(PAYROLL!AK$2,ADJ!$2:$2,0)),0)</f>
        <v/>
      </c>
      <c r="AL12">
        <f>SUM(AJ12:AK12)</f>
        <v/>
      </c>
      <c r="AM12">
        <f>IF(AH12&gt;13,V12,ROUND(V12/AD12*AH12,0))</f>
        <v/>
      </c>
      <c r="AN12">
        <f>IF(AD12=0,0,ROUND(W12/AD12*AI12,0))</f>
        <v/>
      </c>
      <c r="AO12">
        <f>ROUND(X12*AH12,0)</f>
        <v/>
      </c>
      <c r="AP12">
        <f>IF(AD12=0,0,ROUND(Y12/AD12*AH12,0))</f>
        <v/>
      </c>
      <c r="AQ12">
        <f>IFERROR(IF((AE12+AF12+AG12)&gt;13,Z12,ROUND(Z12/AD12*AH12,0)),0)</f>
        <v/>
      </c>
      <c r="AR12">
        <f>IF(AD12=0,0,ROUND(AA41/AD12*AH12,0))</f>
        <v/>
      </c>
      <c r="AS12">
        <f>IFERROR(IF((AE12+AF12+AG12)&gt;13,AB12,ROUND(AB12/AD12*AH12,0)),0)</f>
        <v/>
      </c>
      <c r="AT12">
        <f>IFERROR(INDEX(ADJ!$A$1:$BZ$1000,MATCH(PAYROLL!D12,ADJ!A$1:A$500,0),MATCH(PAYROLL!AT$2,ADJ!$2:$2,0)),0)</f>
        <v/>
      </c>
      <c r="AU12">
        <f>ROUND(SUM(AM12:AT12),0)</f>
        <v/>
      </c>
      <c r="AV12">
        <f>IFERROR(INDEX(TIMESHEET!$A$1:$AI$5000,MATCH(PAYROLL!D12,TIMESHEET!A$1:A$500,0),MATCH("T620",TIMESHEET!$2:$2,0)),0)</f>
        <v/>
      </c>
      <c r="AW12">
        <f>IFERROR(INDEX(TIMESHEET!$A$1:$AI$5000,MATCH(PAYROLL!D12,TIMESHEET!A$1:A$500,0),MATCH("T601",TIMESHEET!$2:$2,0)),0)</f>
        <v/>
      </c>
      <c r="AX12">
        <f>IFERROR(INDEX(TIMESHEET!$A$1:$AI$5000,MATCH(PAYROLL!D12,TIMESHEET!A$1:A$500,0),MATCH("T602",TIMESHEET!$2:$2,0)),0)</f>
        <v/>
      </c>
      <c r="AY12">
        <f>IFERROR(INDEX(TIMESHEET!$A$1:$AI$5000,MATCH(PAYROLL!D12,TIMESHEET!A$1:A$500,0),MATCH("T603",TIMESHEET!$2:$2,0)),0)</f>
        <v/>
      </c>
      <c r="AZ12">
        <f>IFERROR(INDEX(TIMESHEET!$A$1:$AI$5000,MATCH(PAYROLL!D12,TIMESHEET!A$1:A$500,0),MATCH("T611",TIMESHEET!$2:$2,0)),0)</f>
        <v/>
      </c>
      <c r="BA12">
        <f>IFERROR(INDEX(TIMESHEET!$A$1:$AI$5000,MATCH(PAYROLL!D12,TIMESHEET!A$1:A$500,0),MATCH("T612",TIMESHEET!$2:$2,0)),0)</f>
        <v/>
      </c>
      <c r="BB12">
        <f>IFERROR(INDEX(TIMESHEET!$A$1:$AI$5000,MATCH(PAYROLL!D12,TIMESHEET!A$1:A$500,0),MATCH("T613",TIMESHEET!$2:$2,0)),0)</f>
        <v/>
      </c>
      <c r="BC12">
        <f>IFERROR(INDEX(TIMESHEET!$A$1:$AI$5000,MATCH(PAYROLL!D12,TIMESHEET!A$1:A$500,0),MATCH("T500",TIMESHEET!$2:$2,0)),0)</f>
        <v/>
      </c>
      <c r="BD12">
        <f>IFERROR((T12+V12)/AD12/8*(AV12+AW12*1.5+AX12*2+AY12*3+AZ12*2.1+BA12*2.7+BB12*3.9+BC12*0.3),0)</f>
        <v/>
      </c>
      <c r="BE12">
        <f>IFERROR(INDEX(ADJ!$A$1:$BZ$1000,MATCH(PAYROLL!$D12,ADJ!A$1:A$500,0),MATCH(PAYROLL!BE$2,ADJ!$2:$2,0)),0)</f>
        <v/>
      </c>
      <c r="BF12">
        <f>IFERROR(INDEX(ADJ!$A$1:$BZ$1000,MATCH(PAYROLL!D12,ADJ!A$1:A$500,0),MATCH(PAYROLL!BF$2,ADJ!$2:$2,0)),0)</f>
        <v/>
      </c>
      <c r="BG12">
        <f>IFERROR(INDEX(ADJ!$A$1:$BZ$1000,MATCH(PAYROLL!D12,ADJ!A$1:A$500,0),MATCH(PAYROLL!BG$2,ADJ!$2:$2,0)),0)</f>
        <v/>
      </c>
      <c r="BH12">
        <f>IFERROR(INDEX(ADJ!$A$1:$BZ$1000,MATCH(PAYROLL!D12,ADJ!A$1:A$500,0),MATCH(PAYROLL!BH$2,ADJ!$2:$2,0)),0)</f>
        <v/>
      </c>
      <c r="BI12">
        <f>IFERROR(INDEX(ADJ!$A$1:$BZ$1000,MATCH(PAYROLL!D12,ADJ!A$1:A$500,0),MATCH(PAYROLL!BI$2,ADJ!$2:$2,0)),0)</f>
        <v/>
      </c>
      <c r="BJ12">
        <f>SUM(BE12:BI12)</f>
        <v/>
      </c>
      <c r="BK12">
        <f>IFERROR(IF(INDEX(PIS!N$1:N$500,MATCH(D12,PIS!C$1:C$500))="LC12",(T12*21.5%)/AD12*AH12,0),0)</f>
        <v/>
      </c>
      <c r="BL12">
        <f>IFERROR(INDEX(ADJ!$A$1:$BZ$1000,MATCH(PAYROLL!D12,ADJ!A$1:A$500,0),MATCH(PAYROLL!BL$2,ADJ!$2:$2,0)),0)</f>
        <v/>
      </c>
      <c r="BM12">
        <f>IFERROR(INDEX(ADJ!$A$1:$BZ$1000,MATCH(PAYROLL!D12,ADJ!A$1:A$500,0),MATCH(PAYROLL!BM$2,ADJ!$2:$2,0)),0)</f>
        <v/>
      </c>
      <c r="BN12">
        <f>IFERROR(INDEX(ADJ!$A$1:$BZ$1000,MATCH(PAYROLL!D12,ADJ!A$1:A$500,0),MATCH(PAYROLL!BN$2,ADJ!$2:$2,0)),0)</f>
        <v/>
      </c>
      <c r="BO12">
        <f>SUM(AL12,AU12,BD12,BJ12,BK12:BN12)</f>
        <v/>
      </c>
      <c r="BP12">
        <f>BN12+AP12</f>
        <v/>
      </c>
      <c r="BQ12">
        <f>IFERROR(ROUND(IF(LEFT(INDEX(PIS!O$1:O$500,MATCH(D12,PIS!C$1:C$500)),1)="D",T12/8*(BC12*0.3),IF(LEFT(INDEX(PIS!O$1:O$500,MATCH(D12,PIS!C$1:C$500)),1)="H",T12*($BC12*0.3),T12/$AD12/8*($BC12*0.3))),0),0)</f>
        <v/>
      </c>
      <c r="BR12">
        <f>IF(AO12&lt;1,0,MIN(AO12,730000))</f>
        <v/>
      </c>
      <c r="BS12">
        <f>IFERROR(ROUND((BD12-SUM(AV12:BB12)*T12/AD12/8),0)-BQ12,0)</f>
        <v/>
      </c>
      <c r="BT12">
        <f>AN12</f>
        <v/>
      </c>
      <c r="BU12">
        <f>SUM(BP12:BT12)</f>
        <v/>
      </c>
      <c r="BV12">
        <f>BO12-BU12</f>
        <v/>
      </c>
      <c r="BW12">
        <f>IFERROR(IF(RIGHT(INDEX(PIS!O$1:O$500,MATCH(D12,PIS!C$1:C$500)),5)="Gross",MIN(U12+V12,VLOOKUP("R700",TSC!B:C,2,0)*VLOOKUP("R101",TSC!B:C,2,0))*VLOOKUP("R701",TSC!B:C,2,0)%,0),0)</f>
        <v/>
      </c>
      <c r="BX12">
        <f>IFERROR(IF(RIGHT(INDEX(PIS!O$1:O$500,MATCH(D12,PIS!C$1:C$500)),5)="Gross",MIN(U12+V12,VLOOKUP("R700",TSC!B:C,2,0)*VLOOKUP("R101",TSC!B:C,2,0))*VLOOKUP("T704",TSC!B:C,2,0)%,0),0)</f>
        <v/>
      </c>
      <c r="BY12">
        <f>IFERROR(IF(RIGHT(INDEX(PIS!O$1:O$500,MATCH(D12,PIS!C$1:C$500)),5)="Gross",MIN(U12+V12,VLOOKUP("R700",TSC!B:C,2,0)*VLOOKUP("1",TSC!F:G,2,0))*VLOOKUP("T705",TSC!B:C,2,0)%,0),0)</f>
        <v/>
      </c>
      <c r="BZ12">
        <f>IFERROR(INDEX(ADJ!$A$1:$BZ$1000,MATCH(PAYROLL!D12,ADJ!A$1:A$500,0),MATCH(PAYROLL!BZ$2,ADJ!$2:$2,0)),0)</f>
        <v/>
      </c>
      <c r="CA12">
        <f>IFERROR(INDEX(ADJ!$A$1:$BZ$1000,MATCH(PAYROLL!D12,ADJ!A$1:A$500,0),MATCH(PAYROLL!CA$2,ADJ!$2:$2,0)),0)</f>
        <v/>
      </c>
      <c r="CB12">
        <f>SUM(BW12:CA12)</f>
        <v/>
      </c>
      <c r="CC12">
        <f>IFERROR(INDEX(PIS!$A$1:$BZ$1000,MATCH(PAYROLL!D12,PIS!C$1:C$500,0),MATCH(PAYROLL!CC$1,PIS!$1:$1,0)),0)</f>
        <v/>
      </c>
      <c r="CD12">
        <f>IFERROR(IF(OR(INDEX(PIS!P$1:P$500,MATCH(D12,PIS!C$1:C$500,0))="LT2",INDEX(PIS!P$1:P$500,MATCH(D12,PIS!C$1:C$500,0))="P10"),0,SUM(CB12,CC12*VLOOKUP("R601",TSC!B:C,2,0),VLOOKUP("R602",TSC!B:C,2,0))),0)</f>
        <v/>
      </c>
      <c r="CE12">
        <f>MAX(BV12-CD12,0)</f>
        <v/>
      </c>
      <c r="CF12">
        <f>IFERROR(IF(OR(RIGHT(INDEX(PIS!P$1:P$500,MATCH(D12,PIS!C$1:C$500)),5)="P10",RIGHT(INDEX(PIS!P$1:P$500,MATCH(D12,PIS!C$1:C$500)),5)="CK"),0,IF(CE12&lt;=5000000,CE12*5%,IF(CE12&lt;=10000000,CE12*10%-250000,IF(CE12&lt;=18000000,CE12*15%-750000,IF(CE12&lt;=32000000,CE12*20%-1650000,IF(CE12&lt;=52000000,CE12*25%-3250000,IF(CE12&lt;=80000000,BG12*30%-5850000,CE12*35%-9850000))))))),0)</f>
        <v/>
      </c>
      <c r="CG12">
        <f>IFERROR(IF(OR(INDEX(PIS!P$1:P$500,MATCH(D12,PIS!C$1:C$500))="LT",INDEX(PIS!P$1:P$500,MATCH(D12,PIS!C$1:C$500))="CK"),0,IF(CE12&lt;2000000,0,CE12*10%)),0)</f>
        <v/>
      </c>
      <c r="CH12">
        <f>IFERROR(INDEX(ADJ!$A$1:$BZ$1000,MATCH(PAYROLL!D12,ADJ!A$1:A$500,0),MATCH(PAYROLL!CH$2,ADJ!$2:$2,0)),0)</f>
        <v/>
      </c>
      <c r="CI12">
        <f>IFERROR(INDEX(ADJ!$A$1:$BZ$1000,MATCH(PAYROLL!D12,ADJ!A$1:A$500,0),MATCH(PAYROLL!CI$2,ADJ!$2:$2,0)),0)</f>
        <v/>
      </c>
      <c r="CJ12">
        <f>IFERROR(INDEX(ADJ!$A$1:$BZ$1000,MATCH(PAYROLL!D12,ADJ!A$1:A$500,0),MATCH(PAYROLL!CJ$2,ADJ!$2:$2,0)),0)</f>
        <v/>
      </c>
      <c r="CK12">
        <f>SUM(CF12:CJ12)</f>
        <v/>
      </c>
      <c r="CL12">
        <f>ROUND(SUM(CG12:CJ12),0)</f>
        <v/>
      </c>
      <c r="CM12">
        <f>IFERROR(INDEX(CSDA!D$1:D$500,MATCH($CM$2,CSDA!C$1:C$500,0))*INDEX(PIS!V$1:V$500,MATCH(D12,PIS!C$1:C$500))+INDEX(ADJ!$A$1:$BZ$1000,MATCH(PAYROLL!D12,ADJ!A$1:A$500,0),MATCH(PAYROLL!CM$2,ADJ!$2:$2,0)),0)</f>
        <v/>
      </c>
      <c r="CN12">
        <f>IFERROR(INDEX(ADJ!$A$1:$BZ$1000,MATCH(PAYROLL!D12,ADJ!A$1:A$500,0),MATCH(PAYROLL!CN$2,ADJ!$2:$2,0)),0)</f>
        <v/>
      </c>
      <c r="CO12">
        <f>IFERROR(INDEX(ADJ!$A$1:$BZ$1000,MATCH(PAYROLL!D12,ADJ!A$1:A$500,0),MATCH(PAYROLL!CO$2,ADJ!$2:$2,0)),0)</f>
        <v/>
      </c>
      <c r="CP12">
        <f>BO12-CK12-CH12-CL12-CM12-CN12-CO12-CB12</f>
        <v/>
      </c>
      <c r="CQ12">
        <f>IFERROR(IF(RIGHT(INDEX(PIS!O$1:O$500,MATCH(D12,PIS!C$1:C$500,0)),5)="Gross",MIN(U12+V12,VLOOKUP("R700",TSC!B:C,2,0)*VLOOKUP("R101",TSC!B:C,2,0))*(VLOOKUP("T711",TSC!B:C,2,0)+VLOOKUP("T712",TSC!B:C,2,0))%,MIN(T12+V12,VLOOKUP("R700",TSC!B:C,2,0)*VLOOKUP("R101",TSC!B:C,2,0))*(VLOOKUP("T711",TSC!B:C,2,0)+VLOOKUP("T712",TSC!B:C,2,0)+VLOOKUP("R701",TSC!B:C,2,0))%),0)</f>
        <v/>
      </c>
      <c r="CR12">
        <f>IFERROR(IF(RIGHT(INDEX(PIS!O$1:O$500,MATCH(D12,PIS!C$1:C$500,0)),5)="Gross",MIN(U12+V12,VLOOKUP("R700",TSC!B:C,2,0)*VLOOKUP("R101",TSC!B:C,2,0))*(VLOOKUP("T714",TSC!B:C,2,0))%,MIN(T12+V12,VLOOKUP("R700",TSC!B:C,2,0)*VLOOKUP("R101",TSC!B:C,2,0))*(VLOOKUP("T704",TSC!B:C,2,0)+VLOOKUP("T714",TSC!B:C,2,0))%),0)</f>
        <v/>
      </c>
      <c r="CS12">
        <f>IFERROR(IF(RIGHT(INDEX(PIS!O$1:O$500,MATCH(D12,PIS!C$1:C$500,0)),5)="Gross",MIN(U12+V12,VLOOKUP("R700",TSC!B:C,2,0)*VLOOKUP("R101",TSC!B:C,2,0))*VLOOKUP("T705",TSC!B:C,2,0)%,MIN(T12+V12,VLOOKUP("R700",TSC!B:C,2,0)*VLOOKUP("R101",TSC!B:C,2,0))*VLOOKUP("T705",TSC!B:C,2,0)%),0)</f>
        <v/>
      </c>
      <c r="CT12">
        <f>IFERROR(IF(RIGHT(INDEX(PIS!O$1:O$500,MATCH(D12,PIS!C$1:C$500,0)),5)="Gross",MIN(U12+V12,VLOOKUP("R700",TSC!B:C,2,0)*VLOOKUP("R101",TSC!B:C,2,0))*(VLOOKUP("T713",TSC!B:C,2,0))%,MIN(T12+V12,VLOOKUP("R700",TSC!B:C,2,0)*VLOOKUP("R101",TSC!B:C,2,0))*(VLOOKUP("T713",TSC!B:C,2,0))%),0)</f>
        <v/>
      </c>
      <c r="CU12">
        <f>IFERROR(INDEX(ADJ!$A$1:$BZ$1000,MATCH(PAYROLL!D12,ADJ!A$1:A$500,0),MATCH(PAYROLL!CU$2,ADJ!$2:$2,0)),0)</f>
        <v/>
      </c>
      <c r="CV12">
        <f>IFERROR(INDEX(ADJ!$A$1:$BZ$1000,MATCH(PAYROLL!D12,ADJ!A$1:A$500,0),MATCH(PAYROLL!CV$2,ADJ!$2:$2,0)),0)</f>
        <v/>
      </c>
      <c r="CW12">
        <f>SUM(CQ12:CV12)</f>
        <v/>
      </c>
      <c r="CX12">
        <f>ROUND(IF(CQ12&gt;0,T12+V12*VLOOKUP("R202",TSC!$B$1:$C$500,2,0),0),0)</f>
        <v/>
      </c>
      <c r="CY12">
        <f>IFERROR(INDEX(CSDA!D$1:D$500,MATCH($CY$2,CSDA!C$1:C$500,0)),0)</f>
        <v/>
      </c>
      <c r="CZ12">
        <f>ROUND(T12*0.7%,0)</f>
        <v/>
      </c>
      <c r="DA12">
        <f>ROUND(T12/12,0)</f>
        <v/>
      </c>
      <c r="DB12">
        <f ref="DB12" t="array">IFERROR(INDEX(CSDA!D$1:D$500,MATCH("Trích giữ"&amp;PAYROLL!DB$2,CSDA!A$1:A$500&amp;CSDA!C$1:C$500,0)),0)</f>
        <v/>
      </c>
      <c r="DC12">
        <f ref="DC12" t="array">IFERROR(INDEX(CSDA!D$1:D$500,MATCH("Trích giữ"&amp;PAYROLL!DC$2,CSDA!A$1:A$500&amp;CSDA!C$1:C$500,0)),0)</f>
        <v/>
      </c>
      <c r="DD12">
        <f ref="DD12" t="array">IFERROR(INDEX(CSDA!D$1:D$500,MATCH("Trích giữ"&amp;PAYROLL!DD$2,CSDA!A$1:A$500&amp;CSDA!C$1:C$500,0)),0)</f>
        <v/>
      </c>
      <c r="DE12">
        <f>IFERROR(INDEX(CSDA!D$1:D$500,MATCH(PAYROLL!DE$2,CSDA!C$1:C$500,0)),0)</f>
        <v/>
      </c>
      <c r="DF12">
        <f ref="DF12" t="array">IFERROR(INDEX(CSDA!D$1:D$500,MATCH("Trích giữ"&amp;PAYROLL!DF$2,CSDA!A$1:A$500&amp;CSDA!C$1:C$500,0)),0)</f>
        <v/>
      </c>
      <c r="DG12">
        <f>ROUND(T12/26,0)</f>
        <v/>
      </c>
      <c r="DH12">
        <f ref="DH12" t="array">IFERROR(INDEX(CSDA!D$1:D$500,MATCH("Trích giữ"&amp;PAYROLL!DH$2,CSDA!A$1:A$500&amp;CSDA!C$1:C$500,0)),0)</f>
        <v/>
      </c>
      <c r="DI12">
        <f>IF(U12=0,T12*21.5%-BK12,0)</f>
        <v/>
      </c>
      <c r="DK12">
        <f ref="DK12" t="array">IFERROR(INDEX(CSDA!D$1:D$500,MATCH("Trích giữ"&amp;PAYROLL!DK$2,CSDA!A$1:A$500&amp;CSDA!C$1:C$500,0)),0)</f>
        <v/>
      </c>
      <c r="DL12">
        <f>IFERROR(INDEX(CSDA!D$1:D$500,MATCH(PAYROLL!DL$2,CSDA!C$1:C$500,0))/12,0)</f>
        <v/>
      </c>
      <c r="DM12">
        <f>SUM(DA12:DL12)</f>
        <v/>
      </c>
      <c r="DN12">
        <f>IFERROR(INDEX(ADJ!$A$1:$BZ$1000,MATCH(PAYROLL!D12,ADJ!A$1:A$500,0),MATCH(PAYROLL!DN$2,ADJ!$2:$2,0)),0)</f>
        <v/>
      </c>
      <c r="DO12">
        <f>IFERROR(SUM(BO12,DM12:DN12,CW12:CZ12)-DT12,0)</f>
        <v/>
      </c>
      <c r="DP12">
        <f ref="DP12" t="array">SUM(BV12*IFERROR(INDEX(CSDA!D$1:D$500,MATCH(BV$2,CSDA!C$1:C$500,0)),0)%,CW12*IFERROR(INDEX(CSDA!D$1:D$500,MATCH(CW$2,CSDA!C$1:C$500,0)),0)%,CZ12*IFERROR(INDEX(CSDA!D$1:D$500,MATCH(CZ$2,CSDA!C$1:C$500,0)),0)%,DA12*IFERROR(INDEX(CSDA!D$1:D$500,MATCH(DA$2,CSDA!C$1:C$500,0)),0)%,DE12*IFERROR(INDEX(CSDA!D$1:D$500,MATCH("Phí dịch vụ"&amp;PAYROLL!DE$2,CSDA!A$1:A$500&amp;CSDA!C$1:C$500,0)),0)%,DB12*IFERROR(INDEX(CSDA!D$1:D$500,MATCH("Phí dịch vụ"&amp;PAYROLL!DB$2,CSDA!A$1:A$500&amp;CSDA!C$1:C$500,0)),0)%,DG12*IFERROR(INDEX(CSDA!D$1:D$500,MATCH("Phí dịch vụ"&amp;PAYROLL!DG$2,CSDA!A$1:A$500&amp;CSDA!C$1:C$500,0)),0)%,DI12*IFERROR(INDEX(CSDA!D$1:D$500,MATCH("Phí dịch vụ"&amp;PAYROLL!DI$2,CSDA!A$1:A$500&amp;CSDA!C$1:C$500,0)),0)%,BM12*IFERROR(INDEX(CSDA!D$1:D$500,MATCH(BM$2,CSDA!C$1:C$500,0)),0)%)-BM12*7%</f>
        <v/>
      </c>
      <c r="DQ12">
        <f>IFERROR(INDEX(ADJ!$A$1:$BZ$1000,MATCH(PAYROLL!D12,ADJ!A$1:A$500,0),MATCH(PAYROLL!DQ$2,ADJ!$2:$2,0)),0)</f>
        <v/>
      </c>
      <c r="DR12">
        <f>IFERROR(INDEX(ADJ!$A$1:$BZ$1000,MATCH(PAYROLL!D12,ADJ!A$1:A$500,0),MATCH(PAYROLL!DR$2,ADJ!$2:$2,0)),0)</f>
        <v/>
      </c>
      <c r="DS12">
        <f>SUM(DP12:DR12)</f>
        <v/>
      </c>
      <c r="DT12">
        <f>EK12</f>
        <v/>
      </c>
      <c r="DU12">
        <f>SUM(DO12:DR12)</f>
        <v/>
      </c>
      <c r="DV12">
        <f>ROUND(DU12*0.1,0)</f>
        <v/>
      </c>
      <c r="DW12">
        <f>DU12+DV12</f>
        <v/>
      </c>
      <c r="DZ12">
        <f>IFERROR(INDEX(ADJ!$A$1:$BZ$1000,MATCH(PAYROLL!$D12,ADJ!A$1:A$500,0),MATCH(PAYROLL!DZ$2,ADJ!$2:$2,0)),0)</f>
        <v/>
      </c>
      <c r="EA12">
        <f>IFERROR(INDEX(ADJ!$A$1:$BZ$1000,MATCH(PAYROLL!$D12,ADJ!A$1:A$500,0),MATCH(PAYROLL!EA$2,ADJ!$2:$2,0)),0)</f>
        <v/>
      </c>
      <c r="EB12">
        <f>IFERROR(INDEX(ADJ!$A$1:$BZ$1000,MATCH(PAYROLL!$D12,ADJ!A$1:A$500,0),MATCH(PAYROLL!EB$2,ADJ!$2:$2,0)),0)</f>
        <v/>
      </c>
      <c r="EC12">
        <f>IFERROR(INDEX(ADJ!$A$1:$BZ$1000,MATCH(PAYROLL!$D12,ADJ!A$1:A$500,0),MATCH(PAYROLL!EC$2,ADJ!$2:$2,0)),0)</f>
        <v/>
      </c>
      <c r="ED12">
        <f>IFERROR(INDEX(ADJ!$A$1:$BZ$1000,MATCH(PAYROLL!$D12,ADJ!A$1:A$500,0),MATCH(PAYROLL!ED$2,ADJ!$2:$2,0)),0)</f>
        <v/>
      </c>
      <c r="EE12">
        <f>IFERROR(INDEX(ADJ!$A$1:$BZ$1000,MATCH(PAYROLL!$D12,ADJ!A$1:A$500,0),MATCH(PAYROLL!EE$2,ADJ!$2:$2,0)),0)</f>
        <v/>
      </c>
      <c r="EF12">
        <f>IFERROR(INDEX(ADJ!$A$1:$BZ$1000,MATCH(PAYROLL!$D12,ADJ!A$1:A$500,0),MATCH(PAYROLL!EF$2,ADJ!$2:$2,0)),0)</f>
        <v/>
      </c>
      <c r="EG12">
        <f>IFERROR(INDEX(ADJ!$A$1:$BZ$1000,MATCH(PAYROLL!$D12,ADJ!A$1:A$500,0),MATCH(PAYROLL!EG$2,ADJ!$2:$2,0)),0)</f>
        <v/>
      </c>
      <c r="EH12">
        <f>IFERROR(INDEX(ADJ!$A$1:$BZ$1000,MATCH(PAYROLL!$D12,ADJ!A$1:A$500,0),MATCH(PAYROLL!EH$2,ADJ!$2:$2,0)),0)</f>
        <v/>
      </c>
      <c r="EI12">
        <f>IFERROR(INDEX(ADJ!$A$1:$BZ$1000,MATCH(PAYROLL!D12,ADJ!A$1:A$500,0),MATCH(PAYROLL!EI$2,ADJ!$2:$2,0)),0)</f>
        <v/>
      </c>
      <c r="EJ12">
        <f>IFERROR(INDEX(ADJ!$A$1:$BZ$1000,MATCH(PAYROLL!$D12,ADJ!A$1:A$500,0),MATCH(PAYROLL!EJ$2,ADJ!$2:$2,0)),0)</f>
        <v/>
      </c>
      <c r="EK12">
        <f>SUM(DZ12:EJ12)</f>
        <v/>
      </c>
    </row>
    <row r="13">
      <c r="A13" t="n">
        <v>11</v>
      </c>
      <c r="B13" t="inlineStr">
        <is>
          <t>Hoàng Khánh</t>
        </is>
      </c>
      <c r="D13" t="inlineStr">
        <is>
          <t>161169-01</t>
        </is>
      </c>
      <c r="S13">
        <f>IFERROR(INDEX(PIS!$A$1:$BZ$1000,MATCH($D13,PIS!C$1:C$500,0),MATCH("Lương CB tháng trước",PIS!$1:$1,0)),0)</f>
        <v/>
      </c>
      <c r="T13">
        <f>IFERROR(INDEX(PIS!$A$1:$BZ$1000,MATCH($D13,PIS!C$1:C$500,0),MATCH("Lương CB hiện tại",PIS!$1:$1,0)),0)</f>
        <v/>
      </c>
      <c r="U13">
        <f>IFERROR(INDEX(PIS!$A$1:$BZ$1000,MATCH($D13,PIS!C$1:C$500,0),MATCH("Lương đóng BHBB",PIS!$1:$1,0)),0)</f>
        <v/>
      </c>
      <c r="V13">
        <f>IFERROR(INDEX(PIS!$A$1:$BZ$1000,MATCH($D13,PIS!C$1:C$500,0),MATCH(V$2,PIS!$2:$2,0)),0)</f>
        <v/>
      </c>
      <c r="W13">
        <f>IFERROR(INDEX(PIS!$A$1:$BZ$1000,MATCH($D13,PIS!C$1:C$500,0),MATCH(W$2,PIS!$2:$2,0)),0)</f>
        <v/>
      </c>
      <c r="X13">
        <f>IFERROR(INDEX(PIS!$A$1:$BZ$1000,MATCH($D13,PIS!C$1:C$500,0),MATCH(X$2,PIS!$2:$2,0)),0)</f>
        <v/>
      </c>
      <c r="Y13">
        <f>IFERROR(INDEX(PIS!$A$1:$BZ$1000,MATCH($D13,PIS!C$1:C$500,0),MATCH(Y$2,PIS!$2:$2,0)),0)</f>
        <v/>
      </c>
      <c r="Z13">
        <f>IFERROR(INDEX(PIS!$A$1:$BZ$1000,MATCH($D13,PIS!C$1:C$500,0),MATCH(Z$2,PIS!$2:$2,0)),0)</f>
        <v/>
      </c>
      <c r="AA13">
        <f>IFERROR(INDEX(PIS!$A$1:$BZ$1000,MATCH($D13,PIS!C$1:C$500,0),MATCH(AA$2,PIS!$2:$2,0)),0)</f>
        <v/>
      </c>
      <c r="AB13">
        <f>IFERROR(INDEX(PIS!$A$1:$BZ$1000,MATCH($D13,PIS!C$1:C$500,0),MATCH(AB$2,PIS!$2:$2,0)),0)</f>
        <v/>
      </c>
      <c r="AC13">
        <f>SUM(V13:AB13)</f>
        <v/>
      </c>
      <c r="AD13">
        <f>IFERROR(INDEX(TIMESHEET!$A$1:$AI$5000,MATCH($D13,TIMESHEET!A$1:A$500,0),MATCH("T100",TIMESHEET!$2:$2,0)),0)</f>
        <v/>
      </c>
      <c r="AE13">
        <f>IFERROR(INDEX(TIMESHEET!$A$1:$AI$5000,MATCH($D13,TIMESHEET!A$1:A$500,0),MATCH("T202",TIMESHEET!$2:$2,0)),0)</f>
        <v/>
      </c>
      <c r="AF13">
        <f>IFERROR(INDEX(TIMESHEET!$A$1:$AI$5000,MATCH($D13,TIMESHEET!A$1:A$500,0),MATCH("T302",TIMESHEET!$2:$2,0)),0)</f>
        <v/>
      </c>
      <c r="AG13">
        <f>IFERROR(INDEX(TIMESHEET!$A$1:$AI$5000,MATCH($D13,TIMESHEET!A$1:A$500,0),MATCH("T406",TIMESHEET!$2:$2,0)),0)</f>
        <v/>
      </c>
      <c r="AH13">
        <f>IF(SUM(AE13:AG13)&gt;=26,26,SUM(AE13:AG13))</f>
        <v/>
      </c>
      <c r="AI13">
        <f>IFERROR(INDEX(TIMESHEET!$A$1:$AI$5000,MATCH($D13,TIMESHEET!A$1:A$500,0),MATCH("T701",TIMESHEET!$2:$2,0)),0)</f>
        <v/>
      </c>
      <c r="AJ13">
        <f>IFERROR(IF(INDEX(PIS!N$1:N$500,MATCH(D13,PIS!C$1:C$500,0))="LC4",(T13*0.85)/AD13*AH13,ROUND(T13/AD13*AH13,0)),0)</f>
        <v/>
      </c>
      <c r="AK13">
        <f>IFERROR(INDEX(ADJ!$A$1:$BZ$1000,MATCH(PAYROLL!D13,ADJ!A$1:A$500,0),MATCH(PAYROLL!AK$2,ADJ!$2:$2,0)),0)</f>
        <v/>
      </c>
      <c r="AL13">
        <f>SUM(AJ13:AK13)</f>
        <v/>
      </c>
      <c r="AM13">
        <f>IF(AH13&gt;13,V13,ROUND(V13/AD13*AH13,0))</f>
        <v/>
      </c>
      <c r="AN13">
        <f>IF(AD13=0,0,ROUND(W13/AD13*AI13,0))</f>
        <v/>
      </c>
      <c r="AO13">
        <f>ROUND(X13*AH13,0)</f>
        <v/>
      </c>
      <c r="AP13">
        <f>IF(AD13=0,0,ROUND(Y13/AD13*AH13,0))</f>
        <v/>
      </c>
      <c r="AQ13">
        <f>IFERROR(IF((AE13+AF13+AG13)&gt;13,Z13,ROUND(Z13/AD13*AH13,0)),0)</f>
        <v/>
      </c>
      <c r="AR13">
        <f>IF(AD13=0,0,ROUND(AA42/AD13*AH13,0))</f>
        <v/>
      </c>
      <c r="AS13">
        <f>IFERROR(IF((AE13+AF13+AG13)&gt;13,AB13,ROUND(AB13/AD13*AH13,0)),0)</f>
        <v/>
      </c>
      <c r="AT13">
        <f>IFERROR(INDEX(ADJ!$A$1:$BZ$1000,MATCH(PAYROLL!D13,ADJ!A$1:A$500,0),MATCH(PAYROLL!AT$2,ADJ!$2:$2,0)),0)</f>
        <v/>
      </c>
      <c r="AU13">
        <f>ROUND(SUM(AM13:AT13),0)</f>
        <v/>
      </c>
      <c r="AV13">
        <f>IFERROR(INDEX(TIMESHEET!$A$1:$AI$5000,MATCH(PAYROLL!D13,TIMESHEET!A$1:A$500,0),MATCH("T620",TIMESHEET!$2:$2,0)),0)</f>
        <v/>
      </c>
      <c r="AW13">
        <f>IFERROR(INDEX(TIMESHEET!$A$1:$AI$5000,MATCH(PAYROLL!D13,TIMESHEET!A$1:A$500,0),MATCH("T601",TIMESHEET!$2:$2,0)),0)</f>
        <v/>
      </c>
      <c r="AX13">
        <f>IFERROR(INDEX(TIMESHEET!$A$1:$AI$5000,MATCH(PAYROLL!D13,TIMESHEET!A$1:A$500,0),MATCH("T602",TIMESHEET!$2:$2,0)),0)</f>
        <v/>
      </c>
      <c r="AY13">
        <f>IFERROR(INDEX(TIMESHEET!$A$1:$AI$5000,MATCH(PAYROLL!D13,TIMESHEET!A$1:A$500,0),MATCH("T603",TIMESHEET!$2:$2,0)),0)</f>
        <v/>
      </c>
      <c r="AZ13">
        <f>IFERROR(INDEX(TIMESHEET!$A$1:$AI$5000,MATCH(PAYROLL!D13,TIMESHEET!A$1:A$500,0),MATCH("T611",TIMESHEET!$2:$2,0)),0)</f>
        <v/>
      </c>
      <c r="BA13">
        <f>IFERROR(INDEX(TIMESHEET!$A$1:$AI$5000,MATCH(PAYROLL!D13,TIMESHEET!A$1:A$500,0),MATCH("T612",TIMESHEET!$2:$2,0)),0)</f>
        <v/>
      </c>
      <c r="BB13">
        <f>IFERROR(INDEX(TIMESHEET!$A$1:$AI$5000,MATCH(PAYROLL!D13,TIMESHEET!A$1:A$500,0),MATCH("T613",TIMESHEET!$2:$2,0)),0)</f>
        <v/>
      </c>
      <c r="BC13">
        <f>IFERROR(INDEX(TIMESHEET!$A$1:$AI$5000,MATCH(PAYROLL!D13,TIMESHEET!A$1:A$500,0),MATCH("T500",TIMESHEET!$2:$2,0)),0)</f>
        <v/>
      </c>
      <c r="BD13">
        <f>IFERROR((T13+V13)/AD13/8*(AV13+AW13*1.5+AX13*2+AY13*3+AZ13*2.1+BA13*2.7+BB13*3.9+BC13*0.3),0)</f>
        <v/>
      </c>
      <c r="BE13">
        <f>IFERROR(INDEX(ADJ!$A$1:$BZ$1000,MATCH(PAYROLL!$D13,ADJ!A$1:A$500,0),MATCH(PAYROLL!BE$2,ADJ!$2:$2,0)),0)</f>
        <v/>
      </c>
      <c r="BF13">
        <f>IFERROR(INDEX(ADJ!$A$1:$BZ$1000,MATCH(PAYROLL!D13,ADJ!A$1:A$500,0),MATCH(PAYROLL!BF$2,ADJ!$2:$2,0)),0)</f>
        <v/>
      </c>
      <c r="BG13">
        <f>IFERROR(INDEX(ADJ!$A$1:$BZ$1000,MATCH(PAYROLL!D13,ADJ!A$1:A$500,0),MATCH(PAYROLL!BG$2,ADJ!$2:$2,0)),0)</f>
        <v/>
      </c>
      <c r="BH13">
        <f>IFERROR(INDEX(ADJ!$A$1:$BZ$1000,MATCH(PAYROLL!D13,ADJ!A$1:A$500,0),MATCH(PAYROLL!BH$2,ADJ!$2:$2,0)),0)</f>
        <v/>
      </c>
      <c r="BI13">
        <f>IFERROR(INDEX(ADJ!$A$1:$BZ$1000,MATCH(PAYROLL!D13,ADJ!A$1:A$500,0),MATCH(PAYROLL!BI$2,ADJ!$2:$2,0)),0)</f>
        <v/>
      </c>
      <c r="BJ13">
        <f>SUM(BE13:BI13)</f>
        <v/>
      </c>
      <c r="BK13">
        <f>IFERROR(IF(INDEX(PIS!N$1:N$500,MATCH(D13,PIS!C$1:C$500))="LC12",(T13*21.5%)/AD13*AH13,0),0)</f>
        <v/>
      </c>
      <c r="BL13">
        <f>IFERROR(INDEX(ADJ!$A$1:$BZ$1000,MATCH(PAYROLL!D13,ADJ!A$1:A$500,0),MATCH(PAYROLL!BL$2,ADJ!$2:$2,0)),0)</f>
        <v/>
      </c>
      <c r="BM13">
        <f>IFERROR(INDEX(ADJ!$A$1:$BZ$1000,MATCH(PAYROLL!D13,ADJ!A$1:A$500,0),MATCH(PAYROLL!BM$2,ADJ!$2:$2,0)),0)</f>
        <v/>
      </c>
      <c r="BN13">
        <f>IFERROR(INDEX(ADJ!$A$1:$BZ$1000,MATCH(PAYROLL!D13,ADJ!A$1:A$500,0),MATCH(PAYROLL!BN$2,ADJ!$2:$2,0)),0)</f>
        <v/>
      </c>
      <c r="BO13">
        <f>SUM(AL13,AU13,BD13,BJ13,BK13:BN13)</f>
        <v/>
      </c>
      <c r="BP13">
        <f>BN13+AP13</f>
        <v/>
      </c>
      <c r="BQ13">
        <f>IFERROR(ROUND(IF(LEFT(INDEX(PIS!O$1:O$500,MATCH(D13,PIS!C$1:C$500)),1)="D",T13/8*(BC13*0.3),IF(LEFT(INDEX(PIS!O$1:O$500,MATCH(D13,PIS!C$1:C$500)),1)="H",T13*($BC13*0.3),T13/$AD13/8*($BC13*0.3))),0),0)</f>
        <v/>
      </c>
      <c r="BR13">
        <f>IF(AO13&lt;1,0,MIN(AO13,730000))</f>
        <v/>
      </c>
      <c r="BS13">
        <f>IFERROR(ROUND((BD13-SUM(AV13:BB13)*T13/AD13/8),0)-BQ13,0)</f>
        <v/>
      </c>
      <c r="BT13">
        <f>AN13</f>
        <v/>
      </c>
      <c r="BU13">
        <f>SUM(BP13:BT13)</f>
        <v/>
      </c>
      <c r="BV13">
        <f>BO13-BU13</f>
        <v/>
      </c>
      <c r="BW13">
        <f>IFERROR(IF(RIGHT(INDEX(PIS!O$1:O$500,MATCH(D13,PIS!C$1:C$500)),5)="Gross",MIN(U13+V13,VLOOKUP("R700",TSC!B:C,2,0)*VLOOKUP("R101",TSC!B:C,2,0))*VLOOKUP("R701",TSC!B:C,2,0)%,0),0)</f>
        <v/>
      </c>
      <c r="BX13">
        <f>IFERROR(IF(RIGHT(INDEX(PIS!O$1:O$500,MATCH(D13,PIS!C$1:C$500)),5)="Gross",MIN(U13+V13,VLOOKUP("R700",TSC!B:C,2,0)*VLOOKUP("R101",TSC!B:C,2,0))*VLOOKUP("T704",TSC!B:C,2,0)%,0),0)</f>
        <v/>
      </c>
      <c r="BY13">
        <f>IFERROR(IF(RIGHT(INDEX(PIS!O$1:O$500,MATCH(D13,PIS!C$1:C$500)),5)="Gross",MIN(U13+V13,VLOOKUP("R700",TSC!B:C,2,0)*VLOOKUP("1",TSC!F:G,2,0))*VLOOKUP("T705",TSC!B:C,2,0)%,0),0)</f>
        <v/>
      </c>
      <c r="BZ13">
        <f>IFERROR(INDEX(ADJ!$A$1:$BZ$1000,MATCH(PAYROLL!D13,ADJ!A$1:A$500,0),MATCH(PAYROLL!BZ$2,ADJ!$2:$2,0)),0)</f>
        <v/>
      </c>
      <c r="CA13">
        <f>IFERROR(INDEX(ADJ!$A$1:$BZ$1000,MATCH(PAYROLL!D13,ADJ!A$1:A$500,0),MATCH(PAYROLL!CA$2,ADJ!$2:$2,0)),0)</f>
        <v/>
      </c>
      <c r="CB13">
        <f>SUM(BW13:CA13)</f>
        <v/>
      </c>
      <c r="CC13">
        <f>IFERROR(INDEX(PIS!$A$1:$BZ$1000,MATCH(PAYROLL!D13,PIS!C$1:C$500,0),MATCH(PAYROLL!CC$1,PIS!$1:$1,0)),0)</f>
        <v/>
      </c>
      <c r="CD13">
        <f>IFERROR(IF(OR(INDEX(PIS!P$1:P$500,MATCH(D13,PIS!C$1:C$500,0))="LT2",INDEX(PIS!P$1:P$500,MATCH(D13,PIS!C$1:C$500,0))="P10"),0,SUM(CB13,CC13*VLOOKUP("R601",TSC!B:C,2,0),VLOOKUP("R602",TSC!B:C,2,0))),0)</f>
        <v/>
      </c>
      <c r="CE13">
        <f>MAX(BV13-CD13,0)</f>
        <v/>
      </c>
      <c r="CF13">
        <f>IFERROR(IF(OR(RIGHT(INDEX(PIS!P$1:P$500,MATCH(D13,PIS!C$1:C$500)),5)="P10",RIGHT(INDEX(PIS!P$1:P$500,MATCH(D13,PIS!C$1:C$500)),5)="CK"),0,IF(CE13&lt;=5000000,CE13*5%,IF(CE13&lt;=10000000,CE13*10%-250000,IF(CE13&lt;=18000000,CE13*15%-750000,IF(CE13&lt;=32000000,CE13*20%-1650000,IF(CE13&lt;=52000000,CE13*25%-3250000,IF(CE13&lt;=80000000,BG13*30%-5850000,CE13*35%-9850000))))))),0)</f>
        <v/>
      </c>
      <c r="CG13">
        <f>IFERROR(IF(OR(INDEX(PIS!P$1:P$500,MATCH(D13,PIS!C$1:C$500))="LT",INDEX(PIS!P$1:P$500,MATCH(D13,PIS!C$1:C$500))="CK"),0,IF(CE13&lt;2000000,0,CE13*10%)),0)</f>
        <v/>
      </c>
      <c r="CH13">
        <f>IFERROR(INDEX(ADJ!$A$1:$BZ$1000,MATCH(PAYROLL!D13,ADJ!A$1:A$500,0),MATCH(PAYROLL!CH$2,ADJ!$2:$2,0)),0)</f>
        <v/>
      </c>
      <c r="CI13">
        <f>IFERROR(INDEX(ADJ!$A$1:$BZ$1000,MATCH(PAYROLL!D13,ADJ!A$1:A$500,0),MATCH(PAYROLL!CI$2,ADJ!$2:$2,0)),0)</f>
        <v/>
      </c>
      <c r="CJ13">
        <f>IFERROR(INDEX(ADJ!$A$1:$BZ$1000,MATCH(PAYROLL!D13,ADJ!A$1:A$500,0),MATCH(PAYROLL!CJ$2,ADJ!$2:$2,0)),0)</f>
        <v/>
      </c>
      <c r="CK13">
        <f>SUM(CF13:CJ13)</f>
        <v/>
      </c>
      <c r="CL13">
        <f>ROUND(SUM(CG13:CJ13),0)</f>
        <v/>
      </c>
      <c r="CM13">
        <f>IFERROR(INDEX(CSDA!D$1:D$500,MATCH($CM$2,CSDA!C$1:C$500,0))*INDEX(PIS!V$1:V$500,MATCH(D13,PIS!C$1:C$500))+INDEX(ADJ!$A$1:$BZ$1000,MATCH(PAYROLL!D13,ADJ!A$1:A$500,0),MATCH(PAYROLL!CM$2,ADJ!$2:$2,0)),0)</f>
        <v/>
      </c>
      <c r="CN13">
        <f>IFERROR(INDEX(ADJ!$A$1:$BZ$1000,MATCH(PAYROLL!D13,ADJ!A$1:A$500,0),MATCH(PAYROLL!CN$2,ADJ!$2:$2,0)),0)</f>
        <v/>
      </c>
      <c r="CO13">
        <f>IFERROR(INDEX(ADJ!$A$1:$BZ$1000,MATCH(PAYROLL!D13,ADJ!A$1:A$500,0),MATCH(PAYROLL!CO$2,ADJ!$2:$2,0)),0)</f>
        <v/>
      </c>
      <c r="CP13">
        <f>BO13-CK13-CH13-CL13-CM13-CN13-CO13-CB13</f>
        <v/>
      </c>
      <c r="CQ13">
        <f>IFERROR(IF(RIGHT(INDEX(PIS!O$1:O$500,MATCH(D13,PIS!C$1:C$500,0)),5)="Gross",MIN(U13+V13,VLOOKUP("R700",TSC!B:C,2,0)*VLOOKUP("R101",TSC!B:C,2,0))*(VLOOKUP("T711",TSC!B:C,2,0)+VLOOKUP("T712",TSC!B:C,2,0))%,MIN(T13+V13,VLOOKUP("R700",TSC!B:C,2,0)*VLOOKUP("R101",TSC!B:C,2,0))*(VLOOKUP("T711",TSC!B:C,2,0)+VLOOKUP("T712",TSC!B:C,2,0)+VLOOKUP("R701",TSC!B:C,2,0))%),0)</f>
        <v/>
      </c>
      <c r="CR13">
        <f>IFERROR(IF(RIGHT(INDEX(PIS!O$1:O$500,MATCH(D13,PIS!C$1:C$500,0)),5)="Gross",MIN(U13+V13,VLOOKUP("R700",TSC!B:C,2,0)*VLOOKUP("R101",TSC!B:C,2,0))*(VLOOKUP("T714",TSC!B:C,2,0))%,MIN(T13+V13,VLOOKUP("R700",TSC!B:C,2,0)*VLOOKUP("R101",TSC!B:C,2,0))*(VLOOKUP("T704",TSC!B:C,2,0)+VLOOKUP("T714",TSC!B:C,2,0))%),0)</f>
        <v/>
      </c>
      <c r="CS13">
        <f>IFERROR(IF(RIGHT(INDEX(PIS!O$1:O$500,MATCH(D13,PIS!C$1:C$500,0)),5)="Gross",MIN(U13+V13,VLOOKUP("R700",TSC!B:C,2,0)*VLOOKUP("R101",TSC!B:C,2,0))*VLOOKUP("T705",TSC!B:C,2,0)%,MIN(T13+V13,VLOOKUP("R700",TSC!B:C,2,0)*VLOOKUP("R101",TSC!B:C,2,0))*VLOOKUP("T705",TSC!B:C,2,0)%),0)</f>
        <v/>
      </c>
      <c r="CT13">
        <f>IFERROR(IF(RIGHT(INDEX(PIS!O$1:O$500,MATCH(D13,PIS!C$1:C$500,0)),5)="Gross",MIN(U13+V13,VLOOKUP("R700",TSC!B:C,2,0)*VLOOKUP("R101",TSC!B:C,2,0))*(VLOOKUP("T713",TSC!B:C,2,0))%,MIN(T13+V13,VLOOKUP("R700",TSC!B:C,2,0)*VLOOKUP("R101",TSC!B:C,2,0))*(VLOOKUP("T713",TSC!B:C,2,0))%),0)</f>
        <v/>
      </c>
      <c r="CU13">
        <f>IFERROR(INDEX(ADJ!$A$1:$BZ$1000,MATCH(PAYROLL!D13,ADJ!A$1:A$500,0),MATCH(PAYROLL!CU$2,ADJ!$2:$2,0)),0)</f>
        <v/>
      </c>
      <c r="CV13">
        <f>IFERROR(INDEX(ADJ!$A$1:$BZ$1000,MATCH(PAYROLL!D13,ADJ!A$1:A$500,0),MATCH(PAYROLL!CV$2,ADJ!$2:$2,0)),0)</f>
        <v/>
      </c>
      <c r="CW13">
        <f>SUM(CQ13:CV13)</f>
        <v/>
      </c>
      <c r="CX13">
        <f>ROUND(IF(CQ13&gt;0,T13+V13*VLOOKUP("R202",TSC!$B$1:$C$500,2,0),0),0)</f>
        <v/>
      </c>
      <c r="CY13">
        <f>IFERROR(INDEX(CSDA!D$1:D$500,MATCH($CY$2,CSDA!C$1:C$500,0)),0)</f>
        <v/>
      </c>
      <c r="CZ13">
        <f>ROUND(T13*0.7%,0)</f>
        <v/>
      </c>
      <c r="DA13">
        <f>ROUND(T13/12,0)</f>
        <v/>
      </c>
      <c r="DB13">
        <f ref="DB13" t="array">IFERROR(INDEX(CSDA!D$1:D$500,MATCH("Trích giữ"&amp;PAYROLL!DB$2,CSDA!A$1:A$500&amp;CSDA!C$1:C$500,0)),0)</f>
        <v/>
      </c>
      <c r="DC13">
        <f ref="DC13" t="array">IFERROR(INDEX(CSDA!D$1:D$500,MATCH("Trích giữ"&amp;PAYROLL!DC$2,CSDA!A$1:A$500&amp;CSDA!C$1:C$500,0)),0)</f>
        <v/>
      </c>
      <c r="DD13">
        <f ref="DD13" t="array">IFERROR(INDEX(CSDA!D$1:D$500,MATCH("Trích giữ"&amp;PAYROLL!DD$2,CSDA!A$1:A$500&amp;CSDA!C$1:C$500,0)),0)</f>
        <v/>
      </c>
      <c r="DE13">
        <f>IFERROR(INDEX(CSDA!D$1:D$500,MATCH(PAYROLL!DE$2,CSDA!C$1:C$500,0)),0)</f>
        <v/>
      </c>
      <c r="DF13">
        <f ref="DF13" t="array">IFERROR(INDEX(CSDA!D$1:D$500,MATCH("Trích giữ"&amp;PAYROLL!DF$2,CSDA!A$1:A$500&amp;CSDA!C$1:C$500,0)),0)</f>
        <v/>
      </c>
      <c r="DG13">
        <f>ROUND(T13/26,0)</f>
        <v/>
      </c>
      <c r="DH13">
        <f ref="DH13" t="array">IFERROR(INDEX(CSDA!D$1:D$500,MATCH("Trích giữ"&amp;PAYROLL!DH$2,CSDA!A$1:A$500&amp;CSDA!C$1:C$500,0)),0)</f>
        <v/>
      </c>
      <c r="DI13">
        <f>IF(U13=0,T13*21.5%-BK13,0)</f>
        <v/>
      </c>
      <c r="DK13">
        <f ref="DK13" t="array">IFERROR(INDEX(CSDA!D$1:D$500,MATCH("Trích giữ"&amp;PAYROLL!DK$2,CSDA!A$1:A$500&amp;CSDA!C$1:C$500,0)),0)</f>
        <v/>
      </c>
      <c r="DL13">
        <f>IFERROR(INDEX(CSDA!D$1:D$500,MATCH(PAYROLL!DL$2,CSDA!C$1:C$500,0))/12,0)</f>
        <v/>
      </c>
      <c r="DM13">
        <f>SUM(DA13:DL13)</f>
        <v/>
      </c>
      <c r="DN13">
        <f>IFERROR(INDEX(ADJ!$A$1:$BZ$1000,MATCH(PAYROLL!D13,ADJ!A$1:A$500,0),MATCH(PAYROLL!DN$2,ADJ!$2:$2,0)),0)</f>
        <v/>
      </c>
      <c r="DO13">
        <f>IFERROR(SUM(BO13,DM13:DN13,CW13:CZ13)-DT13,0)</f>
        <v/>
      </c>
      <c r="DP13">
        <f ref="DP13" t="array">SUM(BV13*IFERROR(INDEX(CSDA!D$1:D$500,MATCH(BV$2,CSDA!C$1:C$500,0)),0)%,CW13*IFERROR(INDEX(CSDA!D$1:D$500,MATCH(CW$2,CSDA!C$1:C$500,0)),0)%,CZ13*IFERROR(INDEX(CSDA!D$1:D$500,MATCH(CZ$2,CSDA!C$1:C$500,0)),0)%,DA13*IFERROR(INDEX(CSDA!D$1:D$500,MATCH(DA$2,CSDA!C$1:C$500,0)),0)%,DE13*IFERROR(INDEX(CSDA!D$1:D$500,MATCH("Phí dịch vụ"&amp;PAYROLL!DE$2,CSDA!A$1:A$500&amp;CSDA!C$1:C$500,0)),0)%,DB13*IFERROR(INDEX(CSDA!D$1:D$500,MATCH("Phí dịch vụ"&amp;PAYROLL!DB$2,CSDA!A$1:A$500&amp;CSDA!C$1:C$500,0)),0)%,DG13*IFERROR(INDEX(CSDA!D$1:D$500,MATCH("Phí dịch vụ"&amp;PAYROLL!DG$2,CSDA!A$1:A$500&amp;CSDA!C$1:C$500,0)),0)%,DI13*IFERROR(INDEX(CSDA!D$1:D$500,MATCH("Phí dịch vụ"&amp;PAYROLL!DI$2,CSDA!A$1:A$500&amp;CSDA!C$1:C$500,0)),0)%,BM13*IFERROR(INDEX(CSDA!D$1:D$500,MATCH(BM$2,CSDA!C$1:C$500,0)),0)%)-BM13*7%</f>
        <v/>
      </c>
      <c r="DQ13">
        <f>IFERROR(INDEX(ADJ!$A$1:$BZ$1000,MATCH(PAYROLL!D13,ADJ!A$1:A$500,0),MATCH(PAYROLL!DQ$2,ADJ!$2:$2,0)),0)</f>
        <v/>
      </c>
      <c r="DR13">
        <f>IFERROR(INDEX(ADJ!$A$1:$BZ$1000,MATCH(PAYROLL!D13,ADJ!A$1:A$500,0),MATCH(PAYROLL!DR$2,ADJ!$2:$2,0)),0)</f>
        <v/>
      </c>
      <c r="DS13">
        <f>SUM(DP13:DR13)</f>
        <v/>
      </c>
      <c r="DT13">
        <f>EK13</f>
        <v/>
      </c>
      <c r="DU13">
        <f>SUM(DO13:DR13)</f>
        <v/>
      </c>
      <c r="DV13">
        <f>ROUND(DU13*0.1,0)</f>
        <v/>
      </c>
      <c r="DW13">
        <f>DU13+DV13</f>
        <v/>
      </c>
      <c r="DZ13">
        <f>IFERROR(INDEX(ADJ!$A$1:$BZ$1000,MATCH(PAYROLL!$D13,ADJ!A$1:A$500,0),MATCH(PAYROLL!DZ$2,ADJ!$2:$2,0)),0)</f>
        <v/>
      </c>
      <c r="EA13">
        <f>IFERROR(INDEX(ADJ!$A$1:$BZ$1000,MATCH(PAYROLL!$D13,ADJ!A$1:A$500,0),MATCH(PAYROLL!EA$2,ADJ!$2:$2,0)),0)</f>
        <v/>
      </c>
      <c r="EB13">
        <f>IFERROR(INDEX(ADJ!$A$1:$BZ$1000,MATCH(PAYROLL!$D13,ADJ!A$1:A$500,0),MATCH(PAYROLL!EB$2,ADJ!$2:$2,0)),0)</f>
        <v/>
      </c>
      <c r="EC13">
        <f>IFERROR(INDEX(ADJ!$A$1:$BZ$1000,MATCH(PAYROLL!$D13,ADJ!A$1:A$500,0),MATCH(PAYROLL!EC$2,ADJ!$2:$2,0)),0)</f>
        <v/>
      </c>
      <c r="ED13">
        <f>IFERROR(INDEX(ADJ!$A$1:$BZ$1000,MATCH(PAYROLL!$D13,ADJ!A$1:A$500,0),MATCH(PAYROLL!ED$2,ADJ!$2:$2,0)),0)</f>
        <v/>
      </c>
      <c r="EE13">
        <f>IFERROR(INDEX(ADJ!$A$1:$BZ$1000,MATCH(PAYROLL!$D13,ADJ!A$1:A$500,0),MATCH(PAYROLL!EE$2,ADJ!$2:$2,0)),0)</f>
        <v/>
      </c>
      <c r="EF13">
        <f>IFERROR(INDEX(ADJ!$A$1:$BZ$1000,MATCH(PAYROLL!$D13,ADJ!A$1:A$500,0),MATCH(PAYROLL!EF$2,ADJ!$2:$2,0)),0)</f>
        <v/>
      </c>
      <c r="EG13">
        <f>IFERROR(INDEX(ADJ!$A$1:$BZ$1000,MATCH(PAYROLL!$D13,ADJ!A$1:A$500,0),MATCH(PAYROLL!EG$2,ADJ!$2:$2,0)),0)</f>
        <v/>
      </c>
      <c r="EH13">
        <f>IFERROR(INDEX(ADJ!$A$1:$BZ$1000,MATCH(PAYROLL!$D13,ADJ!A$1:A$500,0),MATCH(PAYROLL!EH$2,ADJ!$2:$2,0)),0)</f>
        <v/>
      </c>
      <c r="EI13">
        <f>IFERROR(INDEX(ADJ!$A$1:$BZ$1000,MATCH(PAYROLL!D13,ADJ!A$1:A$500,0),MATCH(PAYROLL!EI$2,ADJ!$2:$2,0)),0)</f>
        <v/>
      </c>
      <c r="EJ13">
        <f>IFERROR(INDEX(ADJ!$A$1:$BZ$1000,MATCH(PAYROLL!$D13,ADJ!A$1:A$500,0),MATCH(PAYROLL!EJ$2,ADJ!$2:$2,0)),0)</f>
        <v/>
      </c>
      <c r="EK13">
        <f>SUM(DZ13:EJ13)</f>
        <v/>
      </c>
    </row>
    <row r="14">
      <c r="A14" t="n">
        <v>12</v>
      </c>
      <c r="B14" t="inlineStr">
        <is>
          <t>Nguyễn Văn Nhân</t>
        </is>
      </c>
      <c r="D14" t="inlineStr">
        <is>
          <t>160214-01</t>
        </is>
      </c>
      <c r="S14">
        <f>IFERROR(INDEX(PIS!$A$1:$BZ$1000,MATCH($D14,PIS!C$1:C$500,0),MATCH("Lương CB tháng trước",PIS!$1:$1,0)),0)</f>
        <v/>
      </c>
      <c r="T14">
        <f>IFERROR(INDEX(PIS!$A$1:$BZ$1000,MATCH($D14,PIS!C$1:C$500,0),MATCH("Lương CB hiện tại",PIS!$1:$1,0)),0)</f>
        <v/>
      </c>
      <c r="U14">
        <f>IFERROR(INDEX(PIS!$A$1:$BZ$1000,MATCH($D14,PIS!C$1:C$500,0),MATCH("Lương đóng BHBB",PIS!$1:$1,0)),0)</f>
        <v/>
      </c>
      <c r="V14">
        <f>IFERROR(INDEX(PIS!$A$1:$BZ$1000,MATCH($D14,PIS!C$1:C$500,0),MATCH(V$2,PIS!$2:$2,0)),0)</f>
        <v/>
      </c>
      <c r="W14">
        <f>IFERROR(INDEX(PIS!$A$1:$BZ$1000,MATCH($D14,PIS!C$1:C$500,0),MATCH(W$2,PIS!$2:$2,0)),0)</f>
        <v/>
      </c>
      <c r="X14">
        <f>IFERROR(INDEX(PIS!$A$1:$BZ$1000,MATCH($D14,PIS!C$1:C$500,0),MATCH(X$2,PIS!$2:$2,0)),0)</f>
        <v/>
      </c>
      <c r="Y14">
        <f>IFERROR(INDEX(PIS!$A$1:$BZ$1000,MATCH($D14,PIS!C$1:C$500,0),MATCH(Y$2,PIS!$2:$2,0)),0)</f>
        <v/>
      </c>
      <c r="Z14">
        <f>IFERROR(INDEX(PIS!$A$1:$BZ$1000,MATCH($D14,PIS!C$1:C$500,0),MATCH(Z$2,PIS!$2:$2,0)),0)</f>
        <v/>
      </c>
      <c r="AA14">
        <f>IFERROR(INDEX(PIS!$A$1:$BZ$1000,MATCH($D14,PIS!C$1:C$500,0),MATCH(AA$2,PIS!$2:$2,0)),0)</f>
        <v/>
      </c>
      <c r="AB14">
        <f>IFERROR(INDEX(PIS!$A$1:$BZ$1000,MATCH($D14,PIS!C$1:C$500,0),MATCH(AB$2,PIS!$2:$2,0)),0)</f>
        <v/>
      </c>
      <c r="AC14">
        <f>SUM(V14:AB14)</f>
        <v/>
      </c>
      <c r="AD14">
        <f>IFERROR(INDEX(TIMESHEET!$A$1:$AI$5000,MATCH($D14,TIMESHEET!A$1:A$500,0),MATCH("T100",TIMESHEET!$2:$2,0)),0)</f>
        <v/>
      </c>
      <c r="AE14">
        <f>IFERROR(INDEX(TIMESHEET!$A$1:$AI$5000,MATCH($D14,TIMESHEET!A$1:A$500,0),MATCH("T202",TIMESHEET!$2:$2,0)),0)</f>
        <v/>
      </c>
      <c r="AF14">
        <f>IFERROR(INDEX(TIMESHEET!$A$1:$AI$5000,MATCH($D14,TIMESHEET!A$1:A$500,0),MATCH("T302",TIMESHEET!$2:$2,0)),0)</f>
        <v/>
      </c>
      <c r="AG14">
        <f>IFERROR(INDEX(TIMESHEET!$A$1:$AI$5000,MATCH($D14,TIMESHEET!A$1:A$500,0),MATCH("T406",TIMESHEET!$2:$2,0)),0)</f>
        <v/>
      </c>
      <c r="AH14">
        <f>IF(SUM(AE14:AG14)&gt;=26,26,SUM(AE14:AG14))</f>
        <v/>
      </c>
      <c r="AI14">
        <f>IFERROR(INDEX(TIMESHEET!$A$1:$AI$5000,MATCH($D14,TIMESHEET!A$1:A$500,0),MATCH("T701",TIMESHEET!$2:$2,0)),0)</f>
        <v/>
      </c>
      <c r="AJ14">
        <f>IFERROR(IF(INDEX(PIS!N$1:N$500,MATCH(D14,PIS!C$1:C$500,0))="LC4",(T14*0.85)/AD14*AH14,ROUND(T14/AD14*AH14,0)),0)</f>
        <v/>
      </c>
      <c r="AK14">
        <f>IFERROR(INDEX(ADJ!$A$1:$BZ$1000,MATCH(PAYROLL!D14,ADJ!A$1:A$500,0),MATCH(PAYROLL!AK$2,ADJ!$2:$2,0)),0)</f>
        <v/>
      </c>
      <c r="AL14">
        <f>SUM(AJ14:AK14)</f>
        <v/>
      </c>
      <c r="AM14">
        <f>IF(AH14&gt;13,V14,ROUND(V14/AD14*AH14,0))</f>
        <v/>
      </c>
      <c r="AN14">
        <f>IF(AD14=0,0,ROUND(W14/AD14*AI14,0))</f>
        <v/>
      </c>
      <c r="AO14">
        <f>ROUND(X14*AH14,0)</f>
        <v/>
      </c>
      <c r="AP14">
        <f>IF(AD14=0,0,ROUND(Y14/AD14*AH14,0))</f>
        <v/>
      </c>
      <c r="AQ14">
        <f>IFERROR(IF((AE14+AF14+AG14)&gt;13,Z14,ROUND(Z14/AD14*AH14,0)),0)</f>
        <v/>
      </c>
      <c r="AR14">
        <f>IF(AD14=0,0,ROUND(AA43/AD14*AH14,0))</f>
        <v/>
      </c>
      <c r="AS14">
        <f>IFERROR(IF((AE14+AF14+AG14)&gt;13,AB14,ROUND(AB14/AD14*AH14,0)),0)</f>
        <v/>
      </c>
      <c r="AT14">
        <f>IFERROR(INDEX(ADJ!$A$1:$BZ$1000,MATCH(PAYROLL!D14,ADJ!A$1:A$500,0),MATCH(PAYROLL!AT$2,ADJ!$2:$2,0)),0)</f>
        <v/>
      </c>
      <c r="AU14">
        <f>ROUND(SUM(AM14:AT14),0)</f>
        <v/>
      </c>
      <c r="AV14">
        <f>IFERROR(INDEX(TIMESHEET!$A$1:$AI$5000,MATCH(PAYROLL!D14,TIMESHEET!A$1:A$500,0),MATCH("T620",TIMESHEET!$2:$2,0)),0)</f>
        <v/>
      </c>
      <c r="AW14">
        <f>IFERROR(INDEX(TIMESHEET!$A$1:$AI$5000,MATCH(PAYROLL!D14,TIMESHEET!A$1:A$500,0),MATCH("T601",TIMESHEET!$2:$2,0)),0)</f>
        <v/>
      </c>
      <c r="AX14">
        <f>IFERROR(INDEX(TIMESHEET!$A$1:$AI$5000,MATCH(PAYROLL!D14,TIMESHEET!A$1:A$500,0),MATCH("T602",TIMESHEET!$2:$2,0)),0)</f>
        <v/>
      </c>
      <c r="AY14">
        <f>IFERROR(INDEX(TIMESHEET!$A$1:$AI$5000,MATCH(PAYROLL!D14,TIMESHEET!A$1:A$500,0),MATCH("T603",TIMESHEET!$2:$2,0)),0)</f>
        <v/>
      </c>
      <c r="AZ14">
        <f>IFERROR(INDEX(TIMESHEET!$A$1:$AI$5000,MATCH(PAYROLL!D14,TIMESHEET!A$1:A$500,0),MATCH("T611",TIMESHEET!$2:$2,0)),0)</f>
        <v/>
      </c>
      <c r="BA14">
        <f>IFERROR(INDEX(TIMESHEET!$A$1:$AI$5000,MATCH(PAYROLL!D14,TIMESHEET!A$1:A$500,0),MATCH("T612",TIMESHEET!$2:$2,0)),0)</f>
        <v/>
      </c>
      <c r="BB14">
        <f>IFERROR(INDEX(TIMESHEET!$A$1:$AI$5000,MATCH(PAYROLL!D14,TIMESHEET!A$1:A$500,0),MATCH("T613",TIMESHEET!$2:$2,0)),0)</f>
        <v/>
      </c>
      <c r="BC14">
        <f>IFERROR(INDEX(TIMESHEET!$A$1:$AI$5000,MATCH(PAYROLL!D14,TIMESHEET!A$1:A$500,0),MATCH("T500",TIMESHEET!$2:$2,0)),0)</f>
        <v/>
      </c>
      <c r="BD14">
        <f>IFERROR((T14+V14)/AD14/8*(AV14+AW14*1.5+AX14*2+AY14*3+AZ14*2.1+BA14*2.7+BB14*3.9+BC14*0.3),0)</f>
        <v/>
      </c>
      <c r="BE14">
        <f>IFERROR(INDEX(ADJ!$A$1:$BZ$1000,MATCH(PAYROLL!$D14,ADJ!A$1:A$500,0),MATCH(PAYROLL!BE$2,ADJ!$2:$2,0)),0)</f>
        <v/>
      </c>
      <c r="BF14">
        <f>IFERROR(INDEX(ADJ!$A$1:$BZ$1000,MATCH(PAYROLL!D14,ADJ!A$1:A$500,0),MATCH(PAYROLL!BF$2,ADJ!$2:$2,0)),0)</f>
        <v/>
      </c>
      <c r="BG14">
        <f>IFERROR(INDEX(ADJ!$A$1:$BZ$1000,MATCH(PAYROLL!D14,ADJ!A$1:A$500,0),MATCH(PAYROLL!BG$2,ADJ!$2:$2,0)),0)</f>
        <v/>
      </c>
      <c r="BH14">
        <f>IFERROR(INDEX(ADJ!$A$1:$BZ$1000,MATCH(PAYROLL!D14,ADJ!A$1:A$500,0),MATCH(PAYROLL!BH$2,ADJ!$2:$2,0)),0)</f>
        <v/>
      </c>
      <c r="BI14">
        <f>IFERROR(INDEX(ADJ!$A$1:$BZ$1000,MATCH(PAYROLL!D14,ADJ!A$1:A$500,0),MATCH(PAYROLL!BI$2,ADJ!$2:$2,0)),0)</f>
        <v/>
      </c>
      <c r="BJ14">
        <f>SUM(BE14:BI14)</f>
        <v/>
      </c>
      <c r="BK14">
        <f>IFERROR(IF(INDEX(PIS!N$1:N$500,MATCH(D14,PIS!C$1:C$500))="LC12",(T14*21.5%)/AD14*AH14,0),0)</f>
        <v/>
      </c>
      <c r="BL14">
        <f>IFERROR(INDEX(ADJ!$A$1:$BZ$1000,MATCH(PAYROLL!D14,ADJ!A$1:A$500,0),MATCH(PAYROLL!BL$2,ADJ!$2:$2,0)),0)</f>
        <v/>
      </c>
      <c r="BM14">
        <f>IFERROR(INDEX(ADJ!$A$1:$BZ$1000,MATCH(PAYROLL!D14,ADJ!A$1:A$500,0),MATCH(PAYROLL!BM$2,ADJ!$2:$2,0)),0)</f>
        <v/>
      </c>
      <c r="BN14">
        <f>IFERROR(INDEX(ADJ!$A$1:$BZ$1000,MATCH(PAYROLL!D14,ADJ!A$1:A$500,0),MATCH(PAYROLL!BN$2,ADJ!$2:$2,0)),0)</f>
        <v/>
      </c>
      <c r="BO14">
        <f>SUM(AL14,AU14,BD14,BJ14,BK14:BN14)</f>
        <v/>
      </c>
      <c r="BP14">
        <f>BN14+AP14</f>
        <v/>
      </c>
      <c r="BQ14">
        <f>IFERROR(ROUND(IF(LEFT(INDEX(PIS!O$1:O$500,MATCH(D14,PIS!C$1:C$500)),1)="D",T14/8*(BC14*0.3),IF(LEFT(INDEX(PIS!O$1:O$500,MATCH(D14,PIS!C$1:C$500)),1)="H",T14*($BC14*0.3),T14/$AD14/8*($BC14*0.3))),0),0)</f>
        <v/>
      </c>
      <c r="BR14">
        <f>IF(AO14&lt;1,0,MIN(AO14,730000))</f>
        <v/>
      </c>
      <c r="BS14">
        <f>IFERROR(ROUND((BD14-SUM(AV14:BB14)*T14/AD14/8),0)-BQ14,0)</f>
        <v/>
      </c>
      <c r="BT14">
        <f>AN14</f>
        <v/>
      </c>
      <c r="BU14">
        <f>SUM(BP14:BT14)</f>
        <v/>
      </c>
      <c r="BV14">
        <f>BO14-BU14</f>
        <v/>
      </c>
      <c r="BW14">
        <f>IFERROR(IF(RIGHT(INDEX(PIS!O$1:O$500,MATCH(D14,PIS!C$1:C$500)),5)="Gross",MIN(U14+V14,VLOOKUP("R700",TSC!B:C,2,0)*VLOOKUP("R101",TSC!B:C,2,0))*VLOOKUP("R701",TSC!B:C,2,0)%,0),0)</f>
        <v/>
      </c>
      <c r="BX14">
        <f>IFERROR(IF(RIGHT(INDEX(PIS!O$1:O$500,MATCH(D14,PIS!C$1:C$500)),5)="Gross",MIN(U14+V14,VLOOKUP("R700",TSC!B:C,2,0)*VLOOKUP("R101",TSC!B:C,2,0))*VLOOKUP("T704",TSC!B:C,2,0)%,0),0)</f>
        <v/>
      </c>
      <c r="BY14">
        <f>IFERROR(IF(RIGHT(INDEX(PIS!O$1:O$500,MATCH(D14,PIS!C$1:C$500)),5)="Gross",MIN(U14+V14,VLOOKUP("R700",TSC!B:C,2,0)*VLOOKUP("1",TSC!F:G,2,0))*VLOOKUP("T705",TSC!B:C,2,0)%,0),0)</f>
        <v/>
      </c>
      <c r="BZ14">
        <f>IFERROR(INDEX(ADJ!$A$1:$BZ$1000,MATCH(PAYROLL!D14,ADJ!A$1:A$500,0),MATCH(PAYROLL!BZ$2,ADJ!$2:$2,0)),0)</f>
        <v/>
      </c>
      <c r="CA14">
        <f>IFERROR(INDEX(ADJ!$A$1:$BZ$1000,MATCH(PAYROLL!D14,ADJ!A$1:A$500,0),MATCH(PAYROLL!CA$2,ADJ!$2:$2,0)),0)</f>
        <v/>
      </c>
      <c r="CB14">
        <f>SUM(BW14:CA14)</f>
        <v/>
      </c>
      <c r="CC14">
        <f>IFERROR(INDEX(PIS!$A$1:$BZ$1000,MATCH(PAYROLL!D14,PIS!C$1:C$500,0),MATCH(PAYROLL!CC$1,PIS!$1:$1,0)),0)</f>
        <v/>
      </c>
      <c r="CD14">
        <f>IFERROR(IF(OR(INDEX(PIS!P$1:P$500,MATCH(D14,PIS!C$1:C$500,0))="LT2",INDEX(PIS!P$1:P$500,MATCH(D14,PIS!C$1:C$500,0))="P10"),0,SUM(CB14,CC14*VLOOKUP("R601",TSC!B:C,2,0),VLOOKUP("R602",TSC!B:C,2,0))),0)</f>
        <v/>
      </c>
      <c r="CE14">
        <f>MAX(BV14-CD14,0)</f>
        <v/>
      </c>
      <c r="CF14">
        <f>IFERROR(IF(OR(RIGHT(INDEX(PIS!P$1:P$500,MATCH(D14,PIS!C$1:C$500)),5)="P10",RIGHT(INDEX(PIS!P$1:P$500,MATCH(D14,PIS!C$1:C$500)),5)="CK"),0,IF(CE14&lt;=5000000,CE14*5%,IF(CE14&lt;=10000000,CE14*10%-250000,IF(CE14&lt;=18000000,CE14*15%-750000,IF(CE14&lt;=32000000,CE14*20%-1650000,IF(CE14&lt;=52000000,CE14*25%-3250000,IF(CE14&lt;=80000000,BG14*30%-5850000,CE14*35%-9850000))))))),0)</f>
        <v/>
      </c>
      <c r="CG14">
        <f>IFERROR(IF(OR(INDEX(PIS!P$1:P$500,MATCH(D14,PIS!C$1:C$500))="LT",INDEX(PIS!P$1:P$500,MATCH(D14,PIS!C$1:C$500))="CK"),0,IF(CE14&lt;2000000,0,CE14*10%)),0)</f>
        <v/>
      </c>
      <c r="CH14">
        <f>IFERROR(INDEX(ADJ!$A$1:$BZ$1000,MATCH(PAYROLL!D14,ADJ!A$1:A$500,0),MATCH(PAYROLL!CH$2,ADJ!$2:$2,0)),0)</f>
        <v/>
      </c>
      <c r="CI14">
        <f>IFERROR(INDEX(ADJ!$A$1:$BZ$1000,MATCH(PAYROLL!D14,ADJ!A$1:A$500,0),MATCH(PAYROLL!CI$2,ADJ!$2:$2,0)),0)</f>
        <v/>
      </c>
      <c r="CJ14">
        <f>IFERROR(INDEX(ADJ!$A$1:$BZ$1000,MATCH(PAYROLL!D14,ADJ!A$1:A$500,0),MATCH(PAYROLL!CJ$2,ADJ!$2:$2,0)),0)</f>
        <v/>
      </c>
      <c r="CK14">
        <f>SUM(CF14:CJ14)</f>
        <v/>
      </c>
      <c r="CL14">
        <f>ROUND(SUM(CG14:CJ14),0)</f>
        <v/>
      </c>
      <c r="CM14">
        <f>IFERROR(INDEX(CSDA!D$1:D$500,MATCH($CM$2,CSDA!C$1:C$500,0))*INDEX(PIS!V$1:V$500,MATCH(D14,PIS!C$1:C$500))+INDEX(ADJ!$A$1:$BZ$1000,MATCH(PAYROLL!D14,ADJ!A$1:A$500,0),MATCH(PAYROLL!CM$2,ADJ!$2:$2,0)),0)</f>
        <v/>
      </c>
      <c r="CN14">
        <f>IFERROR(INDEX(ADJ!$A$1:$BZ$1000,MATCH(PAYROLL!D14,ADJ!A$1:A$500,0),MATCH(PAYROLL!CN$2,ADJ!$2:$2,0)),0)</f>
        <v/>
      </c>
      <c r="CO14">
        <f>IFERROR(INDEX(ADJ!$A$1:$BZ$1000,MATCH(PAYROLL!D14,ADJ!A$1:A$500,0),MATCH(PAYROLL!CO$2,ADJ!$2:$2,0)),0)</f>
        <v/>
      </c>
      <c r="CP14">
        <f>BO14-CK14-CH14-CL14-CM14-CN14-CO14-CB14</f>
        <v/>
      </c>
      <c r="CQ14">
        <f>IFERROR(IF(RIGHT(INDEX(PIS!O$1:O$500,MATCH(D14,PIS!C$1:C$500,0)),5)="Gross",MIN(U14+V14,VLOOKUP("R700",TSC!B:C,2,0)*VLOOKUP("R101",TSC!B:C,2,0))*(VLOOKUP("T711",TSC!B:C,2,0)+VLOOKUP("T712",TSC!B:C,2,0))%,MIN(T14+V14,VLOOKUP("R700",TSC!B:C,2,0)*VLOOKUP("R101",TSC!B:C,2,0))*(VLOOKUP("T711",TSC!B:C,2,0)+VLOOKUP("T712",TSC!B:C,2,0)+VLOOKUP("R701",TSC!B:C,2,0))%),0)</f>
        <v/>
      </c>
      <c r="CR14">
        <f>IFERROR(IF(RIGHT(INDEX(PIS!O$1:O$500,MATCH(D14,PIS!C$1:C$500,0)),5)="Gross",MIN(U14+V14,VLOOKUP("R700",TSC!B:C,2,0)*VLOOKUP("R101",TSC!B:C,2,0))*(VLOOKUP("T714",TSC!B:C,2,0))%,MIN(T14+V14,VLOOKUP("R700",TSC!B:C,2,0)*VLOOKUP("R101",TSC!B:C,2,0))*(VLOOKUP("T704",TSC!B:C,2,0)+VLOOKUP("T714",TSC!B:C,2,0))%),0)</f>
        <v/>
      </c>
      <c r="CS14">
        <f>IFERROR(IF(RIGHT(INDEX(PIS!O$1:O$500,MATCH(D14,PIS!C$1:C$500,0)),5)="Gross",MIN(U14+V14,VLOOKUP("R700",TSC!B:C,2,0)*VLOOKUP("R101",TSC!B:C,2,0))*VLOOKUP("T705",TSC!B:C,2,0)%,MIN(T14+V14,VLOOKUP("R700",TSC!B:C,2,0)*VLOOKUP("R101",TSC!B:C,2,0))*VLOOKUP("T705",TSC!B:C,2,0)%),0)</f>
        <v/>
      </c>
      <c r="CT14">
        <f>IFERROR(IF(RIGHT(INDEX(PIS!O$1:O$500,MATCH(D14,PIS!C$1:C$500,0)),5)="Gross",MIN(U14+V14,VLOOKUP("R700",TSC!B:C,2,0)*VLOOKUP("R101",TSC!B:C,2,0))*(VLOOKUP("T713",TSC!B:C,2,0))%,MIN(T14+V14,VLOOKUP("R700",TSC!B:C,2,0)*VLOOKUP("R101",TSC!B:C,2,0))*(VLOOKUP("T713",TSC!B:C,2,0))%),0)</f>
        <v/>
      </c>
      <c r="CU14">
        <f>IFERROR(INDEX(ADJ!$A$1:$BZ$1000,MATCH(PAYROLL!D14,ADJ!A$1:A$500,0),MATCH(PAYROLL!CU$2,ADJ!$2:$2,0)),0)</f>
        <v/>
      </c>
      <c r="CV14">
        <f>IFERROR(INDEX(ADJ!$A$1:$BZ$1000,MATCH(PAYROLL!D14,ADJ!A$1:A$500,0),MATCH(PAYROLL!CV$2,ADJ!$2:$2,0)),0)</f>
        <v/>
      </c>
      <c r="CW14">
        <f>SUM(CQ14:CV14)</f>
        <v/>
      </c>
      <c r="CX14">
        <f>ROUND(IF(CQ14&gt;0,T14+V14*VLOOKUP("R202",TSC!$B$1:$C$500,2,0),0),0)</f>
        <v/>
      </c>
      <c r="CY14">
        <f>IFERROR(INDEX(CSDA!D$1:D$500,MATCH($CY$2,CSDA!C$1:C$500,0)),0)</f>
        <v/>
      </c>
      <c r="CZ14">
        <f>ROUND(T14*0.7%,0)</f>
        <v/>
      </c>
      <c r="DA14">
        <f>ROUND(T14/12,0)</f>
        <v/>
      </c>
      <c r="DB14">
        <f ref="DB14" t="array">IFERROR(INDEX(CSDA!D$1:D$500,MATCH("Trích giữ"&amp;PAYROLL!DB$2,CSDA!A$1:A$500&amp;CSDA!C$1:C$500,0)),0)</f>
        <v/>
      </c>
      <c r="DC14">
        <f ref="DC14" t="array">IFERROR(INDEX(CSDA!D$1:D$500,MATCH("Trích giữ"&amp;PAYROLL!DC$2,CSDA!A$1:A$500&amp;CSDA!C$1:C$500,0)),0)</f>
        <v/>
      </c>
      <c r="DD14">
        <f ref="DD14" t="array">IFERROR(INDEX(CSDA!D$1:D$500,MATCH("Trích giữ"&amp;PAYROLL!DD$2,CSDA!A$1:A$500&amp;CSDA!C$1:C$500,0)),0)</f>
        <v/>
      </c>
      <c r="DE14">
        <f>IFERROR(INDEX(CSDA!D$1:D$500,MATCH(PAYROLL!DE$2,CSDA!C$1:C$500,0)),0)</f>
        <v/>
      </c>
      <c r="DF14">
        <f ref="DF14" t="array">IFERROR(INDEX(CSDA!D$1:D$500,MATCH("Trích giữ"&amp;PAYROLL!DF$2,CSDA!A$1:A$500&amp;CSDA!C$1:C$500,0)),0)</f>
        <v/>
      </c>
      <c r="DG14">
        <f>ROUND(T14/26,0)</f>
        <v/>
      </c>
      <c r="DH14">
        <f ref="DH14" t="array">IFERROR(INDEX(CSDA!D$1:D$500,MATCH("Trích giữ"&amp;PAYROLL!DH$2,CSDA!A$1:A$500&amp;CSDA!C$1:C$500,0)),0)</f>
        <v/>
      </c>
      <c r="DI14">
        <f>IF(U14=0,T14*21.5%-BK14,0)</f>
        <v/>
      </c>
      <c r="DK14">
        <f ref="DK14" t="array">IFERROR(INDEX(CSDA!D$1:D$500,MATCH("Trích giữ"&amp;PAYROLL!DK$2,CSDA!A$1:A$500&amp;CSDA!C$1:C$500,0)),0)</f>
        <v/>
      </c>
      <c r="DL14">
        <f>IFERROR(INDEX(CSDA!D$1:D$500,MATCH(PAYROLL!DL$2,CSDA!C$1:C$500,0))/12,0)</f>
        <v/>
      </c>
      <c r="DM14">
        <f>SUM(DA14:DL14)</f>
        <v/>
      </c>
      <c r="DN14">
        <f>IFERROR(INDEX(ADJ!$A$1:$BZ$1000,MATCH(PAYROLL!D14,ADJ!A$1:A$500,0),MATCH(PAYROLL!DN$2,ADJ!$2:$2,0)),0)</f>
        <v/>
      </c>
      <c r="DO14">
        <f>IFERROR(SUM(BO14,DM14:DN14,CW14:CZ14)-DT14,0)</f>
        <v/>
      </c>
      <c r="DP14">
        <f ref="DP14" t="array">SUM(BV14*IFERROR(INDEX(CSDA!D$1:D$500,MATCH(BV$2,CSDA!C$1:C$500,0)),0)%,CW14*IFERROR(INDEX(CSDA!D$1:D$500,MATCH(CW$2,CSDA!C$1:C$500,0)),0)%,CZ14*IFERROR(INDEX(CSDA!D$1:D$500,MATCH(CZ$2,CSDA!C$1:C$500,0)),0)%,DA14*IFERROR(INDEX(CSDA!D$1:D$500,MATCH(DA$2,CSDA!C$1:C$500,0)),0)%,DE14*IFERROR(INDEX(CSDA!D$1:D$500,MATCH("Phí dịch vụ"&amp;PAYROLL!DE$2,CSDA!A$1:A$500&amp;CSDA!C$1:C$500,0)),0)%,DB14*IFERROR(INDEX(CSDA!D$1:D$500,MATCH("Phí dịch vụ"&amp;PAYROLL!DB$2,CSDA!A$1:A$500&amp;CSDA!C$1:C$500,0)),0)%,DG14*IFERROR(INDEX(CSDA!D$1:D$500,MATCH("Phí dịch vụ"&amp;PAYROLL!DG$2,CSDA!A$1:A$500&amp;CSDA!C$1:C$500,0)),0)%,DI14*IFERROR(INDEX(CSDA!D$1:D$500,MATCH("Phí dịch vụ"&amp;PAYROLL!DI$2,CSDA!A$1:A$500&amp;CSDA!C$1:C$500,0)),0)%,BM14*IFERROR(INDEX(CSDA!D$1:D$500,MATCH(BM$2,CSDA!C$1:C$500,0)),0)%)-BM14*7%</f>
        <v/>
      </c>
      <c r="DQ14">
        <f>IFERROR(INDEX(ADJ!$A$1:$BZ$1000,MATCH(PAYROLL!D14,ADJ!A$1:A$500,0),MATCH(PAYROLL!DQ$2,ADJ!$2:$2,0)),0)</f>
        <v/>
      </c>
      <c r="DR14">
        <f>IFERROR(INDEX(ADJ!$A$1:$BZ$1000,MATCH(PAYROLL!D14,ADJ!A$1:A$500,0),MATCH(PAYROLL!DR$2,ADJ!$2:$2,0)),0)</f>
        <v/>
      </c>
      <c r="DS14">
        <f>SUM(DP14:DR14)</f>
        <v/>
      </c>
      <c r="DT14">
        <f>EK14</f>
        <v/>
      </c>
      <c r="DU14">
        <f>SUM(DO14:DR14)</f>
        <v/>
      </c>
      <c r="DV14">
        <f>ROUND(DU14*0.1,0)</f>
        <v/>
      </c>
      <c r="DW14">
        <f>DU14+DV14</f>
        <v/>
      </c>
      <c r="DZ14">
        <f>IFERROR(INDEX(ADJ!$A$1:$BZ$1000,MATCH(PAYROLL!$D14,ADJ!A$1:A$500,0),MATCH(PAYROLL!DZ$2,ADJ!$2:$2,0)),0)</f>
        <v/>
      </c>
      <c r="EA14">
        <f>IFERROR(INDEX(ADJ!$A$1:$BZ$1000,MATCH(PAYROLL!$D14,ADJ!A$1:A$500,0),MATCH(PAYROLL!EA$2,ADJ!$2:$2,0)),0)</f>
        <v/>
      </c>
      <c r="EB14">
        <f>IFERROR(INDEX(ADJ!$A$1:$BZ$1000,MATCH(PAYROLL!$D14,ADJ!A$1:A$500,0),MATCH(PAYROLL!EB$2,ADJ!$2:$2,0)),0)</f>
        <v/>
      </c>
      <c r="EC14">
        <f>IFERROR(INDEX(ADJ!$A$1:$BZ$1000,MATCH(PAYROLL!$D14,ADJ!A$1:A$500,0),MATCH(PAYROLL!EC$2,ADJ!$2:$2,0)),0)</f>
        <v/>
      </c>
      <c r="ED14">
        <f>IFERROR(INDEX(ADJ!$A$1:$BZ$1000,MATCH(PAYROLL!$D14,ADJ!A$1:A$500,0),MATCH(PAYROLL!ED$2,ADJ!$2:$2,0)),0)</f>
        <v/>
      </c>
      <c r="EE14">
        <f>IFERROR(INDEX(ADJ!$A$1:$BZ$1000,MATCH(PAYROLL!$D14,ADJ!A$1:A$500,0),MATCH(PAYROLL!EE$2,ADJ!$2:$2,0)),0)</f>
        <v/>
      </c>
      <c r="EF14">
        <f>IFERROR(INDEX(ADJ!$A$1:$BZ$1000,MATCH(PAYROLL!$D14,ADJ!A$1:A$500,0),MATCH(PAYROLL!EF$2,ADJ!$2:$2,0)),0)</f>
        <v/>
      </c>
      <c r="EG14">
        <f>IFERROR(INDEX(ADJ!$A$1:$BZ$1000,MATCH(PAYROLL!$D14,ADJ!A$1:A$500,0),MATCH(PAYROLL!EG$2,ADJ!$2:$2,0)),0)</f>
        <v/>
      </c>
      <c r="EH14">
        <f>IFERROR(INDEX(ADJ!$A$1:$BZ$1000,MATCH(PAYROLL!$D14,ADJ!A$1:A$500,0),MATCH(PAYROLL!EH$2,ADJ!$2:$2,0)),0)</f>
        <v/>
      </c>
      <c r="EI14">
        <f>IFERROR(INDEX(ADJ!$A$1:$BZ$1000,MATCH(PAYROLL!D14,ADJ!A$1:A$500,0),MATCH(PAYROLL!EI$2,ADJ!$2:$2,0)),0)</f>
        <v/>
      </c>
      <c r="EJ14">
        <f>IFERROR(INDEX(ADJ!$A$1:$BZ$1000,MATCH(PAYROLL!$D14,ADJ!A$1:A$500,0),MATCH(PAYROLL!EJ$2,ADJ!$2:$2,0)),0)</f>
        <v/>
      </c>
      <c r="EK14">
        <f>SUM(DZ14:EJ14)</f>
        <v/>
      </c>
    </row>
    <row r="15">
      <c r="A15" t="n">
        <v>13</v>
      </c>
      <c r="B15" t="inlineStr">
        <is>
          <t>Phạm Tăng Sơn</t>
        </is>
      </c>
      <c r="D15" t="inlineStr">
        <is>
          <t>158777-01</t>
        </is>
      </c>
      <c r="S15">
        <f>IFERROR(INDEX(PIS!$A$1:$BZ$1000,MATCH($D15,PIS!C$1:C$500,0),MATCH("Lương CB tháng trước",PIS!$1:$1,0)),0)</f>
        <v/>
      </c>
      <c r="T15">
        <f>IFERROR(INDEX(PIS!$A$1:$BZ$1000,MATCH($D15,PIS!C$1:C$500,0),MATCH("Lương CB hiện tại",PIS!$1:$1,0)),0)</f>
        <v/>
      </c>
      <c r="U15">
        <f>IFERROR(INDEX(PIS!$A$1:$BZ$1000,MATCH($D15,PIS!C$1:C$500,0),MATCH("Lương đóng BHBB",PIS!$1:$1,0)),0)</f>
        <v/>
      </c>
      <c r="V15">
        <f>IFERROR(INDEX(PIS!$A$1:$BZ$1000,MATCH($D15,PIS!C$1:C$500,0),MATCH(V$2,PIS!$2:$2,0)),0)</f>
        <v/>
      </c>
      <c r="W15">
        <f>IFERROR(INDEX(PIS!$A$1:$BZ$1000,MATCH($D15,PIS!C$1:C$500,0),MATCH(W$2,PIS!$2:$2,0)),0)</f>
        <v/>
      </c>
      <c r="X15">
        <f>IFERROR(INDEX(PIS!$A$1:$BZ$1000,MATCH($D15,PIS!C$1:C$500,0),MATCH(X$2,PIS!$2:$2,0)),0)</f>
        <v/>
      </c>
      <c r="Y15">
        <f>IFERROR(INDEX(PIS!$A$1:$BZ$1000,MATCH($D15,PIS!C$1:C$500,0),MATCH(Y$2,PIS!$2:$2,0)),0)</f>
        <v/>
      </c>
      <c r="Z15">
        <f>IFERROR(INDEX(PIS!$A$1:$BZ$1000,MATCH($D15,PIS!C$1:C$500,0),MATCH(Z$2,PIS!$2:$2,0)),0)</f>
        <v/>
      </c>
      <c r="AA15">
        <f>IFERROR(INDEX(PIS!$A$1:$BZ$1000,MATCH($D15,PIS!C$1:C$500,0),MATCH(AA$2,PIS!$2:$2,0)),0)</f>
        <v/>
      </c>
      <c r="AB15">
        <f>IFERROR(INDEX(PIS!$A$1:$BZ$1000,MATCH($D15,PIS!C$1:C$500,0),MATCH(AB$2,PIS!$2:$2,0)),0)</f>
        <v/>
      </c>
      <c r="AC15">
        <f>SUM(V15:AB15)</f>
        <v/>
      </c>
      <c r="AD15">
        <f>IFERROR(INDEX(TIMESHEET!$A$1:$AI$5000,MATCH($D15,TIMESHEET!A$1:A$500,0),MATCH("T100",TIMESHEET!$2:$2,0)),0)</f>
        <v/>
      </c>
      <c r="AE15">
        <f>IFERROR(INDEX(TIMESHEET!$A$1:$AI$5000,MATCH($D15,TIMESHEET!A$1:A$500,0),MATCH("T202",TIMESHEET!$2:$2,0)),0)</f>
        <v/>
      </c>
      <c r="AF15">
        <f>IFERROR(INDEX(TIMESHEET!$A$1:$AI$5000,MATCH($D15,TIMESHEET!A$1:A$500,0),MATCH("T302",TIMESHEET!$2:$2,0)),0)</f>
        <v/>
      </c>
      <c r="AG15">
        <f>IFERROR(INDEX(TIMESHEET!$A$1:$AI$5000,MATCH($D15,TIMESHEET!A$1:A$500,0),MATCH("T406",TIMESHEET!$2:$2,0)),0)</f>
        <v/>
      </c>
      <c r="AH15">
        <f>IF(SUM(AE15:AG15)&gt;=26,26,SUM(AE15:AG15))</f>
        <v/>
      </c>
      <c r="AI15">
        <f>IFERROR(INDEX(TIMESHEET!$A$1:$AI$5000,MATCH($D15,TIMESHEET!A$1:A$500,0),MATCH("T701",TIMESHEET!$2:$2,0)),0)</f>
        <v/>
      </c>
      <c r="AJ15">
        <f>IFERROR(IF(INDEX(PIS!N$1:N$500,MATCH(D15,PIS!C$1:C$500,0))="LC4",(T15*0.85)/AD15*AH15,ROUND(T15/AD15*AH15,0)),0)</f>
        <v/>
      </c>
      <c r="AK15">
        <f>IFERROR(INDEX(ADJ!$A$1:$BZ$1000,MATCH(PAYROLL!D15,ADJ!A$1:A$500,0),MATCH(PAYROLL!AK$2,ADJ!$2:$2,0)),0)</f>
        <v/>
      </c>
      <c r="AL15">
        <f>SUM(AJ15:AK15)</f>
        <v/>
      </c>
      <c r="AM15">
        <f>IF(AH15&gt;13,V15,ROUND(V15/AD15*AH15,0))</f>
        <v/>
      </c>
      <c r="AN15">
        <f>IF(AD15=0,0,ROUND(W15/AD15*AI15,0))</f>
        <v/>
      </c>
      <c r="AO15">
        <f>ROUND(X15*AH15,0)</f>
        <v/>
      </c>
      <c r="AP15">
        <f>IF(AD15=0,0,ROUND(Y15/AD15*AH15,0))</f>
        <v/>
      </c>
      <c r="AQ15">
        <f>IFERROR(IF((AE15+AF15+AG15)&gt;13,Z15,ROUND(Z15/AD15*AH15,0)),0)</f>
        <v/>
      </c>
      <c r="AR15">
        <f>IF(AD15=0,0,ROUND(AA44/AD15*AH15,0))</f>
        <v/>
      </c>
      <c r="AS15">
        <f>IFERROR(IF((AE15+AF15+AG15)&gt;13,AB15,ROUND(AB15/AD15*AH15,0)),0)</f>
        <v/>
      </c>
      <c r="AT15">
        <f>IFERROR(INDEX(ADJ!$A$1:$BZ$1000,MATCH(PAYROLL!D15,ADJ!A$1:A$500,0),MATCH(PAYROLL!AT$2,ADJ!$2:$2,0)),0)</f>
        <v/>
      </c>
      <c r="AU15">
        <f>ROUND(SUM(AM15:AT15),0)</f>
        <v/>
      </c>
      <c r="AV15">
        <f>IFERROR(INDEX(TIMESHEET!$A$1:$AI$5000,MATCH(PAYROLL!D15,TIMESHEET!A$1:A$500,0),MATCH("T620",TIMESHEET!$2:$2,0)),0)</f>
        <v/>
      </c>
      <c r="AW15">
        <f>IFERROR(INDEX(TIMESHEET!$A$1:$AI$5000,MATCH(PAYROLL!D15,TIMESHEET!A$1:A$500,0),MATCH("T601",TIMESHEET!$2:$2,0)),0)</f>
        <v/>
      </c>
      <c r="AX15">
        <f>IFERROR(INDEX(TIMESHEET!$A$1:$AI$5000,MATCH(PAYROLL!D15,TIMESHEET!A$1:A$500,0),MATCH("T602",TIMESHEET!$2:$2,0)),0)</f>
        <v/>
      </c>
      <c r="AY15">
        <f>IFERROR(INDEX(TIMESHEET!$A$1:$AI$5000,MATCH(PAYROLL!D15,TIMESHEET!A$1:A$500,0),MATCH("T603",TIMESHEET!$2:$2,0)),0)</f>
        <v/>
      </c>
      <c r="AZ15">
        <f>IFERROR(INDEX(TIMESHEET!$A$1:$AI$5000,MATCH(PAYROLL!D15,TIMESHEET!A$1:A$500,0),MATCH("T611",TIMESHEET!$2:$2,0)),0)</f>
        <v/>
      </c>
      <c r="BA15">
        <f>IFERROR(INDEX(TIMESHEET!$A$1:$AI$5000,MATCH(PAYROLL!D15,TIMESHEET!A$1:A$500,0),MATCH("T612",TIMESHEET!$2:$2,0)),0)</f>
        <v/>
      </c>
      <c r="BB15">
        <f>IFERROR(INDEX(TIMESHEET!$A$1:$AI$5000,MATCH(PAYROLL!D15,TIMESHEET!A$1:A$500,0),MATCH("T613",TIMESHEET!$2:$2,0)),0)</f>
        <v/>
      </c>
      <c r="BC15">
        <f>IFERROR(INDEX(TIMESHEET!$A$1:$AI$5000,MATCH(PAYROLL!D15,TIMESHEET!A$1:A$500,0),MATCH("T500",TIMESHEET!$2:$2,0)),0)</f>
        <v/>
      </c>
      <c r="BD15">
        <f>IFERROR((T15+V15)/AD15/8*(AV15+AW15*1.5+AX15*2+AY15*3+AZ15*2.1+BA15*2.7+BB15*3.9+BC15*0.3),0)</f>
        <v/>
      </c>
      <c r="BE15">
        <f>IFERROR(INDEX(ADJ!$A$1:$BZ$1000,MATCH(PAYROLL!$D15,ADJ!A$1:A$500,0),MATCH(PAYROLL!BE$2,ADJ!$2:$2,0)),0)</f>
        <v/>
      </c>
      <c r="BF15">
        <f>IFERROR(INDEX(ADJ!$A$1:$BZ$1000,MATCH(PAYROLL!D15,ADJ!A$1:A$500,0),MATCH(PAYROLL!BF$2,ADJ!$2:$2,0)),0)</f>
        <v/>
      </c>
      <c r="BG15">
        <f>IFERROR(INDEX(ADJ!$A$1:$BZ$1000,MATCH(PAYROLL!D15,ADJ!A$1:A$500,0),MATCH(PAYROLL!BG$2,ADJ!$2:$2,0)),0)</f>
        <v/>
      </c>
      <c r="BH15">
        <f>IFERROR(INDEX(ADJ!$A$1:$BZ$1000,MATCH(PAYROLL!D15,ADJ!A$1:A$500,0),MATCH(PAYROLL!BH$2,ADJ!$2:$2,0)),0)</f>
        <v/>
      </c>
      <c r="BI15">
        <f>IFERROR(INDEX(ADJ!$A$1:$BZ$1000,MATCH(PAYROLL!D15,ADJ!A$1:A$500,0),MATCH(PAYROLL!BI$2,ADJ!$2:$2,0)),0)</f>
        <v/>
      </c>
      <c r="BJ15">
        <f>SUM(BE15:BI15)</f>
        <v/>
      </c>
      <c r="BK15">
        <f>IFERROR(IF(INDEX(PIS!N$1:N$500,MATCH(D15,PIS!C$1:C$500))="LC12",(T15*21.5%)/AD15*AH15,0),0)</f>
        <v/>
      </c>
      <c r="BL15">
        <f>IFERROR(INDEX(ADJ!$A$1:$BZ$1000,MATCH(PAYROLL!D15,ADJ!A$1:A$500,0),MATCH(PAYROLL!BL$2,ADJ!$2:$2,0)),0)</f>
        <v/>
      </c>
      <c r="BM15">
        <f>IFERROR(INDEX(ADJ!$A$1:$BZ$1000,MATCH(PAYROLL!D15,ADJ!A$1:A$500,0),MATCH(PAYROLL!BM$2,ADJ!$2:$2,0)),0)</f>
        <v/>
      </c>
      <c r="BN15">
        <f>IFERROR(INDEX(ADJ!$A$1:$BZ$1000,MATCH(PAYROLL!D15,ADJ!A$1:A$500,0),MATCH(PAYROLL!BN$2,ADJ!$2:$2,0)),0)</f>
        <v/>
      </c>
      <c r="BO15">
        <f>SUM(AL15,AU15,BD15,BJ15,BK15:BN15)</f>
        <v/>
      </c>
      <c r="BP15">
        <f>BN15+AP15</f>
        <v/>
      </c>
      <c r="BQ15">
        <f>IFERROR(ROUND(IF(LEFT(INDEX(PIS!O$1:O$500,MATCH(D15,PIS!C$1:C$500)),1)="D",T15/8*(BC15*0.3),IF(LEFT(INDEX(PIS!O$1:O$500,MATCH(D15,PIS!C$1:C$500)),1)="H",T15*($BC15*0.3),T15/$AD15/8*($BC15*0.3))),0),0)</f>
        <v/>
      </c>
      <c r="BR15">
        <f>IF(AO15&lt;1,0,MIN(AO15,730000))</f>
        <v/>
      </c>
      <c r="BS15">
        <f>IFERROR(ROUND((BD15-SUM(AV15:BB15)*T15/AD15/8),0)-BQ15,0)</f>
        <v/>
      </c>
      <c r="BT15">
        <f>AN15</f>
        <v/>
      </c>
      <c r="BU15">
        <f>SUM(BP15:BT15)</f>
        <v/>
      </c>
      <c r="BV15">
        <f>BO15-BU15</f>
        <v/>
      </c>
      <c r="BW15">
        <f>IFERROR(IF(RIGHT(INDEX(PIS!O$1:O$500,MATCH(D15,PIS!C$1:C$500)),5)="Gross",MIN(U15+V15,VLOOKUP("R700",TSC!B:C,2,0)*VLOOKUP("R101",TSC!B:C,2,0))*VLOOKUP("R701",TSC!B:C,2,0)%,0),0)</f>
        <v/>
      </c>
      <c r="BX15">
        <f>IFERROR(IF(RIGHT(INDEX(PIS!O$1:O$500,MATCH(D15,PIS!C$1:C$500)),5)="Gross",MIN(U15+V15,VLOOKUP("R700",TSC!B:C,2,0)*VLOOKUP("R101",TSC!B:C,2,0))*VLOOKUP("T704",TSC!B:C,2,0)%,0),0)</f>
        <v/>
      </c>
      <c r="BY15">
        <f>IFERROR(IF(RIGHT(INDEX(PIS!O$1:O$500,MATCH(D15,PIS!C$1:C$500)),5)="Gross",MIN(U15+V15,VLOOKUP("R700",TSC!B:C,2,0)*VLOOKUP("1",TSC!F:G,2,0))*VLOOKUP("T705",TSC!B:C,2,0)%,0),0)</f>
        <v/>
      </c>
      <c r="BZ15">
        <f>IFERROR(INDEX(ADJ!$A$1:$BZ$1000,MATCH(PAYROLL!D15,ADJ!A$1:A$500,0),MATCH(PAYROLL!BZ$2,ADJ!$2:$2,0)),0)</f>
        <v/>
      </c>
      <c r="CA15">
        <f>IFERROR(INDEX(ADJ!$A$1:$BZ$1000,MATCH(PAYROLL!D15,ADJ!A$1:A$500,0),MATCH(PAYROLL!CA$2,ADJ!$2:$2,0)),0)</f>
        <v/>
      </c>
      <c r="CB15">
        <f>SUM(BW15:CA15)</f>
        <v/>
      </c>
      <c r="CC15">
        <f>IFERROR(INDEX(PIS!$A$1:$BZ$1000,MATCH(PAYROLL!D15,PIS!C$1:C$500,0),MATCH(PAYROLL!CC$1,PIS!$1:$1,0)),0)</f>
        <v/>
      </c>
      <c r="CD15">
        <f>IFERROR(IF(OR(INDEX(PIS!P$1:P$500,MATCH(D15,PIS!C$1:C$500,0))="LT2",INDEX(PIS!P$1:P$500,MATCH(D15,PIS!C$1:C$500,0))="P10"),0,SUM(CB15,CC15*VLOOKUP("R601",TSC!B:C,2,0),VLOOKUP("R602",TSC!B:C,2,0))),0)</f>
        <v/>
      </c>
      <c r="CE15">
        <f>MAX(BV15-CD15,0)</f>
        <v/>
      </c>
      <c r="CF15">
        <f>IFERROR(IF(OR(RIGHT(INDEX(PIS!P$1:P$500,MATCH(D15,PIS!C$1:C$500)),5)="P10",RIGHT(INDEX(PIS!P$1:P$500,MATCH(D15,PIS!C$1:C$500)),5)="CK"),0,IF(CE15&lt;=5000000,CE15*5%,IF(CE15&lt;=10000000,CE15*10%-250000,IF(CE15&lt;=18000000,CE15*15%-750000,IF(CE15&lt;=32000000,CE15*20%-1650000,IF(CE15&lt;=52000000,CE15*25%-3250000,IF(CE15&lt;=80000000,BG15*30%-5850000,CE15*35%-9850000))))))),0)</f>
        <v/>
      </c>
      <c r="CG15">
        <f>IFERROR(IF(OR(INDEX(PIS!P$1:P$500,MATCH(D15,PIS!C$1:C$500))="LT",INDEX(PIS!P$1:P$500,MATCH(D15,PIS!C$1:C$500))="CK"),0,IF(CE15&lt;2000000,0,CE15*10%)),0)</f>
        <v/>
      </c>
      <c r="CH15">
        <f>IFERROR(INDEX(ADJ!$A$1:$BZ$1000,MATCH(PAYROLL!D15,ADJ!A$1:A$500,0),MATCH(PAYROLL!CH$2,ADJ!$2:$2,0)),0)</f>
        <v/>
      </c>
      <c r="CI15">
        <f>IFERROR(INDEX(ADJ!$A$1:$BZ$1000,MATCH(PAYROLL!D15,ADJ!A$1:A$500,0),MATCH(PAYROLL!CI$2,ADJ!$2:$2,0)),0)</f>
        <v/>
      </c>
      <c r="CJ15">
        <f>IFERROR(INDEX(ADJ!$A$1:$BZ$1000,MATCH(PAYROLL!D15,ADJ!A$1:A$500,0),MATCH(PAYROLL!CJ$2,ADJ!$2:$2,0)),0)</f>
        <v/>
      </c>
      <c r="CK15">
        <f>SUM(CF15:CJ15)</f>
        <v/>
      </c>
      <c r="CL15">
        <f>ROUND(SUM(CG15:CJ15),0)</f>
        <v/>
      </c>
      <c r="CM15">
        <f>IFERROR(INDEX(CSDA!D$1:D$500,MATCH($CM$2,CSDA!C$1:C$500,0))*INDEX(PIS!V$1:V$500,MATCH(D15,PIS!C$1:C$500))+INDEX(ADJ!$A$1:$BZ$1000,MATCH(PAYROLL!D15,ADJ!A$1:A$500,0),MATCH(PAYROLL!CM$2,ADJ!$2:$2,0)),0)</f>
        <v/>
      </c>
      <c r="CN15">
        <f>IFERROR(INDEX(ADJ!$A$1:$BZ$1000,MATCH(PAYROLL!D15,ADJ!A$1:A$500,0),MATCH(PAYROLL!CN$2,ADJ!$2:$2,0)),0)</f>
        <v/>
      </c>
      <c r="CO15">
        <f>IFERROR(INDEX(ADJ!$A$1:$BZ$1000,MATCH(PAYROLL!D15,ADJ!A$1:A$500,0),MATCH(PAYROLL!CO$2,ADJ!$2:$2,0)),0)</f>
        <v/>
      </c>
      <c r="CP15">
        <f>BO15-CK15-CH15-CL15-CM15-CN15-CO15-CB15</f>
        <v/>
      </c>
      <c r="CQ15">
        <f>IFERROR(IF(RIGHT(INDEX(PIS!O$1:O$500,MATCH(D15,PIS!C$1:C$500,0)),5)="Gross",MIN(U15+V15,VLOOKUP("R700",TSC!B:C,2,0)*VLOOKUP("R101",TSC!B:C,2,0))*(VLOOKUP("T711",TSC!B:C,2,0)+VLOOKUP("T712",TSC!B:C,2,0))%,MIN(T15+V15,VLOOKUP("R700",TSC!B:C,2,0)*VLOOKUP("R101",TSC!B:C,2,0))*(VLOOKUP("T711",TSC!B:C,2,0)+VLOOKUP("T712",TSC!B:C,2,0)+VLOOKUP("R701",TSC!B:C,2,0))%),0)</f>
        <v/>
      </c>
      <c r="CR15">
        <f>IFERROR(IF(RIGHT(INDEX(PIS!O$1:O$500,MATCH(D15,PIS!C$1:C$500,0)),5)="Gross",MIN(U15+V15,VLOOKUP("R700",TSC!B:C,2,0)*VLOOKUP("R101",TSC!B:C,2,0))*(VLOOKUP("T714",TSC!B:C,2,0))%,MIN(T15+V15,VLOOKUP("R700",TSC!B:C,2,0)*VLOOKUP("R101",TSC!B:C,2,0))*(VLOOKUP("T704",TSC!B:C,2,0)+VLOOKUP("T714",TSC!B:C,2,0))%),0)</f>
        <v/>
      </c>
      <c r="CS15">
        <f>IFERROR(IF(RIGHT(INDEX(PIS!O$1:O$500,MATCH(D15,PIS!C$1:C$500,0)),5)="Gross",MIN(U15+V15,VLOOKUP("R700",TSC!B:C,2,0)*VLOOKUP("R101",TSC!B:C,2,0))*VLOOKUP("T705",TSC!B:C,2,0)%,MIN(T15+V15,VLOOKUP("R700",TSC!B:C,2,0)*VLOOKUP("R101",TSC!B:C,2,0))*VLOOKUP("T705",TSC!B:C,2,0)%),0)</f>
        <v/>
      </c>
      <c r="CT15">
        <f>IFERROR(IF(RIGHT(INDEX(PIS!O$1:O$500,MATCH(D15,PIS!C$1:C$500,0)),5)="Gross",MIN(U15+V15,VLOOKUP("R700",TSC!B:C,2,0)*VLOOKUP("R101",TSC!B:C,2,0))*(VLOOKUP("T713",TSC!B:C,2,0))%,MIN(T15+V15,VLOOKUP("R700",TSC!B:C,2,0)*VLOOKUP("R101",TSC!B:C,2,0))*(VLOOKUP("T713",TSC!B:C,2,0))%),0)</f>
        <v/>
      </c>
      <c r="CU15">
        <f>IFERROR(INDEX(ADJ!$A$1:$BZ$1000,MATCH(PAYROLL!D15,ADJ!A$1:A$500,0),MATCH(PAYROLL!CU$2,ADJ!$2:$2,0)),0)</f>
        <v/>
      </c>
      <c r="CV15">
        <f>IFERROR(INDEX(ADJ!$A$1:$BZ$1000,MATCH(PAYROLL!D15,ADJ!A$1:A$500,0),MATCH(PAYROLL!CV$2,ADJ!$2:$2,0)),0)</f>
        <v/>
      </c>
      <c r="CW15">
        <f>SUM(CQ15:CV15)</f>
        <v/>
      </c>
      <c r="CX15">
        <f>ROUND(IF(CQ15&gt;0,T15+V15*VLOOKUP("R202",TSC!$B$1:$C$500,2,0),0),0)</f>
        <v/>
      </c>
      <c r="CY15">
        <f>IFERROR(INDEX(CSDA!D$1:D$500,MATCH($CY$2,CSDA!C$1:C$500,0)),0)</f>
        <v/>
      </c>
      <c r="CZ15">
        <f>ROUND(T15*0.7%,0)</f>
        <v/>
      </c>
      <c r="DA15">
        <f>ROUND(T15/12,0)</f>
        <v/>
      </c>
      <c r="DB15">
        <f ref="DB15" t="array">IFERROR(INDEX(CSDA!D$1:D$500,MATCH("Trích giữ"&amp;PAYROLL!DB$2,CSDA!A$1:A$500&amp;CSDA!C$1:C$500,0)),0)</f>
        <v/>
      </c>
      <c r="DC15">
        <f ref="DC15" t="array">IFERROR(INDEX(CSDA!D$1:D$500,MATCH("Trích giữ"&amp;PAYROLL!DC$2,CSDA!A$1:A$500&amp;CSDA!C$1:C$500,0)),0)</f>
        <v/>
      </c>
      <c r="DD15">
        <f ref="DD15" t="array">IFERROR(INDEX(CSDA!D$1:D$500,MATCH("Trích giữ"&amp;PAYROLL!DD$2,CSDA!A$1:A$500&amp;CSDA!C$1:C$500,0)),0)</f>
        <v/>
      </c>
      <c r="DE15">
        <f>IFERROR(INDEX(CSDA!D$1:D$500,MATCH(PAYROLL!DE$2,CSDA!C$1:C$500,0)),0)</f>
        <v/>
      </c>
      <c r="DF15">
        <f ref="DF15" t="array">IFERROR(INDEX(CSDA!D$1:D$500,MATCH("Trích giữ"&amp;PAYROLL!DF$2,CSDA!A$1:A$500&amp;CSDA!C$1:C$500,0)),0)</f>
        <v/>
      </c>
      <c r="DG15">
        <f>ROUND(T15/26,0)</f>
        <v/>
      </c>
      <c r="DH15">
        <f ref="DH15" t="array">IFERROR(INDEX(CSDA!D$1:D$500,MATCH("Trích giữ"&amp;PAYROLL!DH$2,CSDA!A$1:A$500&amp;CSDA!C$1:C$500,0)),0)</f>
        <v/>
      </c>
      <c r="DI15">
        <f>IF(U15=0,T15*21.5%-BK15,0)</f>
        <v/>
      </c>
      <c r="DK15">
        <f ref="DK15" t="array">IFERROR(INDEX(CSDA!D$1:D$500,MATCH("Trích giữ"&amp;PAYROLL!DK$2,CSDA!A$1:A$500&amp;CSDA!C$1:C$500,0)),0)</f>
        <v/>
      </c>
      <c r="DL15">
        <f>IFERROR(INDEX(CSDA!D$1:D$500,MATCH(PAYROLL!DL$2,CSDA!C$1:C$500,0))/12,0)</f>
        <v/>
      </c>
      <c r="DM15">
        <f>SUM(DA15:DL15)</f>
        <v/>
      </c>
      <c r="DN15">
        <f>IFERROR(INDEX(ADJ!$A$1:$BZ$1000,MATCH(PAYROLL!D15,ADJ!A$1:A$500,0),MATCH(PAYROLL!DN$2,ADJ!$2:$2,0)),0)</f>
        <v/>
      </c>
      <c r="DO15">
        <f>IFERROR(SUM(BO15,DM15:DN15,CW15:CZ15)-DT15,0)</f>
        <v/>
      </c>
      <c r="DP15">
        <f ref="DP15" t="array">SUM(BV15*IFERROR(INDEX(CSDA!D$1:D$500,MATCH(BV$2,CSDA!C$1:C$500,0)),0)%,CW15*IFERROR(INDEX(CSDA!D$1:D$500,MATCH(CW$2,CSDA!C$1:C$500,0)),0)%,CZ15*IFERROR(INDEX(CSDA!D$1:D$500,MATCH(CZ$2,CSDA!C$1:C$500,0)),0)%,DA15*IFERROR(INDEX(CSDA!D$1:D$500,MATCH(DA$2,CSDA!C$1:C$500,0)),0)%,DE15*IFERROR(INDEX(CSDA!D$1:D$500,MATCH("Phí dịch vụ"&amp;PAYROLL!DE$2,CSDA!A$1:A$500&amp;CSDA!C$1:C$500,0)),0)%,DB15*IFERROR(INDEX(CSDA!D$1:D$500,MATCH("Phí dịch vụ"&amp;PAYROLL!DB$2,CSDA!A$1:A$500&amp;CSDA!C$1:C$500,0)),0)%,DG15*IFERROR(INDEX(CSDA!D$1:D$500,MATCH("Phí dịch vụ"&amp;PAYROLL!DG$2,CSDA!A$1:A$500&amp;CSDA!C$1:C$500,0)),0)%,DI15*IFERROR(INDEX(CSDA!D$1:D$500,MATCH("Phí dịch vụ"&amp;PAYROLL!DI$2,CSDA!A$1:A$500&amp;CSDA!C$1:C$500,0)),0)%,BM15*IFERROR(INDEX(CSDA!D$1:D$500,MATCH(BM$2,CSDA!C$1:C$500,0)),0)%)-BM15*7%</f>
        <v/>
      </c>
      <c r="DQ15">
        <f>IFERROR(INDEX(ADJ!$A$1:$BZ$1000,MATCH(PAYROLL!D15,ADJ!A$1:A$500,0),MATCH(PAYROLL!DQ$2,ADJ!$2:$2,0)),0)</f>
        <v/>
      </c>
      <c r="DR15">
        <f>IFERROR(INDEX(ADJ!$A$1:$BZ$1000,MATCH(PAYROLL!D15,ADJ!A$1:A$500,0),MATCH(PAYROLL!DR$2,ADJ!$2:$2,0)),0)</f>
        <v/>
      </c>
      <c r="DS15">
        <f>SUM(DP15:DR15)</f>
        <v/>
      </c>
      <c r="DT15">
        <f>EK15</f>
        <v/>
      </c>
      <c r="DU15">
        <f>SUM(DO15:DR15)</f>
        <v/>
      </c>
      <c r="DV15">
        <f>ROUND(DU15*0.1,0)</f>
        <v/>
      </c>
      <c r="DW15">
        <f>DU15+DV15</f>
        <v/>
      </c>
      <c r="DZ15">
        <f>IFERROR(INDEX(ADJ!$A$1:$BZ$1000,MATCH(PAYROLL!$D15,ADJ!A$1:A$500,0),MATCH(PAYROLL!DZ$2,ADJ!$2:$2,0)),0)</f>
        <v/>
      </c>
      <c r="EA15">
        <f>IFERROR(INDEX(ADJ!$A$1:$BZ$1000,MATCH(PAYROLL!$D15,ADJ!A$1:A$500,0),MATCH(PAYROLL!EA$2,ADJ!$2:$2,0)),0)</f>
        <v/>
      </c>
      <c r="EB15">
        <f>IFERROR(INDEX(ADJ!$A$1:$BZ$1000,MATCH(PAYROLL!$D15,ADJ!A$1:A$500,0),MATCH(PAYROLL!EB$2,ADJ!$2:$2,0)),0)</f>
        <v/>
      </c>
      <c r="EC15">
        <f>IFERROR(INDEX(ADJ!$A$1:$BZ$1000,MATCH(PAYROLL!$D15,ADJ!A$1:A$500,0),MATCH(PAYROLL!EC$2,ADJ!$2:$2,0)),0)</f>
        <v/>
      </c>
      <c r="ED15">
        <f>IFERROR(INDEX(ADJ!$A$1:$BZ$1000,MATCH(PAYROLL!$D15,ADJ!A$1:A$500,0),MATCH(PAYROLL!ED$2,ADJ!$2:$2,0)),0)</f>
        <v/>
      </c>
      <c r="EE15">
        <f>IFERROR(INDEX(ADJ!$A$1:$BZ$1000,MATCH(PAYROLL!$D15,ADJ!A$1:A$500,0),MATCH(PAYROLL!EE$2,ADJ!$2:$2,0)),0)</f>
        <v/>
      </c>
      <c r="EF15">
        <f>IFERROR(INDEX(ADJ!$A$1:$BZ$1000,MATCH(PAYROLL!$D15,ADJ!A$1:A$500,0),MATCH(PAYROLL!EF$2,ADJ!$2:$2,0)),0)</f>
        <v/>
      </c>
      <c r="EG15">
        <f>IFERROR(INDEX(ADJ!$A$1:$BZ$1000,MATCH(PAYROLL!$D15,ADJ!A$1:A$500,0),MATCH(PAYROLL!EG$2,ADJ!$2:$2,0)),0)</f>
        <v/>
      </c>
      <c r="EH15">
        <f>IFERROR(INDEX(ADJ!$A$1:$BZ$1000,MATCH(PAYROLL!$D15,ADJ!A$1:A$500,0),MATCH(PAYROLL!EH$2,ADJ!$2:$2,0)),0)</f>
        <v/>
      </c>
      <c r="EI15">
        <f>IFERROR(INDEX(ADJ!$A$1:$BZ$1000,MATCH(PAYROLL!D15,ADJ!A$1:A$500,0),MATCH(PAYROLL!EI$2,ADJ!$2:$2,0)),0)</f>
        <v/>
      </c>
      <c r="EJ15">
        <f>IFERROR(INDEX(ADJ!$A$1:$BZ$1000,MATCH(PAYROLL!$D15,ADJ!A$1:A$500,0),MATCH(PAYROLL!EJ$2,ADJ!$2:$2,0)),0)</f>
        <v/>
      </c>
      <c r="EK15">
        <f>SUM(DZ15:EJ15)</f>
        <v/>
      </c>
    </row>
    <row r="16">
      <c r="A16" t="n">
        <v>14</v>
      </c>
      <c r="B16" t="inlineStr">
        <is>
          <t>Nguyễn Tiến Bảo</t>
        </is>
      </c>
      <c r="D16" t="inlineStr">
        <is>
          <t>158027-01</t>
        </is>
      </c>
      <c r="S16">
        <f>IFERROR(INDEX(PIS!$A$1:$BZ$1000,MATCH($D16,PIS!C$1:C$500,0),MATCH("Lương CB tháng trước",PIS!$1:$1,0)),0)</f>
        <v/>
      </c>
      <c r="T16">
        <f>IFERROR(INDEX(PIS!$A$1:$BZ$1000,MATCH($D16,PIS!C$1:C$500,0),MATCH("Lương CB hiện tại",PIS!$1:$1,0)),0)</f>
        <v/>
      </c>
      <c r="U16">
        <f>IFERROR(INDEX(PIS!$A$1:$BZ$1000,MATCH($D16,PIS!C$1:C$500,0),MATCH("Lương đóng BHBB",PIS!$1:$1,0)),0)</f>
        <v/>
      </c>
      <c r="V16">
        <f>IFERROR(INDEX(PIS!$A$1:$BZ$1000,MATCH($D16,PIS!C$1:C$500,0),MATCH(V$2,PIS!$2:$2,0)),0)</f>
        <v/>
      </c>
      <c r="W16">
        <f>IFERROR(INDEX(PIS!$A$1:$BZ$1000,MATCH($D16,PIS!C$1:C$500,0),MATCH(W$2,PIS!$2:$2,0)),0)</f>
        <v/>
      </c>
      <c r="X16">
        <f>IFERROR(INDEX(PIS!$A$1:$BZ$1000,MATCH($D16,PIS!C$1:C$500,0),MATCH(X$2,PIS!$2:$2,0)),0)</f>
        <v/>
      </c>
      <c r="Y16">
        <f>IFERROR(INDEX(PIS!$A$1:$BZ$1000,MATCH($D16,PIS!C$1:C$500,0),MATCH(Y$2,PIS!$2:$2,0)),0)</f>
        <v/>
      </c>
      <c r="Z16">
        <f>IFERROR(INDEX(PIS!$A$1:$BZ$1000,MATCH($D16,PIS!C$1:C$500,0),MATCH(Z$2,PIS!$2:$2,0)),0)</f>
        <v/>
      </c>
      <c r="AA16">
        <f>IFERROR(INDEX(PIS!$A$1:$BZ$1000,MATCH($D16,PIS!C$1:C$500,0),MATCH(AA$2,PIS!$2:$2,0)),0)</f>
        <v/>
      </c>
      <c r="AB16">
        <f>IFERROR(INDEX(PIS!$A$1:$BZ$1000,MATCH($D16,PIS!C$1:C$500,0),MATCH(AB$2,PIS!$2:$2,0)),0)</f>
        <v/>
      </c>
      <c r="AC16">
        <f>SUM(V16:AB16)</f>
        <v/>
      </c>
      <c r="AD16">
        <f>IFERROR(INDEX(TIMESHEET!$A$1:$AI$5000,MATCH($D16,TIMESHEET!A$1:A$500,0),MATCH("T100",TIMESHEET!$2:$2,0)),0)</f>
        <v/>
      </c>
      <c r="AE16">
        <f>IFERROR(INDEX(TIMESHEET!$A$1:$AI$5000,MATCH($D16,TIMESHEET!A$1:A$500,0),MATCH("T202",TIMESHEET!$2:$2,0)),0)</f>
        <v/>
      </c>
      <c r="AF16">
        <f>IFERROR(INDEX(TIMESHEET!$A$1:$AI$5000,MATCH($D16,TIMESHEET!A$1:A$500,0),MATCH("T302",TIMESHEET!$2:$2,0)),0)</f>
        <v/>
      </c>
      <c r="AG16">
        <f>IFERROR(INDEX(TIMESHEET!$A$1:$AI$5000,MATCH($D16,TIMESHEET!A$1:A$500,0),MATCH("T406",TIMESHEET!$2:$2,0)),0)</f>
        <v/>
      </c>
      <c r="AH16">
        <f>IF(SUM(AE16:AG16)&gt;=26,26,SUM(AE16:AG16))</f>
        <v/>
      </c>
      <c r="AI16">
        <f>IFERROR(INDEX(TIMESHEET!$A$1:$AI$5000,MATCH($D16,TIMESHEET!A$1:A$500,0),MATCH("T701",TIMESHEET!$2:$2,0)),0)</f>
        <v/>
      </c>
      <c r="AJ16">
        <f>IFERROR(IF(INDEX(PIS!N$1:N$500,MATCH(D16,PIS!C$1:C$500,0))="LC4",(T16*0.85)/AD16*AH16,ROUND(T16/AD16*AH16,0)),0)</f>
        <v/>
      </c>
      <c r="AK16">
        <f>IFERROR(INDEX(ADJ!$A$1:$BZ$1000,MATCH(PAYROLL!D16,ADJ!A$1:A$500,0),MATCH(PAYROLL!AK$2,ADJ!$2:$2,0)),0)</f>
        <v/>
      </c>
      <c r="AL16">
        <f>SUM(AJ16:AK16)</f>
        <v/>
      </c>
      <c r="AM16">
        <f>IF(AH16&gt;13,V16,ROUND(V16/AD16*AH16,0))</f>
        <v/>
      </c>
      <c r="AN16">
        <f>IF(AD16=0,0,ROUND(W16/AD16*AI16,0))</f>
        <v/>
      </c>
      <c r="AO16">
        <f>ROUND(X16*AH16,0)</f>
        <v/>
      </c>
      <c r="AP16">
        <f>IF(AD16=0,0,ROUND(Y16/AD16*AH16,0))</f>
        <v/>
      </c>
      <c r="AQ16">
        <f>IFERROR(IF((AE16+AF16+AG16)&gt;13,Z16,ROUND(Z16/AD16*AH16,0)),0)</f>
        <v/>
      </c>
      <c r="AR16">
        <f>IF(AD16=0,0,ROUND(AA45/AD16*AH16,0))</f>
        <v/>
      </c>
      <c r="AS16">
        <f>IFERROR(IF((AE16+AF16+AG16)&gt;13,AB16,ROUND(AB16/AD16*AH16,0)),0)</f>
        <v/>
      </c>
      <c r="AT16">
        <f>IFERROR(INDEX(ADJ!$A$1:$BZ$1000,MATCH(PAYROLL!D16,ADJ!A$1:A$500,0),MATCH(PAYROLL!AT$2,ADJ!$2:$2,0)),0)</f>
        <v/>
      </c>
      <c r="AU16">
        <f>ROUND(SUM(AM16:AT16),0)</f>
        <v/>
      </c>
      <c r="AV16">
        <f>IFERROR(INDEX(TIMESHEET!$A$1:$AI$5000,MATCH(PAYROLL!D16,TIMESHEET!A$1:A$500,0),MATCH("T620",TIMESHEET!$2:$2,0)),0)</f>
        <v/>
      </c>
      <c r="AW16">
        <f>IFERROR(INDEX(TIMESHEET!$A$1:$AI$5000,MATCH(PAYROLL!D16,TIMESHEET!A$1:A$500,0),MATCH("T601",TIMESHEET!$2:$2,0)),0)</f>
        <v/>
      </c>
      <c r="AX16">
        <f>IFERROR(INDEX(TIMESHEET!$A$1:$AI$5000,MATCH(PAYROLL!D16,TIMESHEET!A$1:A$500,0),MATCH("T602",TIMESHEET!$2:$2,0)),0)</f>
        <v/>
      </c>
      <c r="AY16">
        <f>IFERROR(INDEX(TIMESHEET!$A$1:$AI$5000,MATCH(PAYROLL!D16,TIMESHEET!A$1:A$500,0),MATCH("T603",TIMESHEET!$2:$2,0)),0)</f>
        <v/>
      </c>
      <c r="AZ16">
        <f>IFERROR(INDEX(TIMESHEET!$A$1:$AI$5000,MATCH(PAYROLL!D16,TIMESHEET!A$1:A$500,0),MATCH("T611",TIMESHEET!$2:$2,0)),0)</f>
        <v/>
      </c>
      <c r="BA16">
        <f>IFERROR(INDEX(TIMESHEET!$A$1:$AI$5000,MATCH(PAYROLL!D16,TIMESHEET!A$1:A$500,0),MATCH("T612",TIMESHEET!$2:$2,0)),0)</f>
        <v/>
      </c>
      <c r="BB16">
        <f>IFERROR(INDEX(TIMESHEET!$A$1:$AI$5000,MATCH(PAYROLL!D16,TIMESHEET!A$1:A$500,0),MATCH("T613",TIMESHEET!$2:$2,0)),0)</f>
        <v/>
      </c>
      <c r="BC16">
        <f>IFERROR(INDEX(TIMESHEET!$A$1:$AI$5000,MATCH(PAYROLL!D16,TIMESHEET!A$1:A$500,0),MATCH("T500",TIMESHEET!$2:$2,0)),0)</f>
        <v/>
      </c>
      <c r="BD16">
        <f>IFERROR((T16+V16)/AD16/8*(AV16+AW16*1.5+AX16*2+AY16*3+AZ16*2.1+BA16*2.7+BB16*3.9+BC16*0.3),0)</f>
        <v/>
      </c>
      <c r="BE16">
        <f>IFERROR(INDEX(ADJ!$A$1:$BZ$1000,MATCH(PAYROLL!$D16,ADJ!A$1:A$500,0),MATCH(PAYROLL!BE$2,ADJ!$2:$2,0)),0)</f>
        <v/>
      </c>
      <c r="BF16">
        <f>IFERROR(INDEX(ADJ!$A$1:$BZ$1000,MATCH(PAYROLL!D16,ADJ!A$1:A$500,0),MATCH(PAYROLL!BF$2,ADJ!$2:$2,0)),0)</f>
        <v/>
      </c>
      <c r="BG16">
        <f>IFERROR(INDEX(ADJ!$A$1:$BZ$1000,MATCH(PAYROLL!D16,ADJ!A$1:A$500,0),MATCH(PAYROLL!BG$2,ADJ!$2:$2,0)),0)</f>
        <v/>
      </c>
      <c r="BH16">
        <f>IFERROR(INDEX(ADJ!$A$1:$BZ$1000,MATCH(PAYROLL!D16,ADJ!A$1:A$500,0),MATCH(PAYROLL!BH$2,ADJ!$2:$2,0)),0)</f>
        <v/>
      </c>
      <c r="BI16">
        <f>IFERROR(INDEX(ADJ!$A$1:$BZ$1000,MATCH(PAYROLL!D16,ADJ!A$1:A$500,0),MATCH(PAYROLL!BI$2,ADJ!$2:$2,0)),0)</f>
        <v/>
      </c>
      <c r="BJ16">
        <f>SUM(BE16:BI16)</f>
        <v/>
      </c>
      <c r="BK16">
        <f>IFERROR(IF(INDEX(PIS!N$1:N$500,MATCH(D16,PIS!C$1:C$500))="LC12",(T16*21.5%)/AD16*AH16,0),0)</f>
        <v/>
      </c>
      <c r="BL16">
        <f>IFERROR(INDEX(ADJ!$A$1:$BZ$1000,MATCH(PAYROLL!D16,ADJ!A$1:A$500,0),MATCH(PAYROLL!BL$2,ADJ!$2:$2,0)),0)</f>
        <v/>
      </c>
      <c r="BM16">
        <f>IFERROR(INDEX(ADJ!$A$1:$BZ$1000,MATCH(PAYROLL!D16,ADJ!A$1:A$500,0),MATCH(PAYROLL!BM$2,ADJ!$2:$2,0)),0)</f>
        <v/>
      </c>
      <c r="BN16">
        <f>IFERROR(INDEX(ADJ!$A$1:$BZ$1000,MATCH(PAYROLL!D16,ADJ!A$1:A$500,0),MATCH(PAYROLL!BN$2,ADJ!$2:$2,0)),0)</f>
        <v/>
      </c>
      <c r="BO16">
        <f>SUM(AL16,AU16,BD16,BJ16,BK16:BN16)</f>
        <v/>
      </c>
      <c r="BP16">
        <f>BN16+AP16</f>
        <v/>
      </c>
      <c r="BQ16">
        <f>IFERROR(ROUND(IF(LEFT(INDEX(PIS!O$1:O$500,MATCH(D16,PIS!C$1:C$500)),1)="D",T16/8*(BC16*0.3),IF(LEFT(INDEX(PIS!O$1:O$500,MATCH(D16,PIS!C$1:C$500)),1)="H",T16*($BC16*0.3),T16/$AD16/8*($BC16*0.3))),0),0)</f>
        <v/>
      </c>
      <c r="BR16">
        <f>IF(AO16&lt;1,0,MIN(AO16,730000))</f>
        <v/>
      </c>
      <c r="BS16">
        <f>IFERROR(ROUND((BD16-SUM(AV16:BB16)*T16/AD16/8),0)-BQ16,0)</f>
        <v/>
      </c>
      <c r="BT16">
        <f>AN16</f>
        <v/>
      </c>
      <c r="BU16">
        <f>SUM(BP16:BT16)</f>
        <v/>
      </c>
      <c r="BV16">
        <f>BO16-BU16</f>
        <v/>
      </c>
      <c r="BW16">
        <f>IFERROR(IF(RIGHT(INDEX(PIS!O$1:O$500,MATCH(D16,PIS!C$1:C$500)),5)="Gross",MIN(U16+V16,VLOOKUP("R700",TSC!B:C,2,0)*VLOOKUP("R101",TSC!B:C,2,0))*VLOOKUP("R701",TSC!B:C,2,0)%,0),0)</f>
        <v/>
      </c>
      <c r="BX16">
        <f>IFERROR(IF(RIGHT(INDEX(PIS!O$1:O$500,MATCH(D16,PIS!C$1:C$500)),5)="Gross",MIN(U16+V16,VLOOKUP("R700",TSC!B:C,2,0)*VLOOKUP("R101",TSC!B:C,2,0))*VLOOKUP("T704",TSC!B:C,2,0)%,0),0)</f>
        <v/>
      </c>
      <c r="BY16">
        <f>IFERROR(IF(RIGHT(INDEX(PIS!O$1:O$500,MATCH(D16,PIS!C$1:C$500)),5)="Gross",MIN(U16+V16,VLOOKUP("R700",TSC!B:C,2,0)*VLOOKUP("1",TSC!F:G,2,0))*VLOOKUP("T705",TSC!B:C,2,0)%,0),0)</f>
        <v/>
      </c>
      <c r="BZ16">
        <f>IFERROR(INDEX(ADJ!$A$1:$BZ$1000,MATCH(PAYROLL!D16,ADJ!A$1:A$500,0),MATCH(PAYROLL!BZ$2,ADJ!$2:$2,0)),0)</f>
        <v/>
      </c>
      <c r="CA16">
        <f>IFERROR(INDEX(ADJ!$A$1:$BZ$1000,MATCH(PAYROLL!D16,ADJ!A$1:A$500,0),MATCH(PAYROLL!CA$2,ADJ!$2:$2,0)),0)</f>
        <v/>
      </c>
      <c r="CB16">
        <f>SUM(BW16:CA16)</f>
        <v/>
      </c>
      <c r="CC16">
        <f>IFERROR(INDEX(PIS!$A$1:$BZ$1000,MATCH(PAYROLL!D16,PIS!C$1:C$500,0),MATCH(PAYROLL!CC$1,PIS!$1:$1,0)),0)</f>
        <v/>
      </c>
      <c r="CD16">
        <f>IFERROR(IF(OR(INDEX(PIS!P$1:P$500,MATCH(D16,PIS!C$1:C$500,0))="LT2",INDEX(PIS!P$1:P$500,MATCH(D16,PIS!C$1:C$500,0))="P10"),0,SUM(CB16,CC16*VLOOKUP("R601",TSC!B:C,2,0),VLOOKUP("R602",TSC!B:C,2,0))),0)</f>
        <v/>
      </c>
      <c r="CE16">
        <f>MAX(BV16-CD16,0)</f>
        <v/>
      </c>
      <c r="CF16">
        <f>IFERROR(IF(OR(RIGHT(INDEX(PIS!P$1:P$500,MATCH(D16,PIS!C$1:C$500)),5)="P10",RIGHT(INDEX(PIS!P$1:P$500,MATCH(D16,PIS!C$1:C$500)),5)="CK"),0,IF(CE16&lt;=5000000,CE16*5%,IF(CE16&lt;=10000000,CE16*10%-250000,IF(CE16&lt;=18000000,CE16*15%-750000,IF(CE16&lt;=32000000,CE16*20%-1650000,IF(CE16&lt;=52000000,CE16*25%-3250000,IF(CE16&lt;=80000000,BG16*30%-5850000,CE16*35%-9850000))))))),0)</f>
        <v/>
      </c>
      <c r="CG16">
        <f>IFERROR(IF(OR(INDEX(PIS!P$1:P$500,MATCH(D16,PIS!C$1:C$500))="LT",INDEX(PIS!P$1:P$500,MATCH(D16,PIS!C$1:C$500))="CK"),0,IF(CE16&lt;2000000,0,CE16*10%)),0)</f>
        <v/>
      </c>
      <c r="CH16">
        <f>IFERROR(INDEX(ADJ!$A$1:$BZ$1000,MATCH(PAYROLL!D16,ADJ!A$1:A$500,0),MATCH(PAYROLL!CH$2,ADJ!$2:$2,0)),0)</f>
        <v/>
      </c>
      <c r="CI16">
        <f>IFERROR(INDEX(ADJ!$A$1:$BZ$1000,MATCH(PAYROLL!D16,ADJ!A$1:A$500,0),MATCH(PAYROLL!CI$2,ADJ!$2:$2,0)),0)</f>
        <v/>
      </c>
      <c r="CJ16">
        <f>IFERROR(INDEX(ADJ!$A$1:$BZ$1000,MATCH(PAYROLL!D16,ADJ!A$1:A$500,0),MATCH(PAYROLL!CJ$2,ADJ!$2:$2,0)),0)</f>
        <v/>
      </c>
      <c r="CK16">
        <f>SUM(CF16:CJ16)</f>
        <v/>
      </c>
      <c r="CL16">
        <f>ROUND(SUM(CG16:CJ16),0)</f>
        <v/>
      </c>
      <c r="CM16">
        <f>IFERROR(INDEX(CSDA!D$1:D$500,MATCH($CM$2,CSDA!C$1:C$500,0))*INDEX(PIS!V$1:V$500,MATCH(D16,PIS!C$1:C$500))+INDEX(ADJ!$A$1:$BZ$1000,MATCH(PAYROLL!D16,ADJ!A$1:A$500,0),MATCH(PAYROLL!CM$2,ADJ!$2:$2,0)),0)</f>
        <v/>
      </c>
      <c r="CN16">
        <f>IFERROR(INDEX(ADJ!$A$1:$BZ$1000,MATCH(PAYROLL!D16,ADJ!A$1:A$500,0),MATCH(PAYROLL!CN$2,ADJ!$2:$2,0)),0)</f>
        <v/>
      </c>
      <c r="CO16">
        <f>IFERROR(INDEX(ADJ!$A$1:$BZ$1000,MATCH(PAYROLL!D16,ADJ!A$1:A$500,0),MATCH(PAYROLL!CO$2,ADJ!$2:$2,0)),0)</f>
        <v/>
      </c>
      <c r="CP16">
        <f>BO16-CK16-CH16-CL16-CM16-CN16-CO16-CB16</f>
        <v/>
      </c>
      <c r="CQ16">
        <f>IFERROR(IF(RIGHT(INDEX(PIS!O$1:O$500,MATCH(D16,PIS!C$1:C$500,0)),5)="Gross",MIN(U16+V16,VLOOKUP("R700",TSC!B:C,2,0)*VLOOKUP("R101",TSC!B:C,2,0))*(VLOOKUP("T711",TSC!B:C,2,0)+VLOOKUP("T712",TSC!B:C,2,0))%,MIN(T16+V16,VLOOKUP("R700",TSC!B:C,2,0)*VLOOKUP("R101",TSC!B:C,2,0))*(VLOOKUP("T711",TSC!B:C,2,0)+VLOOKUP("T712",TSC!B:C,2,0)+VLOOKUP("R701",TSC!B:C,2,0))%),0)</f>
        <v/>
      </c>
      <c r="CR16">
        <f>IFERROR(IF(RIGHT(INDEX(PIS!O$1:O$500,MATCH(D16,PIS!C$1:C$500,0)),5)="Gross",MIN(U16+V16,VLOOKUP("R700",TSC!B:C,2,0)*VLOOKUP("R101",TSC!B:C,2,0))*(VLOOKUP("T714",TSC!B:C,2,0))%,MIN(T16+V16,VLOOKUP("R700",TSC!B:C,2,0)*VLOOKUP("R101",TSC!B:C,2,0))*(VLOOKUP("T704",TSC!B:C,2,0)+VLOOKUP("T714",TSC!B:C,2,0))%),0)</f>
        <v/>
      </c>
      <c r="CS16">
        <f>IFERROR(IF(RIGHT(INDEX(PIS!O$1:O$500,MATCH(D16,PIS!C$1:C$500,0)),5)="Gross",MIN(U16+V16,VLOOKUP("R700",TSC!B:C,2,0)*VLOOKUP("R101",TSC!B:C,2,0))*VLOOKUP("T705",TSC!B:C,2,0)%,MIN(T16+V16,VLOOKUP("R700",TSC!B:C,2,0)*VLOOKUP("R101",TSC!B:C,2,0))*VLOOKUP("T705",TSC!B:C,2,0)%),0)</f>
        <v/>
      </c>
      <c r="CT16">
        <f>IFERROR(IF(RIGHT(INDEX(PIS!O$1:O$500,MATCH(D16,PIS!C$1:C$500,0)),5)="Gross",MIN(U16+V16,VLOOKUP("R700",TSC!B:C,2,0)*VLOOKUP("R101",TSC!B:C,2,0))*(VLOOKUP("T713",TSC!B:C,2,0))%,MIN(T16+V16,VLOOKUP("R700",TSC!B:C,2,0)*VLOOKUP("R101",TSC!B:C,2,0))*(VLOOKUP("T713",TSC!B:C,2,0))%),0)</f>
        <v/>
      </c>
      <c r="CU16">
        <f>IFERROR(INDEX(ADJ!$A$1:$BZ$1000,MATCH(PAYROLL!D16,ADJ!A$1:A$500,0),MATCH(PAYROLL!CU$2,ADJ!$2:$2,0)),0)</f>
        <v/>
      </c>
      <c r="CV16">
        <f>IFERROR(INDEX(ADJ!$A$1:$BZ$1000,MATCH(PAYROLL!D16,ADJ!A$1:A$500,0),MATCH(PAYROLL!CV$2,ADJ!$2:$2,0)),0)</f>
        <v/>
      </c>
      <c r="CW16">
        <f>SUM(CQ16:CV16)</f>
        <v/>
      </c>
      <c r="CX16">
        <f>ROUND(IF(CQ16&gt;0,T16+V16*VLOOKUP("R202",TSC!$B$1:$C$500,2,0),0),0)</f>
        <v/>
      </c>
      <c r="CY16">
        <f>IFERROR(INDEX(CSDA!D$1:D$500,MATCH($CY$2,CSDA!C$1:C$500,0)),0)</f>
        <v/>
      </c>
      <c r="CZ16">
        <f>ROUND(T16*0.7%,0)</f>
        <v/>
      </c>
      <c r="DA16">
        <f>ROUND(T16/12,0)</f>
        <v/>
      </c>
      <c r="DB16">
        <f ref="DB16" t="array">IFERROR(INDEX(CSDA!D$1:D$500,MATCH("Trích giữ"&amp;PAYROLL!DB$2,CSDA!A$1:A$500&amp;CSDA!C$1:C$500,0)),0)</f>
        <v/>
      </c>
      <c r="DC16">
        <f ref="DC16" t="array">IFERROR(INDEX(CSDA!D$1:D$500,MATCH("Trích giữ"&amp;PAYROLL!DC$2,CSDA!A$1:A$500&amp;CSDA!C$1:C$500,0)),0)</f>
        <v/>
      </c>
      <c r="DD16">
        <f ref="DD16" t="array">IFERROR(INDEX(CSDA!D$1:D$500,MATCH("Trích giữ"&amp;PAYROLL!DD$2,CSDA!A$1:A$500&amp;CSDA!C$1:C$500,0)),0)</f>
        <v/>
      </c>
      <c r="DE16">
        <f>IFERROR(INDEX(CSDA!D$1:D$500,MATCH(PAYROLL!DE$2,CSDA!C$1:C$500,0)),0)</f>
        <v/>
      </c>
      <c r="DF16">
        <f ref="DF16" t="array">IFERROR(INDEX(CSDA!D$1:D$500,MATCH("Trích giữ"&amp;PAYROLL!DF$2,CSDA!A$1:A$500&amp;CSDA!C$1:C$500,0)),0)</f>
        <v/>
      </c>
      <c r="DG16">
        <f>ROUND(T16/26,0)</f>
        <v/>
      </c>
      <c r="DH16">
        <f ref="DH16" t="array">IFERROR(INDEX(CSDA!D$1:D$500,MATCH("Trích giữ"&amp;PAYROLL!DH$2,CSDA!A$1:A$500&amp;CSDA!C$1:C$500,0)),0)</f>
        <v/>
      </c>
      <c r="DI16">
        <f>IF(U16=0,T16*21.5%-BK16,0)</f>
        <v/>
      </c>
      <c r="DK16">
        <f ref="DK16" t="array">IFERROR(INDEX(CSDA!D$1:D$500,MATCH("Trích giữ"&amp;PAYROLL!DK$2,CSDA!A$1:A$500&amp;CSDA!C$1:C$500,0)),0)</f>
        <v/>
      </c>
      <c r="DL16">
        <f>IFERROR(INDEX(CSDA!D$1:D$500,MATCH(PAYROLL!DL$2,CSDA!C$1:C$500,0))/12,0)</f>
        <v/>
      </c>
      <c r="DM16">
        <f>SUM(DA16:DL16)</f>
        <v/>
      </c>
      <c r="DN16">
        <f>IFERROR(INDEX(ADJ!$A$1:$BZ$1000,MATCH(PAYROLL!D16,ADJ!A$1:A$500,0),MATCH(PAYROLL!DN$2,ADJ!$2:$2,0)),0)</f>
        <v/>
      </c>
      <c r="DO16">
        <f>IFERROR(SUM(BO16,DM16:DN16,CW16:CZ16)-DT16,0)</f>
        <v/>
      </c>
      <c r="DP16">
        <f ref="DP16" t="array">SUM(BV16*IFERROR(INDEX(CSDA!D$1:D$500,MATCH(BV$2,CSDA!C$1:C$500,0)),0)%,CW16*IFERROR(INDEX(CSDA!D$1:D$500,MATCH(CW$2,CSDA!C$1:C$500,0)),0)%,CZ16*IFERROR(INDEX(CSDA!D$1:D$500,MATCH(CZ$2,CSDA!C$1:C$500,0)),0)%,DA16*IFERROR(INDEX(CSDA!D$1:D$500,MATCH(DA$2,CSDA!C$1:C$500,0)),0)%,DE16*IFERROR(INDEX(CSDA!D$1:D$500,MATCH("Phí dịch vụ"&amp;PAYROLL!DE$2,CSDA!A$1:A$500&amp;CSDA!C$1:C$500,0)),0)%,DB16*IFERROR(INDEX(CSDA!D$1:D$500,MATCH("Phí dịch vụ"&amp;PAYROLL!DB$2,CSDA!A$1:A$500&amp;CSDA!C$1:C$500,0)),0)%,DG16*IFERROR(INDEX(CSDA!D$1:D$500,MATCH("Phí dịch vụ"&amp;PAYROLL!DG$2,CSDA!A$1:A$500&amp;CSDA!C$1:C$500,0)),0)%,DI16*IFERROR(INDEX(CSDA!D$1:D$500,MATCH("Phí dịch vụ"&amp;PAYROLL!DI$2,CSDA!A$1:A$500&amp;CSDA!C$1:C$500,0)),0)%,BM16*IFERROR(INDEX(CSDA!D$1:D$500,MATCH(BM$2,CSDA!C$1:C$500,0)),0)%)-BM16*7%</f>
        <v/>
      </c>
      <c r="DQ16">
        <f>IFERROR(INDEX(ADJ!$A$1:$BZ$1000,MATCH(PAYROLL!D16,ADJ!A$1:A$500,0),MATCH(PAYROLL!DQ$2,ADJ!$2:$2,0)),0)</f>
        <v/>
      </c>
      <c r="DR16">
        <f>IFERROR(INDEX(ADJ!$A$1:$BZ$1000,MATCH(PAYROLL!D16,ADJ!A$1:A$500,0),MATCH(PAYROLL!DR$2,ADJ!$2:$2,0)),0)</f>
        <v/>
      </c>
      <c r="DS16">
        <f>SUM(DP16:DR16)</f>
        <v/>
      </c>
      <c r="DT16">
        <f>EK16</f>
        <v/>
      </c>
      <c r="DU16">
        <f>SUM(DO16:DR16)</f>
        <v/>
      </c>
      <c r="DV16">
        <f>ROUND(DU16*0.1,0)</f>
        <v/>
      </c>
      <c r="DW16">
        <f>DU16+DV16</f>
        <v/>
      </c>
      <c r="DZ16">
        <f>IFERROR(INDEX(ADJ!$A$1:$BZ$1000,MATCH(PAYROLL!$D16,ADJ!A$1:A$500,0),MATCH(PAYROLL!DZ$2,ADJ!$2:$2,0)),0)</f>
        <v/>
      </c>
      <c r="EA16">
        <f>IFERROR(INDEX(ADJ!$A$1:$BZ$1000,MATCH(PAYROLL!$D16,ADJ!A$1:A$500,0),MATCH(PAYROLL!EA$2,ADJ!$2:$2,0)),0)</f>
        <v/>
      </c>
      <c r="EB16">
        <f>IFERROR(INDEX(ADJ!$A$1:$BZ$1000,MATCH(PAYROLL!$D16,ADJ!A$1:A$500,0),MATCH(PAYROLL!EB$2,ADJ!$2:$2,0)),0)</f>
        <v/>
      </c>
      <c r="EC16">
        <f>IFERROR(INDEX(ADJ!$A$1:$BZ$1000,MATCH(PAYROLL!$D16,ADJ!A$1:A$500,0),MATCH(PAYROLL!EC$2,ADJ!$2:$2,0)),0)</f>
        <v/>
      </c>
      <c r="ED16">
        <f>IFERROR(INDEX(ADJ!$A$1:$BZ$1000,MATCH(PAYROLL!$D16,ADJ!A$1:A$500,0),MATCH(PAYROLL!ED$2,ADJ!$2:$2,0)),0)</f>
        <v/>
      </c>
      <c r="EE16">
        <f>IFERROR(INDEX(ADJ!$A$1:$BZ$1000,MATCH(PAYROLL!$D16,ADJ!A$1:A$500,0),MATCH(PAYROLL!EE$2,ADJ!$2:$2,0)),0)</f>
        <v/>
      </c>
      <c r="EF16">
        <f>IFERROR(INDEX(ADJ!$A$1:$BZ$1000,MATCH(PAYROLL!$D16,ADJ!A$1:A$500,0),MATCH(PAYROLL!EF$2,ADJ!$2:$2,0)),0)</f>
        <v/>
      </c>
      <c r="EG16">
        <f>IFERROR(INDEX(ADJ!$A$1:$BZ$1000,MATCH(PAYROLL!$D16,ADJ!A$1:A$500,0),MATCH(PAYROLL!EG$2,ADJ!$2:$2,0)),0)</f>
        <v/>
      </c>
      <c r="EH16">
        <f>IFERROR(INDEX(ADJ!$A$1:$BZ$1000,MATCH(PAYROLL!$D16,ADJ!A$1:A$500,0),MATCH(PAYROLL!EH$2,ADJ!$2:$2,0)),0)</f>
        <v/>
      </c>
      <c r="EI16">
        <f>IFERROR(INDEX(ADJ!$A$1:$BZ$1000,MATCH(PAYROLL!D16,ADJ!A$1:A$500,0),MATCH(PAYROLL!EI$2,ADJ!$2:$2,0)),0)</f>
        <v/>
      </c>
      <c r="EJ16">
        <f>IFERROR(INDEX(ADJ!$A$1:$BZ$1000,MATCH(PAYROLL!$D16,ADJ!A$1:A$500,0),MATCH(PAYROLL!EJ$2,ADJ!$2:$2,0)),0)</f>
        <v/>
      </c>
      <c r="EK16">
        <f>SUM(DZ16:EJ16)</f>
        <v/>
      </c>
    </row>
    <row r="17">
      <c r="A17" t="n">
        <v>15</v>
      </c>
      <c r="B17" t="inlineStr">
        <is>
          <t>Trịnh Văn Được</t>
        </is>
      </c>
      <c r="D17" t="inlineStr">
        <is>
          <t>159077-01</t>
        </is>
      </c>
      <c r="S17">
        <f>IFERROR(INDEX(PIS!$A$1:$BZ$1000,MATCH($D17,PIS!C$1:C$500,0),MATCH("Lương CB tháng trước",PIS!$1:$1,0)),0)</f>
        <v/>
      </c>
      <c r="T17">
        <f>IFERROR(INDEX(PIS!$A$1:$BZ$1000,MATCH($D17,PIS!C$1:C$500,0),MATCH("Lương CB hiện tại",PIS!$1:$1,0)),0)</f>
        <v/>
      </c>
      <c r="U17">
        <f>IFERROR(INDEX(PIS!$A$1:$BZ$1000,MATCH($D17,PIS!C$1:C$500,0),MATCH("Lương đóng BHBB",PIS!$1:$1,0)),0)</f>
        <v/>
      </c>
      <c r="V17">
        <f>IFERROR(INDEX(PIS!$A$1:$BZ$1000,MATCH($D17,PIS!C$1:C$500,0),MATCH(V$2,PIS!$2:$2,0)),0)</f>
        <v/>
      </c>
      <c r="W17">
        <f>IFERROR(INDEX(PIS!$A$1:$BZ$1000,MATCH($D17,PIS!C$1:C$500,0),MATCH(W$2,PIS!$2:$2,0)),0)</f>
        <v/>
      </c>
      <c r="X17">
        <f>IFERROR(INDEX(PIS!$A$1:$BZ$1000,MATCH($D17,PIS!C$1:C$500,0),MATCH(X$2,PIS!$2:$2,0)),0)</f>
        <v/>
      </c>
      <c r="Y17">
        <f>IFERROR(INDEX(PIS!$A$1:$BZ$1000,MATCH($D17,PIS!C$1:C$500,0),MATCH(Y$2,PIS!$2:$2,0)),0)</f>
        <v/>
      </c>
      <c r="Z17">
        <f>IFERROR(INDEX(PIS!$A$1:$BZ$1000,MATCH($D17,PIS!C$1:C$500,0),MATCH(Z$2,PIS!$2:$2,0)),0)</f>
        <v/>
      </c>
      <c r="AA17">
        <f>IFERROR(INDEX(PIS!$A$1:$BZ$1000,MATCH($D17,PIS!C$1:C$500,0),MATCH(AA$2,PIS!$2:$2,0)),0)</f>
        <v/>
      </c>
      <c r="AB17">
        <f>IFERROR(INDEX(PIS!$A$1:$BZ$1000,MATCH($D17,PIS!C$1:C$500,0),MATCH(AB$2,PIS!$2:$2,0)),0)</f>
        <v/>
      </c>
      <c r="AC17">
        <f>SUM(V17:AB17)</f>
        <v/>
      </c>
      <c r="AD17">
        <f>IFERROR(INDEX(TIMESHEET!$A$1:$AI$5000,MATCH($D17,TIMESHEET!A$1:A$500,0),MATCH("T100",TIMESHEET!$2:$2,0)),0)</f>
        <v/>
      </c>
      <c r="AE17">
        <f>IFERROR(INDEX(TIMESHEET!$A$1:$AI$5000,MATCH($D17,TIMESHEET!A$1:A$500,0),MATCH("T202",TIMESHEET!$2:$2,0)),0)</f>
        <v/>
      </c>
      <c r="AF17">
        <f>IFERROR(INDEX(TIMESHEET!$A$1:$AI$5000,MATCH($D17,TIMESHEET!A$1:A$500,0),MATCH("T302",TIMESHEET!$2:$2,0)),0)</f>
        <v/>
      </c>
      <c r="AG17">
        <f>IFERROR(INDEX(TIMESHEET!$A$1:$AI$5000,MATCH($D17,TIMESHEET!A$1:A$500,0),MATCH("T406",TIMESHEET!$2:$2,0)),0)</f>
        <v/>
      </c>
      <c r="AH17">
        <f>IF(SUM(AE17:AG17)&gt;=26,26,SUM(AE17:AG17))</f>
        <v/>
      </c>
      <c r="AI17">
        <f>IFERROR(INDEX(TIMESHEET!$A$1:$AI$5000,MATCH($D17,TIMESHEET!A$1:A$500,0),MATCH("T701",TIMESHEET!$2:$2,0)),0)</f>
        <v/>
      </c>
      <c r="AJ17">
        <f>IFERROR(IF(INDEX(PIS!N$1:N$500,MATCH(D17,PIS!C$1:C$500,0))="LC4",(T17*0.85)/AD17*AH17,ROUND(T17/AD17*AH17,0)),0)</f>
        <v/>
      </c>
      <c r="AK17">
        <f>IFERROR(INDEX(ADJ!$A$1:$BZ$1000,MATCH(PAYROLL!D17,ADJ!A$1:A$500,0),MATCH(PAYROLL!AK$2,ADJ!$2:$2,0)),0)</f>
        <v/>
      </c>
      <c r="AL17">
        <f>SUM(AJ17:AK17)</f>
        <v/>
      </c>
      <c r="AM17">
        <f>IF(AH17&gt;13,V17,ROUND(V17/AD17*AH17,0))</f>
        <v/>
      </c>
      <c r="AN17">
        <f>IF(AD17=0,0,ROUND(W17/AD17*AI17,0))</f>
        <v/>
      </c>
      <c r="AO17">
        <f>ROUND(X17*AH17,0)</f>
        <v/>
      </c>
      <c r="AP17">
        <f>IF(AD17=0,0,ROUND(Y17/AD17*AH17,0))</f>
        <v/>
      </c>
      <c r="AQ17">
        <f>IFERROR(IF((AE17+AF17+AG17)&gt;13,Z17,ROUND(Z17/AD17*AH17,0)),0)</f>
        <v/>
      </c>
      <c r="AR17">
        <f>IF(AD17=0,0,ROUND(AA46/AD17*AH17,0))</f>
        <v/>
      </c>
      <c r="AS17">
        <f>IFERROR(IF((AE17+AF17+AG17)&gt;13,AB17,ROUND(AB17/AD17*AH17,0)),0)</f>
        <v/>
      </c>
      <c r="AT17">
        <f>IFERROR(INDEX(ADJ!$A$1:$BZ$1000,MATCH(PAYROLL!D17,ADJ!A$1:A$500,0),MATCH(PAYROLL!AT$2,ADJ!$2:$2,0)),0)</f>
        <v/>
      </c>
      <c r="AU17">
        <f>ROUND(SUM(AM17:AT17),0)</f>
        <v/>
      </c>
      <c r="AV17">
        <f>IFERROR(INDEX(TIMESHEET!$A$1:$AI$5000,MATCH(PAYROLL!D17,TIMESHEET!A$1:A$500,0),MATCH("T620",TIMESHEET!$2:$2,0)),0)</f>
        <v/>
      </c>
      <c r="AW17">
        <f>IFERROR(INDEX(TIMESHEET!$A$1:$AI$5000,MATCH(PAYROLL!D17,TIMESHEET!A$1:A$500,0),MATCH("T601",TIMESHEET!$2:$2,0)),0)</f>
        <v/>
      </c>
      <c r="AX17">
        <f>IFERROR(INDEX(TIMESHEET!$A$1:$AI$5000,MATCH(PAYROLL!D17,TIMESHEET!A$1:A$500,0),MATCH("T602",TIMESHEET!$2:$2,0)),0)</f>
        <v/>
      </c>
      <c r="AY17">
        <f>IFERROR(INDEX(TIMESHEET!$A$1:$AI$5000,MATCH(PAYROLL!D17,TIMESHEET!A$1:A$500,0),MATCH("T603",TIMESHEET!$2:$2,0)),0)</f>
        <v/>
      </c>
      <c r="AZ17">
        <f>IFERROR(INDEX(TIMESHEET!$A$1:$AI$5000,MATCH(PAYROLL!D17,TIMESHEET!A$1:A$500,0),MATCH("T611",TIMESHEET!$2:$2,0)),0)</f>
        <v/>
      </c>
      <c r="BA17">
        <f>IFERROR(INDEX(TIMESHEET!$A$1:$AI$5000,MATCH(PAYROLL!D17,TIMESHEET!A$1:A$500,0),MATCH("T612",TIMESHEET!$2:$2,0)),0)</f>
        <v/>
      </c>
      <c r="BB17">
        <f>IFERROR(INDEX(TIMESHEET!$A$1:$AI$5000,MATCH(PAYROLL!D17,TIMESHEET!A$1:A$500,0),MATCH("T613",TIMESHEET!$2:$2,0)),0)</f>
        <v/>
      </c>
      <c r="BC17">
        <f>IFERROR(INDEX(TIMESHEET!$A$1:$AI$5000,MATCH(PAYROLL!D17,TIMESHEET!A$1:A$500,0),MATCH("T500",TIMESHEET!$2:$2,0)),0)</f>
        <v/>
      </c>
      <c r="BD17">
        <f>IFERROR((T17+V17)/AD17/8*(AV17+AW17*1.5+AX17*2+AY17*3+AZ17*2.1+BA17*2.7+BB17*3.9+BC17*0.3),0)</f>
        <v/>
      </c>
      <c r="BE17">
        <f>IFERROR(INDEX(ADJ!$A$1:$BZ$1000,MATCH(PAYROLL!$D17,ADJ!A$1:A$500,0),MATCH(PAYROLL!BE$2,ADJ!$2:$2,0)),0)</f>
        <v/>
      </c>
      <c r="BF17">
        <f>IFERROR(INDEX(ADJ!$A$1:$BZ$1000,MATCH(PAYROLL!D17,ADJ!A$1:A$500,0),MATCH(PAYROLL!BF$2,ADJ!$2:$2,0)),0)</f>
        <v/>
      </c>
      <c r="BG17">
        <f>IFERROR(INDEX(ADJ!$A$1:$BZ$1000,MATCH(PAYROLL!D17,ADJ!A$1:A$500,0),MATCH(PAYROLL!BG$2,ADJ!$2:$2,0)),0)</f>
        <v/>
      </c>
      <c r="BH17">
        <f>IFERROR(INDEX(ADJ!$A$1:$BZ$1000,MATCH(PAYROLL!D17,ADJ!A$1:A$500,0),MATCH(PAYROLL!BH$2,ADJ!$2:$2,0)),0)</f>
        <v/>
      </c>
      <c r="BI17">
        <f>IFERROR(INDEX(ADJ!$A$1:$BZ$1000,MATCH(PAYROLL!D17,ADJ!A$1:A$500,0),MATCH(PAYROLL!BI$2,ADJ!$2:$2,0)),0)</f>
        <v/>
      </c>
      <c r="BJ17">
        <f>SUM(BE17:BI17)</f>
        <v/>
      </c>
      <c r="BK17">
        <f>IFERROR(IF(INDEX(PIS!N$1:N$500,MATCH(D17,PIS!C$1:C$500))="LC12",(T17*21.5%)/AD17*AH17,0),0)</f>
        <v/>
      </c>
      <c r="BL17">
        <f>IFERROR(INDEX(ADJ!$A$1:$BZ$1000,MATCH(PAYROLL!D17,ADJ!A$1:A$500,0),MATCH(PAYROLL!BL$2,ADJ!$2:$2,0)),0)</f>
        <v/>
      </c>
      <c r="BM17">
        <f>IFERROR(INDEX(ADJ!$A$1:$BZ$1000,MATCH(PAYROLL!D17,ADJ!A$1:A$500,0),MATCH(PAYROLL!BM$2,ADJ!$2:$2,0)),0)</f>
        <v/>
      </c>
      <c r="BN17">
        <f>IFERROR(INDEX(ADJ!$A$1:$BZ$1000,MATCH(PAYROLL!D17,ADJ!A$1:A$500,0),MATCH(PAYROLL!BN$2,ADJ!$2:$2,0)),0)</f>
        <v/>
      </c>
      <c r="BO17">
        <f>SUM(AL17,AU17,BD17,BJ17,BK17:BN17)</f>
        <v/>
      </c>
      <c r="BP17">
        <f>BN17+AP17</f>
        <v/>
      </c>
      <c r="BQ17">
        <f>IFERROR(ROUND(IF(LEFT(INDEX(PIS!O$1:O$500,MATCH(D17,PIS!C$1:C$500)),1)="D",T17/8*(BC17*0.3),IF(LEFT(INDEX(PIS!O$1:O$500,MATCH(D17,PIS!C$1:C$500)),1)="H",T17*($BC17*0.3),T17/$AD17/8*($BC17*0.3))),0),0)</f>
        <v/>
      </c>
      <c r="BR17">
        <f>IF(AO17&lt;1,0,MIN(AO17,730000))</f>
        <v/>
      </c>
      <c r="BS17">
        <f>IFERROR(ROUND((BD17-SUM(AV17:BB17)*T17/AD17/8),0)-BQ17,0)</f>
        <v/>
      </c>
      <c r="BT17">
        <f>AN17</f>
        <v/>
      </c>
      <c r="BU17">
        <f>SUM(BP17:BT17)</f>
        <v/>
      </c>
      <c r="BV17">
        <f>BO17-BU17</f>
        <v/>
      </c>
      <c r="BW17">
        <f>IFERROR(IF(RIGHT(INDEX(PIS!O$1:O$500,MATCH(D17,PIS!C$1:C$500)),5)="Gross",MIN(U17+V17,VLOOKUP("R700",TSC!B:C,2,0)*VLOOKUP("R101",TSC!B:C,2,0))*VLOOKUP("R701",TSC!B:C,2,0)%,0),0)</f>
        <v/>
      </c>
      <c r="BX17">
        <f>IFERROR(IF(RIGHT(INDEX(PIS!O$1:O$500,MATCH(D17,PIS!C$1:C$500)),5)="Gross",MIN(U17+V17,VLOOKUP("R700",TSC!B:C,2,0)*VLOOKUP("R101",TSC!B:C,2,0))*VLOOKUP("T704",TSC!B:C,2,0)%,0),0)</f>
        <v/>
      </c>
      <c r="BY17">
        <f>IFERROR(IF(RIGHT(INDEX(PIS!O$1:O$500,MATCH(D17,PIS!C$1:C$500)),5)="Gross",MIN(U17+V17,VLOOKUP("R700",TSC!B:C,2,0)*VLOOKUP("1",TSC!F:G,2,0))*VLOOKUP("T705",TSC!B:C,2,0)%,0),0)</f>
        <v/>
      </c>
      <c r="BZ17">
        <f>IFERROR(INDEX(ADJ!$A$1:$BZ$1000,MATCH(PAYROLL!D17,ADJ!A$1:A$500,0),MATCH(PAYROLL!BZ$2,ADJ!$2:$2,0)),0)</f>
        <v/>
      </c>
      <c r="CA17">
        <f>IFERROR(INDEX(ADJ!$A$1:$BZ$1000,MATCH(PAYROLL!D17,ADJ!A$1:A$500,0),MATCH(PAYROLL!CA$2,ADJ!$2:$2,0)),0)</f>
        <v/>
      </c>
      <c r="CB17">
        <f>SUM(BW17:CA17)</f>
        <v/>
      </c>
      <c r="CC17">
        <f>IFERROR(INDEX(PIS!$A$1:$BZ$1000,MATCH(PAYROLL!D17,PIS!C$1:C$500,0),MATCH(PAYROLL!CC$1,PIS!$1:$1,0)),0)</f>
        <v/>
      </c>
      <c r="CD17">
        <f>IFERROR(IF(OR(INDEX(PIS!P$1:P$500,MATCH(D17,PIS!C$1:C$500,0))="LT2",INDEX(PIS!P$1:P$500,MATCH(D17,PIS!C$1:C$500,0))="P10"),0,SUM(CB17,CC17*VLOOKUP("R601",TSC!B:C,2,0),VLOOKUP("R602",TSC!B:C,2,0))),0)</f>
        <v/>
      </c>
      <c r="CE17">
        <f>MAX(BV17-CD17,0)</f>
        <v/>
      </c>
      <c r="CF17">
        <f>IFERROR(IF(OR(RIGHT(INDEX(PIS!P$1:P$500,MATCH(D17,PIS!C$1:C$500)),5)="P10",RIGHT(INDEX(PIS!P$1:P$500,MATCH(D17,PIS!C$1:C$500)),5)="CK"),0,IF(CE17&lt;=5000000,CE17*5%,IF(CE17&lt;=10000000,CE17*10%-250000,IF(CE17&lt;=18000000,CE17*15%-750000,IF(CE17&lt;=32000000,CE17*20%-1650000,IF(CE17&lt;=52000000,CE17*25%-3250000,IF(CE17&lt;=80000000,BG17*30%-5850000,CE17*35%-9850000))))))),0)</f>
        <v/>
      </c>
      <c r="CG17">
        <f>IFERROR(IF(OR(INDEX(PIS!P$1:P$500,MATCH(D17,PIS!C$1:C$500))="LT",INDEX(PIS!P$1:P$500,MATCH(D17,PIS!C$1:C$500))="CK"),0,IF(CE17&lt;2000000,0,CE17*10%)),0)</f>
        <v/>
      </c>
      <c r="CH17">
        <f>IFERROR(INDEX(ADJ!$A$1:$BZ$1000,MATCH(PAYROLL!D17,ADJ!A$1:A$500,0),MATCH(PAYROLL!CH$2,ADJ!$2:$2,0)),0)</f>
        <v/>
      </c>
      <c r="CI17">
        <f>IFERROR(INDEX(ADJ!$A$1:$BZ$1000,MATCH(PAYROLL!D17,ADJ!A$1:A$500,0),MATCH(PAYROLL!CI$2,ADJ!$2:$2,0)),0)</f>
        <v/>
      </c>
      <c r="CJ17">
        <f>IFERROR(INDEX(ADJ!$A$1:$BZ$1000,MATCH(PAYROLL!D17,ADJ!A$1:A$500,0),MATCH(PAYROLL!CJ$2,ADJ!$2:$2,0)),0)</f>
        <v/>
      </c>
      <c r="CK17">
        <f>SUM(CF17:CJ17)</f>
        <v/>
      </c>
      <c r="CL17">
        <f>ROUND(SUM(CG17:CJ17),0)</f>
        <v/>
      </c>
      <c r="CM17">
        <f>IFERROR(INDEX(CSDA!D$1:D$500,MATCH($CM$2,CSDA!C$1:C$500,0))*INDEX(PIS!V$1:V$500,MATCH(D17,PIS!C$1:C$500))+INDEX(ADJ!$A$1:$BZ$1000,MATCH(PAYROLL!D17,ADJ!A$1:A$500,0),MATCH(PAYROLL!CM$2,ADJ!$2:$2,0)),0)</f>
        <v/>
      </c>
      <c r="CN17">
        <f>IFERROR(INDEX(ADJ!$A$1:$BZ$1000,MATCH(PAYROLL!D17,ADJ!A$1:A$500,0),MATCH(PAYROLL!CN$2,ADJ!$2:$2,0)),0)</f>
        <v/>
      </c>
      <c r="CO17">
        <f>IFERROR(INDEX(ADJ!$A$1:$BZ$1000,MATCH(PAYROLL!D17,ADJ!A$1:A$500,0),MATCH(PAYROLL!CO$2,ADJ!$2:$2,0)),0)</f>
        <v/>
      </c>
      <c r="CP17">
        <f>BO17-CK17-CH17-CL17-CM17-CN17-CO17-CB17</f>
        <v/>
      </c>
      <c r="CQ17">
        <f>IFERROR(IF(RIGHT(INDEX(PIS!O$1:O$500,MATCH(D17,PIS!C$1:C$500,0)),5)="Gross",MIN(U17+V17,VLOOKUP("R700",TSC!B:C,2,0)*VLOOKUP("R101",TSC!B:C,2,0))*(VLOOKUP("T711",TSC!B:C,2,0)+VLOOKUP("T712",TSC!B:C,2,0))%,MIN(T17+V17,VLOOKUP("R700",TSC!B:C,2,0)*VLOOKUP("R101",TSC!B:C,2,0))*(VLOOKUP("T711",TSC!B:C,2,0)+VLOOKUP("T712",TSC!B:C,2,0)+VLOOKUP("R701",TSC!B:C,2,0))%),0)</f>
        <v/>
      </c>
      <c r="CR17">
        <f>IFERROR(IF(RIGHT(INDEX(PIS!O$1:O$500,MATCH(D17,PIS!C$1:C$500,0)),5)="Gross",MIN(U17+V17,VLOOKUP("R700",TSC!B:C,2,0)*VLOOKUP("R101",TSC!B:C,2,0))*(VLOOKUP("T714",TSC!B:C,2,0))%,MIN(T17+V17,VLOOKUP("R700",TSC!B:C,2,0)*VLOOKUP("R101",TSC!B:C,2,0))*(VLOOKUP("T704",TSC!B:C,2,0)+VLOOKUP("T714",TSC!B:C,2,0))%),0)</f>
        <v/>
      </c>
      <c r="CS17">
        <f>IFERROR(IF(RIGHT(INDEX(PIS!O$1:O$500,MATCH(D17,PIS!C$1:C$500,0)),5)="Gross",MIN(U17+V17,VLOOKUP("R700",TSC!B:C,2,0)*VLOOKUP("R101",TSC!B:C,2,0))*VLOOKUP("T705",TSC!B:C,2,0)%,MIN(T17+V17,VLOOKUP("R700",TSC!B:C,2,0)*VLOOKUP("R101",TSC!B:C,2,0))*VLOOKUP("T705",TSC!B:C,2,0)%),0)</f>
        <v/>
      </c>
      <c r="CT17">
        <f>IFERROR(IF(RIGHT(INDEX(PIS!O$1:O$500,MATCH(D17,PIS!C$1:C$500,0)),5)="Gross",MIN(U17+V17,VLOOKUP("R700",TSC!B:C,2,0)*VLOOKUP("R101",TSC!B:C,2,0))*(VLOOKUP("T713",TSC!B:C,2,0))%,MIN(T17+V17,VLOOKUP("R700",TSC!B:C,2,0)*VLOOKUP("R101",TSC!B:C,2,0))*(VLOOKUP("T713",TSC!B:C,2,0))%),0)</f>
        <v/>
      </c>
      <c r="CU17">
        <f>IFERROR(INDEX(ADJ!$A$1:$BZ$1000,MATCH(PAYROLL!D17,ADJ!A$1:A$500,0),MATCH(PAYROLL!CU$2,ADJ!$2:$2,0)),0)</f>
        <v/>
      </c>
      <c r="CV17">
        <f>IFERROR(INDEX(ADJ!$A$1:$BZ$1000,MATCH(PAYROLL!D17,ADJ!A$1:A$500,0),MATCH(PAYROLL!CV$2,ADJ!$2:$2,0)),0)</f>
        <v/>
      </c>
      <c r="CW17">
        <f>SUM(CQ17:CV17)</f>
        <v/>
      </c>
      <c r="CX17">
        <f>ROUND(IF(CQ17&gt;0,T17+V17*VLOOKUP("R202",TSC!$B$1:$C$500,2,0),0),0)</f>
        <v/>
      </c>
      <c r="CY17">
        <f>IFERROR(INDEX(CSDA!D$1:D$500,MATCH($CY$2,CSDA!C$1:C$500,0)),0)</f>
        <v/>
      </c>
      <c r="CZ17">
        <f>ROUND(T17*0.7%,0)</f>
        <v/>
      </c>
      <c r="DA17">
        <f>ROUND(T17/12,0)</f>
        <v/>
      </c>
      <c r="DB17">
        <f ref="DB17" t="array">IFERROR(INDEX(CSDA!D$1:D$500,MATCH("Trích giữ"&amp;PAYROLL!DB$2,CSDA!A$1:A$500&amp;CSDA!C$1:C$500,0)),0)</f>
        <v/>
      </c>
      <c r="DC17">
        <f ref="DC17" t="array">IFERROR(INDEX(CSDA!D$1:D$500,MATCH("Trích giữ"&amp;PAYROLL!DC$2,CSDA!A$1:A$500&amp;CSDA!C$1:C$500,0)),0)</f>
        <v/>
      </c>
      <c r="DD17">
        <f ref="DD17" t="array">IFERROR(INDEX(CSDA!D$1:D$500,MATCH("Trích giữ"&amp;PAYROLL!DD$2,CSDA!A$1:A$500&amp;CSDA!C$1:C$500,0)),0)</f>
        <v/>
      </c>
      <c r="DE17">
        <f>IFERROR(INDEX(CSDA!D$1:D$500,MATCH(PAYROLL!DE$2,CSDA!C$1:C$500,0)),0)</f>
        <v/>
      </c>
      <c r="DF17">
        <f ref="DF17" t="array">IFERROR(INDEX(CSDA!D$1:D$500,MATCH("Trích giữ"&amp;PAYROLL!DF$2,CSDA!A$1:A$500&amp;CSDA!C$1:C$500,0)),0)</f>
        <v/>
      </c>
      <c r="DG17">
        <f>ROUND(T17/26,0)</f>
        <v/>
      </c>
      <c r="DH17">
        <f ref="DH17" t="array">IFERROR(INDEX(CSDA!D$1:D$500,MATCH("Trích giữ"&amp;PAYROLL!DH$2,CSDA!A$1:A$500&amp;CSDA!C$1:C$500,0)),0)</f>
        <v/>
      </c>
      <c r="DI17">
        <f>IF(U17=0,T17*21.5%-BK17,0)</f>
        <v/>
      </c>
      <c r="DK17">
        <f ref="DK17" t="array">IFERROR(INDEX(CSDA!D$1:D$500,MATCH("Trích giữ"&amp;PAYROLL!DK$2,CSDA!A$1:A$500&amp;CSDA!C$1:C$500,0)),0)</f>
        <v/>
      </c>
      <c r="DL17">
        <f>IFERROR(INDEX(CSDA!D$1:D$500,MATCH(PAYROLL!DL$2,CSDA!C$1:C$500,0))/12,0)</f>
        <v/>
      </c>
      <c r="DM17">
        <f>SUM(DA17:DL17)</f>
        <v/>
      </c>
      <c r="DN17">
        <f>IFERROR(INDEX(ADJ!$A$1:$BZ$1000,MATCH(PAYROLL!D17,ADJ!A$1:A$500,0),MATCH(PAYROLL!DN$2,ADJ!$2:$2,0)),0)</f>
        <v/>
      </c>
      <c r="DO17">
        <f>IFERROR(SUM(BO17,DM17:DN17,CW17:CZ17)-DT17,0)</f>
        <v/>
      </c>
      <c r="DP17">
        <f ref="DP17" t="array">SUM(BV17*IFERROR(INDEX(CSDA!D$1:D$500,MATCH(BV$2,CSDA!C$1:C$500,0)),0)%,CW17*IFERROR(INDEX(CSDA!D$1:D$500,MATCH(CW$2,CSDA!C$1:C$500,0)),0)%,CZ17*IFERROR(INDEX(CSDA!D$1:D$500,MATCH(CZ$2,CSDA!C$1:C$500,0)),0)%,DA17*IFERROR(INDEX(CSDA!D$1:D$500,MATCH(DA$2,CSDA!C$1:C$500,0)),0)%,DE17*IFERROR(INDEX(CSDA!D$1:D$500,MATCH("Phí dịch vụ"&amp;PAYROLL!DE$2,CSDA!A$1:A$500&amp;CSDA!C$1:C$500,0)),0)%,DB17*IFERROR(INDEX(CSDA!D$1:D$500,MATCH("Phí dịch vụ"&amp;PAYROLL!DB$2,CSDA!A$1:A$500&amp;CSDA!C$1:C$500,0)),0)%,DG17*IFERROR(INDEX(CSDA!D$1:D$500,MATCH("Phí dịch vụ"&amp;PAYROLL!DG$2,CSDA!A$1:A$500&amp;CSDA!C$1:C$500,0)),0)%,DI17*IFERROR(INDEX(CSDA!D$1:D$500,MATCH("Phí dịch vụ"&amp;PAYROLL!DI$2,CSDA!A$1:A$500&amp;CSDA!C$1:C$500,0)),0)%,BM17*IFERROR(INDEX(CSDA!D$1:D$500,MATCH(BM$2,CSDA!C$1:C$500,0)),0)%)-BM17*7%</f>
        <v/>
      </c>
      <c r="DQ17">
        <f>IFERROR(INDEX(ADJ!$A$1:$BZ$1000,MATCH(PAYROLL!D17,ADJ!A$1:A$500,0),MATCH(PAYROLL!DQ$2,ADJ!$2:$2,0)),0)</f>
        <v/>
      </c>
      <c r="DR17">
        <f>IFERROR(INDEX(ADJ!$A$1:$BZ$1000,MATCH(PAYROLL!D17,ADJ!A$1:A$500,0),MATCH(PAYROLL!DR$2,ADJ!$2:$2,0)),0)</f>
        <v/>
      </c>
      <c r="DS17">
        <f>SUM(DP17:DR17)</f>
        <v/>
      </c>
      <c r="DT17">
        <f>EK17</f>
        <v/>
      </c>
      <c r="DU17">
        <f>SUM(DO17:DR17)</f>
        <v/>
      </c>
      <c r="DV17">
        <f>ROUND(DU17*0.1,0)</f>
        <v/>
      </c>
      <c r="DW17">
        <f>DU17+DV17</f>
        <v/>
      </c>
      <c r="DZ17">
        <f>IFERROR(INDEX(ADJ!$A$1:$BZ$1000,MATCH(PAYROLL!$D17,ADJ!A$1:A$500,0),MATCH(PAYROLL!DZ$2,ADJ!$2:$2,0)),0)</f>
        <v/>
      </c>
      <c r="EA17">
        <f>IFERROR(INDEX(ADJ!$A$1:$BZ$1000,MATCH(PAYROLL!$D17,ADJ!A$1:A$500,0),MATCH(PAYROLL!EA$2,ADJ!$2:$2,0)),0)</f>
        <v/>
      </c>
      <c r="EB17">
        <f>IFERROR(INDEX(ADJ!$A$1:$BZ$1000,MATCH(PAYROLL!$D17,ADJ!A$1:A$500,0),MATCH(PAYROLL!EB$2,ADJ!$2:$2,0)),0)</f>
        <v/>
      </c>
      <c r="EC17">
        <f>IFERROR(INDEX(ADJ!$A$1:$BZ$1000,MATCH(PAYROLL!$D17,ADJ!A$1:A$500,0),MATCH(PAYROLL!EC$2,ADJ!$2:$2,0)),0)</f>
        <v/>
      </c>
      <c r="ED17">
        <f>IFERROR(INDEX(ADJ!$A$1:$BZ$1000,MATCH(PAYROLL!$D17,ADJ!A$1:A$500,0),MATCH(PAYROLL!ED$2,ADJ!$2:$2,0)),0)</f>
        <v/>
      </c>
      <c r="EE17">
        <f>IFERROR(INDEX(ADJ!$A$1:$BZ$1000,MATCH(PAYROLL!$D17,ADJ!A$1:A$500,0),MATCH(PAYROLL!EE$2,ADJ!$2:$2,0)),0)</f>
        <v/>
      </c>
      <c r="EF17">
        <f>IFERROR(INDEX(ADJ!$A$1:$BZ$1000,MATCH(PAYROLL!$D17,ADJ!A$1:A$500,0),MATCH(PAYROLL!EF$2,ADJ!$2:$2,0)),0)</f>
        <v/>
      </c>
      <c r="EG17">
        <f>IFERROR(INDEX(ADJ!$A$1:$BZ$1000,MATCH(PAYROLL!$D17,ADJ!A$1:A$500,0),MATCH(PAYROLL!EG$2,ADJ!$2:$2,0)),0)</f>
        <v/>
      </c>
      <c r="EH17">
        <f>IFERROR(INDEX(ADJ!$A$1:$BZ$1000,MATCH(PAYROLL!$D17,ADJ!A$1:A$500,0),MATCH(PAYROLL!EH$2,ADJ!$2:$2,0)),0)</f>
        <v/>
      </c>
      <c r="EI17">
        <f>IFERROR(INDEX(ADJ!$A$1:$BZ$1000,MATCH(PAYROLL!D17,ADJ!A$1:A$500,0),MATCH(PAYROLL!EI$2,ADJ!$2:$2,0)),0)</f>
        <v/>
      </c>
      <c r="EJ17">
        <f>IFERROR(INDEX(ADJ!$A$1:$BZ$1000,MATCH(PAYROLL!$D17,ADJ!A$1:A$500,0),MATCH(PAYROLL!EJ$2,ADJ!$2:$2,0)),0)</f>
        <v/>
      </c>
      <c r="EK17">
        <f>SUM(DZ17:EJ17)</f>
        <v/>
      </c>
    </row>
    <row r="18">
      <c r="A18" t="n">
        <v>16</v>
      </c>
      <c r="B18" t="inlineStr">
        <is>
          <t>Phạm Trung Dũng</t>
        </is>
      </c>
      <c r="D18" t="inlineStr">
        <is>
          <t>157412-01</t>
        </is>
      </c>
      <c r="S18">
        <f>IFERROR(INDEX(PIS!$A$1:$BZ$1000,MATCH($D18,PIS!C$1:C$500,0),MATCH("Lương CB tháng trước",PIS!$1:$1,0)),0)</f>
        <v/>
      </c>
      <c r="T18">
        <f>IFERROR(INDEX(PIS!$A$1:$BZ$1000,MATCH($D18,PIS!C$1:C$500,0),MATCH("Lương CB hiện tại",PIS!$1:$1,0)),0)</f>
        <v/>
      </c>
      <c r="U18">
        <f>IFERROR(INDEX(PIS!$A$1:$BZ$1000,MATCH($D18,PIS!C$1:C$500,0),MATCH("Lương đóng BHBB",PIS!$1:$1,0)),0)</f>
        <v/>
      </c>
      <c r="V18">
        <f>IFERROR(INDEX(PIS!$A$1:$BZ$1000,MATCH($D18,PIS!C$1:C$500,0),MATCH(V$2,PIS!$2:$2,0)),0)</f>
        <v/>
      </c>
      <c r="W18">
        <f>IFERROR(INDEX(PIS!$A$1:$BZ$1000,MATCH($D18,PIS!C$1:C$500,0),MATCH(W$2,PIS!$2:$2,0)),0)</f>
        <v/>
      </c>
      <c r="X18">
        <f>IFERROR(INDEX(PIS!$A$1:$BZ$1000,MATCH($D18,PIS!C$1:C$500,0),MATCH(X$2,PIS!$2:$2,0)),0)</f>
        <v/>
      </c>
      <c r="Y18">
        <f>IFERROR(INDEX(PIS!$A$1:$BZ$1000,MATCH($D18,PIS!C$1:C$500,0),MATCH(Y$2,PIS!$2:$2,0)),0)</f>
        <v/>
      </c>
      <c r="Z18">
        <f>IFERROR(INDEX(PIS!$A$1:$BZ$1000,MATCH($D18,PIS!C$1:C$500,0),MATCH(Z$2,PIS!$2:$2,0)),0)</f>
        <v/>
      </c>
      <c r="AA18">
        <f>IFERROR(INDEX(PIS!$A$1:$BZ$1000,MATCH($D18,PIS!C$1:C$500,0),MATCH(AA$2,PIS!$2:$2,0)),0)</f>
        <v/>
      </c>
      <c r="AB18">
        <f>IFERROR(INDEX(PIS!$A$1:$BZ$1000,MATCH($D18,PIS!C$1:C$500,0),MATCH(AB$2,PIS!$2:$2,0)),0)</f>
        <v/>
      </c>
      <c r="AC18">
        <f>SUM(V18:AB18)</f>
        <v/>
      </c>
      <c r="AD18">
        <f>IFERROR(INDEX(TIMESHEET!$A$1:$AI$5000,MATCH($D18,TIMESHEET!A$1:A$500,0),MATCH("T100",TIMESHEET!$2:$2,0)),0)</f>
        <v/>
      </c>
      <c r="AE18">
        <f>IFERROR(INDEX(TIMESHEET!$A$1:$AI$5000,MATCH($D18,TIMESHEET!A$1:A$500,0),MATCH("T202",TIMESHEET!$2:$2,0)),0)</f>
        <v/>
      </c>
      <c r="AF18">
        <f>IFERROR(INDEX(TIMESHEET!$A$1:$AI$5000,MATCH($D18,TIMESHEET!A$1:A$500,0),MATCH("T302",TIMESHEET!$2:$2,0)),0)</f>
        <v/>
      </c>
      <c r="AG18">
        <f>IFERROR(INDEX(TIMESHEET!$A$1:$AI$5000,MATCH($D18,TIMESHEET!A$1:A$500,0),MATCH("T406",TIMESHEET!$2:$2,0)),0)</f>
        <v/>
      </c>
      <c r="AH18">
        <f>IF(SUM(AE18:AG18)&gt;=26,26,SUM(AE18:AG18))</f>
        <v/>
      </c>
      <c r="AI18">
        <f>IFERROR(INDEX(TIMESHEET!$A$1:$AI$5000,MATCH($D18,TIMESHEET!A$1:A$500,0),MATCH("T701",TIMESHEET!$2:$2,0)),0)</f>
        <v/>
      </c>
      <c r="AJ18">
        <f>IFERROR(IF(INDEX(PIS!N$1:N$500,MATCH(D18,PIS!C$1:C$500,0))="LC4",(T18*0.85)/AD18*AH18,ROUND(T18/AD18*AH18,0)),0)</f>
        <v/>
      </c>
      <c r="AK18">
        <f>IFERROR(INDEX(ADJ!$A$1:$BZ$1000,MATCH(PAYROLL!D18,ADJ!A$1:A$500,0),MATCH(PAYROLL!AK$2,ADJ!$2:$2,0)),0)</f>
        <v/>
      </c>
      <c r="AL18">
        <f>SUM(AJ18:AK18)</f>
        <v/>
      </c>
      <c r="AM18">
        <f>IF(AH18&gt;13,V18,ROUND(V18/AD18*AH18,0))</f>
        <v/>
      </c>
      <c r="AN18">
        <f>IF(AD18=0,0,ROUND(W18/AD18*AI18,0))</f>
        <v/>
      </c>
      <c r="AO18">
        <f>ROUND(X18*AH18,0)</f>
        <v/>
      </c>
      <c r="AP18">
        <f>IF(AD18=0,0,ROUND(Y18/AD18*AH18,0))</f>
        <v/>
      </c>
      <c r="AQ18">
        <f>IFERROR(IF((AE18+AF18+AG18)&gt;13,Z18,ROUND(Z18/AD18*AH18,0)),0)</f>
        <v/>
      </c>
      <c r="AR18">
        <f>IF(AD18=0,0,ROUND(AA47/AD18*AH18,0))</f>
        <v/>
      </c>
      <c r="AS18">
        <f>IFERROR(IF((AE18+AF18+AG18)&gt;13,AB18,ROUND(AB18/AD18*AH18,0)),0)</f>
        <v/>
      </c>
      <c r="AT18">
        <f>IFERROR(INDEX(ADJ!$A$1:$BZ$1000,MATCH(PAYROLL!D18,ADJ!A$1:A$500,0),MATCH(PAYROLL!AT$2,ADJ!$2:$2,0)),0)</f>
        <v/>
      </c>
      <c r="AU18">
        <f>ROUND(SUM(AM18:AT18),0)</f>
        <v/>
      </c>
      <c r="AV18">
        <f>IFERROR(INDEX(TIMESHEET!$A$1:$AI$5000,MATCH(PAYROLL!D18,TIMESHEET!A$1:A$500,0),MATCH("T620",TIMESHEET!$2:$2,0)),0)</f>
        <v/>
      </c>
      <c r="AW18">
        <f>IFERROR(INDEX(TIMESHEET!$A$1:$AI$5000,MATCH(PAYROLL!D18,TIMESHEET!A$1:A$500,0),MATCH("T601",TIMESHEET!$2:$2,0)),0)</f>
        <v/>
      </c>
      <c r="AX18">
        <f>IFERROR(INDEX(TIMESHEET!$A$1:$AI$5000,MATCH(PAYROLL!D18,TIMESHEET!A$1:A$500,0),MATCH("T602",TIMESHEET!$2:$2,0)),0)</f>
        <v/>
      </c>
      <c r="AY18">
        <f>IFERROR(INDEX(TIMESHEET!$A$1:$AI$5000,MATCH(PAYROLL!D18,TIMESHEET!A$1:A$500,0),MATCH("T603",TIMESHEET!$2:$2,0)),0)</f>
        <v/>
      </c>
      <c r="AZ18">
        <f>IFERROR(INDEX(TIMESHEET!$A$1:$AI$5000,MATCH(PAYROLL!D18,TIMESHEET!A$1:A$500,0),MATCH("T611",TIMESHEET!$2:$2,0)),0)</f>
        <v/>
      </c>
      <c r="BA18">
        <f>IFERROR(INDEX(TIMESHEET!$A$1:$AI$5000,MATCH(PAYROLL!D18,TIMESHEET!A$1:A$500,0),MATCH("T612",TIMESHEET!$2:$2,0)),0)</f>
        <v/>
      </c>
      <c r="BB18">
        <f>IFERROR(INDEX(TIMESHEET!$A$1:$AI$5000,MATCH(PAYROLL!D18,TIMESHEET!A$1:A$500,0),MATCH("T613",TIMESHEET!$2:$2,0)),0)</f>
        <v/>
      </c>
      <c r="BC18">
        <f>IFERROR(INDEX(TIMESHEET!$A$1:$AI$5000,MATCH(PAYROLL!D18,TIMESHEET!A$1:A$500,0),MATCH("T500",TIMESHEET!$2:$2,0)),0)</f>
        <v/>
      </c>
      <c r="BD18">
        <f>IFERROR((T18+V18)/AD18/8*(AV18+AW18*1.5+AX18*2+AY18*3+AZ18*2.1+BA18*2.7+BB18*3.9+BC18*0.3),0)</f>
        <v/>
      </c>
      <c r="BE18">
        <f>IFERROR(INDEX(ADJ!$A$1:$BZ$1000,MATCH(PAYROLL!$D18,ADJ!A$1:A$500,0),MATCH(PAYROLL!BE$2,ADJ!$2:$2,0)),0)</f>
        <v/>
      </c>
      <c r="BF18">
        <f>IFERROR(INDEX(ADJ!$A$1:$BZ$1000,MATCH(PAYROLL!D18,ADJ!A$1:A$500,0),MATCH(PAYROLL!BF$2,ADJ!$2:$2,0)),0)</f>
        <v/>
      </c>
      <c r="BG18">
        <f>IFERROR(INDEX(ADJ!$A$1:$BZ$1000,MATCH(PAYROLL!D18,ADJ!A$1:A$500,0),MATCH(PAYROLL!BG$2,ADJ!$2:$2,0)),0)</f>
        <v/>
      </c>
      <c r="BH18">
        <f>IFERROR(INDEX(ADJ!$A$1:$BZ$1000,MATCH(PAYROLL!D18,ADJ!A$1:A$500,0),MATCH(PAYROLL!BH$2,ADJ!$2:$2,0)),0)</f>
        <v/>
      </c>
      <c r="BI18">
        <f>IFERROR(INDEX(ADJ!$A$1:$BZ$1000,MATCH(PAYROLL!D18,ADJ!A$1:A$500,0),MATCH(PAYROLL!BI$2,ADJ!$2:$2,0)),0)</f>
        <v/>
      </c>
      <c r="BJ18">
        <f>SUM(BE18:BI18)</f>
        <v/>
      </c>
      <c r="BK18">
        <f>IFERROR(IF(INDEX(PIS!N$1:N$500,MATCH(D18,PIS!C$1:C$500))="LC12",(T18*21.5%)/AD18*AH18,0),0)</f>
        <v/>
      </c>
      <c r="BL18">
        <f>IFERROR(INDEX(ADJ!$A$1:$BZ$1000,MATCH(PAYROLL!D18,ADJ!A$1:A$500,0),MATCH(PAYROLL!BL$2,ADJ!$2:$2,0)),0)</f>
        <v/>
      </c>
      <c r="BM18">
        <f>IFERROR(INDEX(ADJ!$A$1:$BZ$1000,MATCH(PAYROLL!D18,ADJ!A$1:A$500,0),MATCH(PAYROLL!BM$2,ADJ!$2:$2,0)),0)</f>
        <v/>
      </c>
      <c r="BN18">
        <f>IFERROR(INDEX(ADJ!$A$1:$BZ$1000,MATCH(PAYROLL!D18,ADJ!A$1:A$500,0),MATCH(PAYROLL!BN$2,ADJ!$2:$2,0)),0)</f>
        <v/>
      </c>
      <c r="BO18">
        <f>SUM(AL18,AU18,BD18,BJ18,BK18:BN18)</f>
        <v/>
      </c>
      <c r="BP18">
        <f>BN18+AP18</f>
        <v/>
      </c>
      <c r="BQ18">
        <f>IFERROR(ROUND(IF(LEFT(INDEX(PIS!O$1:O$500,MATCH(D18,PIS!C$1:C$500)),1)="D",T18/8*(BC18*0.3),IF(LEFT(INDEX(PIS!O$1:O$500,MATCH(D18,PIS!C$1:C$500)),1)="H",T18*($BC18*0.3),T18/$AD18/8*($BC18*0.3))),0),0)</f>
        <v/>
      </c>
      <c r="BR18">
        <f>IF(AO18&lt;1,0,MIN(AO18,730000))</f>
        <v/>
      </c>
      <c r="BS18">
        <f>IFERROR(ROUND((BD18-SUM(AV18:BB18)*T18/AD18/8),0)-BQ18,0)</f>
        <v/>
      </c>
      <c r="BT18">
        <f>AN18</f>
        <v/>
      </c>
      <c r="BU18">
        <f>SUM(BP18:BT18)</f>
        <v/>
      </c>
      <c r="BV18">
        <f>BO18-BU18</f>
        <v/>
      </c>
      <c r="BW18">
        <f>IFERROR(IF(RIGHT(INDEX(PIS!O$1:O$500,MATCH(D18,PIS!C$1:C$500)),5)="Gross",MIN(U18+V18,VLOOKUP("R700",TSC!B:C,2,0)*VLOOKUP("R101",TSC!B:C,2,0))*VLOOKUP("R701",TSC!B:C,2,0)%,0),0)</f>
        <v/>
      </c>
      <c r="BX18">
        <f>IFERROR(IF(RIGHT(INDEX(PIS!O$1:O$500,MATCH(D18,PIS!C$1:C$500)),5)="Gross",MIN(U18+V18,VLOOKUP("R700",TSC!B:C,2,0)*VLOOKUP("R101",TSC!B:C,2,0))*VLOOKUP("T704",TSC!B:C,2,0)%,0),0)</f>
        <v/>
      </c>
      <c r="BY18">
        <f>IFERROR(IF(RIGHT(INDEX(PIS!O$1:O$500,MATCH(D18,PIS!C$1:C$500)),5)="Gross",MIN(U18+V18,VLOOKUP("R700",TSC!B:C,2,0)*VLOOKUP("1",TSC!F:G,2,0))*VLOOKUP("T705",TSC!B:C,2,0)%,0),0)</f>
        <v/>
      </c>
      <c r="BZ18">
        <f>IFERROR(INDEX(ADJ!$A$1:$BZ$1000,MATCH(PAYROLL!D18,ADJ!A$1:A$500,0),MATCH(PAYROLL!BZ$2,ADJ!$2:$2,0)),0)</f>
        <v/>
      </c>
      <c r="CA18">
        <f>IFERROR(INDEX(ADJ!$A$1:$BZ$1000,MATCH(PAYROLL!D18,ADJ!A$1:A$500,0),MATCH(PAYROLL!CA$2,ADJ!$2:$2,0)),0)</f>
        <v/>
      </c>
      <c r="CB18">
        <f>SUM(BW18:CA18)</f>
        <v/>
      </c>
      <c r="CC18">
        <f>IFERROR(INDEX(PIS!$A$1:$BZ$1000,MATCH(PAYROLL!D18,PIS!C$1:C$500,0),MATCH(PAYROLL!CC$1,PIS!$1:$1,0)),0)</f>
        <v/>
      </c>
      <c r="CD18">
        <f>IFERROR(IF(OR(INDEX(PIS!P$1:P$500,MATCH(D18,PIS!C$1:C$500,0))="LT2",INDEX(PIS!P$1:P$500,MATCH(D18,PIS!C$1:C$500,0))="P10"),0,SUM(CB18,CC18*VLOOKUP("R601",TSC!B:C,2,0),VLOOKUP("R602",TSC!B:C,2,0))),0)</f>
        <v/>
      </c>
      <c r="CE18">
        <f>MAX(BV18-CD18,0)</f>
        <v/>
      </c>
      <c r="CF18">
        <f>IFERROR(IF(OR(RIGHT(INDEX(PIS!P$1:P$500,MATCH(D18,PIS!C$1:C$500)),5)="P10",RIGHT(INDEX(PIS!P$1:P$500,MATCH(D18,PIS!C$1:C$500)),5)="CK"),0,IF(CE18&lt;=5000000,CE18*5%,IF(CE18&lt;=10000000,CE18*10%-250000,IF(CE18&lt;=18000000,CE18*15%-750000,IF(CE18&lt;=32000000,CE18*20%-1650000,IF(CE18&lt;=52000000,CE18*25%-3250000,IF(CE18&lt;=80000000,BG18*30%-5850000,CE18*35%-9850000))))))),0)</f>
        <v/>
      </c>
      <c r="CG18">
        <f>IFERROR(IF(OR(INDEX(PIS!P$1:P$500,MATCH(D18,PIS!C$1:C$500))="LT",INDEX(PIS!P$1:P$500,MATCH(D18,PIS!C$1:C$500))="CK"),0,IF(CE18&lt;2000000,0,CE18*10%)),0)</f>
        <v/>
      </c>
      <c r="CH18">
        <f>IFERROR(INDEX(ADJ!$A$1:$BZ$1000,MATCH(PAYROLL!D18,ADJ!A$1:A$500,0),MATCH(PAYROLL!CH$2,ADJ!$2:$2,0)),0)</f>
        <v/>
      </c>
      <c r="CI18">
        <f>IFERROR(INDEX(ADJ!$A$1:$BZ$1000,MATCH(PAYROLL!D18,ADJ!A$1:A$500,0),MATCH(PAYROLL!CI$2,ADJ!$2:$2,0)),0)</f>
        <v/>
      </c>
      <c r="CJ18">
        <f>IFERROR(INDEX(ADJ!$A$1:$BZ$1000,MATCH(PAYROLL!D18,ADJ!A$1:A$500,0),MATCH(PAYROLL!CJ$2,ADJ!$2:$2,0)),0)</f>
        <v/>
      </c>
      <c r="CK18">
        <f>SUM(CF18:CJ18)</f>
        <v/>
      </c>
      <c r="CL18">
        <f>ROUND(SUM(CG18:CJ18),0)</f>
        <v/>
      </c>
      <c r="CM18">
        <f>IFERROR(INDEX(CSDA!D$1:D$500,MATCH($CM$2,CSDA!C$1:C$500,0))*INDEX(PIS!V$1:V$500,MATCH(D18,PIS!C$1:C$500))+INDEX(ADJ!$A$1:$BZ$1000,MATCH(PAYROLL!D18,ADJ!A$1:A$500,0),MATCH(PAYROLL!CM$2,ADJ!$2:$2,0)),0)</f>
        <v/>
      </c>
      <c r="CN18">
        <f>IFERROR(INDEX(ADJ!$A$1:$BZ$1000,MATCH(PAYROLL!D18,ADJ!A$1:A$500,0),MATCH(PAYROLL!CN$2,ADJ!$2:$2,0)),0)</f>
        <v/>
      </c>
      <c r="CO18">
        <f>IFERROR(INDEX(ADJ!$A$1:$BZ$1000,MATCH(PAYROLL!D18,ADJ!A$1:A$500,0),MATCH(PAYROLL!CO$2,ADJ!$2:$2,0)),0)</f>
        <v/>
      </c>
      <c r="CP18">
        <f>BO18-CK18-CH18-CL18-CM18-CN18-CO18-CB18</f>
        <v/>
      </c>
      <c r="CQ18">
        <f>IFERROR(IF(RIGHT(INDEX(PIS!O$1:O$500,MATCH(D18,PIS!C$1:C$500,0)),5)="Gross",MIN(U18+V18,VLOOKUP("R700",TSC!B:C,2,0)*VLOOKUP("R101",TSC!B:C,2,0))*(VLOOKUP("T711",TSC!B:C,2,0)+VLOOKUP("T712",TSC!B:C,2,0))%,MIN(T18+V18,VLOOKUP("R700",TSC!B:C,2,0)*VLOOKUP("R101",TSC!B:C,2,0))*(VLOOKUP("T711",TSC!B:C,2,0)+VLOOKUP("T712",TSC!B:C,2,0)+VLOOKUP("R701",TSC!B:C,2,0))%),0)</f>
        <v/>
      </c>
      <c r="CR18">
        <f>IFERROR(IF(RIGHT(INDEX(PIS!O$1:O$500,MATCH(D18,PIS!C$1:C$500,0)),5)="Gross",MIN(U18+V18,VLOOKUP("R700",TSC!B:C,2,0)*VLOOKUP("R101",TSC!B:C,2,0))*(VLOOKUP("T714",TSC!B:C,2,0))%,MIN(T18+V18,VLOOKUP("R700",TSC!B:C,2,0)*VLOOKUP("R101",TSC!B:C,2,0))*(VLOOKUP("T704",TSC!B:C,2,0)+VLOOKUP("T714",TSC!B:C,2,0))%),0)</f>
        <v/>
      </c>
      <c r="CS18">
        <f>IFERROR(IF(RIGHT(INDEX(PIS!O$1:O$500,MATCH(D18,PIS!C$1:C$500,0)),5)="Gross",MIN(U18+V18,VLOOKUP("R700",TSC!B:C,2,0)*VLOOKUP("R101",TSC!B:C,2,0))*VLOOKUP("T705",TSC!B:C,2,0)%,MIN(T18+V18,VLOOKUP("R700",TSC!B:C,2,0)*VLOOKUP("R101",TSC!B:C,2,0))*VLOOKUP("T705",TSC!B:C,2,0)%),0)</f>
        <v/>
      </c>
      <c r="CT18">
        <f>IFERROR(IF(RIGHT(INDEX(PIS!O$1:O$500,MATCH(D18,PIS!C$1:C$500,0)),5)="Gross",MIN(U18+V18,VLOOKUP("R700",TSC!B:C,2,0)*VLOOKUP("R101",TSC!B:C,2,0))*(VLOOKUP("T713",TSC!B:C,2,0))%,MIN(T18+V18,VLOOKUP("R700",TSC!B:C,2,0)*VLOOKUP("R101",TSC!B:C,2,0))*(VLOOKUP("T713",TSC!B:C,2,0))%),0)</f>
        <v/>
      </c>
      <c r="CU18">
        <f>IFERROR(INDEX(ADJ!$A$1:$BZ$1000,MATCH(PAYROLL!D18,ADJ!A$1:A$500,0),MATCH(PAYROLL!CU$2,ADJ!$2:$2,0)),0)</f>
        <v/>
      </c>
      <c r="CV18">
        <f>IFERROR(INDEX(ADJ!$A$1:$BZ$1000,MATCH(PAYROLL!D18,ADJ!A$1:A$500,0),MATCH(PAYROLL!CV$2,ADJ!$2:$2,0)),0)</f>
        <v/>
      </c>
      <c r="CW18">
        <f>SUM(CQ18:CV18)</f>
        <v/>
      </c>
      <c r="CX18">
        <f>ROUND(IF(CQ18&gt;0,T18+V18*VLOOKUP("R202",TSC!$B$1:$C$500,2,0),0),0)</f>
        <v/>
      </c>
      <c r="CY18">
        <f>IFERROR(INDEX(CSDA!D$1:D$500,MATCH($CY$2,CSDA!C$1:C$500,0)),0)</f>
        <v/>
      </c>
      <c r="CZ18">
        <f>ROUND(T18*0.7%,0)</f>
        <v/>
      </c>
      <c r="DA18">
        <f>ROUND(T18/12,0)</f>
        <v/>
      </c>
      <c r="DB18">
        <f ref="DB18" t="array">IFERROR(INDEX(CSDA!D$1:D$500,MATCH("Trích giữ"&amp;PAYROLL!DB$2,CSDA!A$1:A$500&amp;CSDA!C$1:C$500,0)),0)</f>
        <v/>
      </c>
      <c r="DC18">
        <f ref="DC18" t="array">IFERROR(INDEX(CSDA!D$1:D$500,MATCH("Trích giữ"&amp;PAYROLL!DC$2,CSDA!A$1:A$500&amp;CSDA!C$1:C$500,0)),0)</f>
        <v/>
      </c>
      <c r="DD18">
        <f ref="DD18" t="array">IFERROR(INDEX(CSDA!D$1:D$500,MATCH("Trích giữ"&amp;PAYROLL!DD$2,CSDA!A$1:A$500&amp;CSDA!C$1:C$500,0)),0)</f>
        <v/>
      </c>
      <c r="DE18">
        <f>IFERROR(INDEX(CSDA!D$1:D$500,MATCH(PAYROLL!DE$2,CSDA!C$1:C$500,0)),0)</f>
        <v/>
      </c>
      <c r="DF18">
        <f ref="DF18" t="array">IFERROR(INDEX(CSDA!D$1:D$500,MATCH("Trích giữ"&amp;PAYROLL!DF$2,CSDA!A$1:A$500&amp;CSDA!C$1:C$500,0)),0)</f>
        <v/>
      </c>
      <c r="DG18">
        <f>ROUND(T18/26,0)</f>
        <v/>
      </c>
      <c r="DH18">
        <f ref="DH18" t="array">IFERROR(INDEX(CSDA!D$1:D$500,MATCH("Trích giữ"&amp;PAYROLL!DH$2,CSDA!A$1:A$500&amp;CSDA!C$1:C$500,0)),0)</f>
        <v/>
      </c>
      <c r="DI18">
        <f>IF(U18=0,T18*21.5%-BK18,0)</f>
        <v/>
      </c>
      <c r="DK18">
        <f ref="DK18" t="array">IFERROR(INDEX(CSDA!D$1:D$500,MATCH("Trích giữ"&amp;PAYROLL!DK$2,CSDA!A$1:A$500&amp;CSDA!C$1:C$500,0)),0)</f>
        <v/>
      </c>
      <c r="DL18">
        <f>IFERROR(INDEX(CSDA!D$1:D$500,MATCH(PAYROLL!DL$2,CSDA!C$1:C$500,0))/12,0)</f>
        <v/>
      </c>
      <c r="DM18">
        <f>SUM(DA18:DL18)</f>
        <v/>
      </c>
      <c r="DN18">
        <f>IFERROR(INDEX(ADJ!$A$1:$BZ$1000,MATCH(PAYROLL!D18,ADJ!A$1:A$500,0),MATCH(PAYROLL!DN$2,ADJ!$2:$2,0)),0)</f>
        <v/>
      </c>
      <c r="DO18">
        <f>IFERROR(SUM(BO18,DM18:DN18,CW18:CZ18)-DT18,0)</f>
        <v/>
      </c>
      <c r="DP18">
        <f ref="DP18" t="array">SUM(BV18*IFERROR(INDEX(CSDA!D$1:D$500,MATCH(BV$2,CSDA!C$1:C$500,0)),0)%,CW18*IFERROR(INDEX(CSDA!D$1:D$500,MATCH(CW$2,CSDA!C$1:C$500,0)),0)%,CZ18*IFERROR(INDEX(CSDA!D$1:D$500,MATCH(CZ$2,CSDA!C$1:C$500,0)),0)%,DA18*IFERROR(INDEX(CSDA!D$1:D$500,MATCH(DA$2,CSDA!C$1:C$500,0)),0)%,DE18*IFERROR(INDEX(CSDA!D$1:D$500,MATCH("Phí dịch vụ"&amp;PAYROLL!DE$2,CSDA!A$1:A$500&amp;CSDA!C$1:C$500,0)),0)%,DB18*IFERROR(INDEX(CSDA!D$1:D$500,MATCH("Phí dịch vụ"&amp;PAYROLL!DB$2,CSDA!A$1:A$500&amp;CSDA!C$1:C$500,0)),0)%,DG18*IFERROR(INDEX(CSDA!D$1:D$500,MATCH("Phí dịch vụ"&amp;PAYROLL!DG$2,CSDA!A$1:A$500&amp;CSDA!C$1:C$500,0)),0)%,DI18*IFERROR(INDEX(CSDA!D$1:D$500,MATCH("Phí dịch vụ"&amp;PAYROLL!DI$2,CSDA!A$1:A$500&amp;CSDA!C$1:C$500,0)),0)%,BM18*IFERROR(INDEX(CSDA!D$1:D$500,MATCH(BM$2,CSDA!C$1:C$500,0)),0)%)-BM18*7%</f>
        <v/>
      </c>
      <c r="DQ18">
        <f>IFERROR(INDEX(ADJ!$A$1:$BZ$1000,MATCH(PAYROLL!D18,ADJ!A$1:A$500,0),MATCH(PAYROLL!DQ$2,ADJ!$2:$2,0)),0)</f>
        <v/>
      </c>
      <c r="DR18">
        <f>IFERROR(INDEX(ADJ!$A$1:$BZ$1000,MATCH(PAYROLL!D18,ADJ!A$1:A$500,0),MATCH(PAYROLL!DR$2,ADJ!$2:$2,0)),0)</f>
        <v/>
      </c>
      <c r="DS18">
        <f>SUM(DP18:DR18)</f>
        <v/>
      </c>
      <c r="DT18">
        <f>EK18</f>
        <v/>
      </c>
      <c r="DU18">
        <f>SUM(DO18:DR18)</f>
        <v/>
      </c>
      <c r="DV18">
        <f>ROUND(DU18*0.1,0)</f>
        <v/>
      </c>
      <c r="DW18">
        <f>DU18+DV18</f>
        <v/>
      </c>
      <c r="DZ18">
        <f>IFERROR(INDEX(ADJ!$A$1:$BZ$1000,MATCH(PAYROLL!$D18,ADJ!A$1:A$500,0),MATCH(PAYROLL!DZ$2,ADJ!$2:$2,0)),0)</f>
        <v/>
      </c>
      <c r="EA18">
        <f>IFERROR(INDEX(ADJ!$A$1:$BZ$1000,MATCH(PAYROLL!$D18,ADJ!A$1:A$500,0),MATCH(PAYROLL!EA$2,ADJ!$2:$2,0)),0)</f>
        <v/>
      </c>
      <c r="EB18">
        <f>IFERROR(INDEX(ADJ!$A$1:$BZ$1000,MATCH(PAYROLL!$D18,ADJ!A$1:A$500,0),MATCH(PAYROLL!EB$2,ADJ!$2:$2,0)),0)</f>
        <v/>
      </c>
      <c r="EC18">
        <f>IFERROR(INDEX(ADJ!$A$1:$BZ$1000,MATCH(PAYROLL!$D18,ADJ!A$1:A$500,0),MATCH(PAYROLL!EC$2,ADJ!$2:$2,0)),0)</f>
        <v/>
      </c>
      <c r="ED18">
        <f>IFERROR(INDEX(ADJ!$A$1:$BZ$1000,MATCH(PAYROLL!$D18,ADJ!A$1:A$500,0),MATCH(PAYROLL!ED$2,ADJ!$2:$2,0)),0)</f>
        <v/>
      </c>
      <c r="EE18">
        <f>IFERROR(INDEX(ADJ!$A$1:$BZ$1000,MATCH(PAYROLL!$D18,ADJ!A$1:A$500,0),MATCH(PAYROLL!EE$2,ADJ!$2:$2,0)),0)</f>
        <v/>
      </c>
      <c r="EF18">
        <f>IFERROR(INDEX(ADJ!$A$1:$BZ$1000,MATCH(PAYROLL!$D18,ADJ!A$1:A$500,0),MATCH(PAYROLL!EF$2,ADJ!$2:$2,0)),0)</f>
        <v/>
      </c>
      <c r="EG18">
        <f>IFERROR(INDEX(ADJ!$A$1:$BZ$1000,MATCH(PAYROLL!$D18,ADJ!A$1:A$500,0),MATCH(PAYROLL!EG$2,ADJ!$2:$2,0)),0)</f>
        <v/>
      </c>
      <c r="EH18">
        <f>IFERROR(INDEX(ADJ!$A$1:$BZ$1000,MATCH(PAYROLL!$D18,ADJ!A$1:A$500,0),MATCH(PAYROLL!EH$2,ADJ!$2:$2,0)),0)</f>
        <v/>
      </c>
      <c r="EI18">
        <f>IFERROR(INDEX(ADJ!$A$1:$BZ$1000,MATCH(PAYROLL!D18,ADJ!A$1:A$500,0),MATCH(PAYROLL!EI$2,ADJ!$2:$2,0)),0)</f>
        <v/>
      </c>
      <c r="EJ18">
        <f>IFERROR(INDEX(ADJ!$A$1:$BZ$1000,MATCH(PAYROLL!$D18,ADJ!A$1:A$500,0),MATCH(PAYROLL!EJ$2,ADJ!$2:$2,0)),0)</f>
        <v/>
      </c>
      <c r="EK18">
        <f>SUM(DZ18:EJ18)</f>
        <v/>
      </c>
    </row>
    <row r="19">
      <c r="A19" t="n">
        <v>17</v>
      </c>
      <c r="B19" t="inlineStr">
        <is>
          <t>Phạm Văn Sơn</t>
        </is>
      </c>
      <c r="D19" t="inlineStr">
        <is>
          <t>158684-01</t>
        </is>
      </c>
      <c r="S19">
        <f>IFERROR(INDEX(PIS!$A$1:$BZ$1000,MATCH($D19,PIS!C$1:C$500,0),MATCH("Lương CB tháng trước",PIS!$1:$1,0)),0)</f>
        <v/>
      </c>
      <c r="T19">
        <f>IFERROR(INDEX(PIS!$A$1:$BZ$1000,MATCH($D19,PIS!C$1:C$500,0),MATCH("Lương CB hiện tại",PIS!$1:$1,0)),0)</f>
        <v/>
      </c>
      <c r="U19">
        <f>IFERROR(INDEX(PIS!$A$1:$BZ$1000,MATCH($D19,PIS!C$1:C$500,0),MATCH("Lương đóng BHBB",PIS!$1:$1,0)),0)</f>
        <v/>
      </c>
      <c r="V19">
        <f>IFERROR(INDEX(PIS!$A$1:$BZ$1000,MATCH($D19,PIS!C$1:C$500,0),MATCH(V$2,PIS!$2:$2,0)),0)</f>
        <v/>
      </c>
      <c r="W19">
        <f>IFERROR(INDEX(PIS!$A$1:$BZ$1000,MATCH($D19,PIS!C$1:C$500,0),MATCH(W$2,PIS!$2:$2,0)),0)</f>
        <v/>
      </c>
      <c r="X19">
        <f>IFERROR(INDEX(PIS!$A$1:$BZ$1000,MATCH($D19,PIS!C$1:C$500,0),MATCH(X$2,PIS!$2:$2,0)),0)</f>
        <v/>
      </c>
      <c r="Y19">
        <f>IFERROR(INDEX(PIS!$A$1:$BZ$1000,MATCH($D19,PIS!C$1:C$500,0),MATCH(Y$2,PIS!$2:$2,0)),0)</f>
        <v/>
      </c>
      <c r="Z19">
        <f>IFERROR(INDEX(PIS!$A$1:$BZ$1000,MATCH($D19,PIS!C$1:C$500,0),MATCH(Z$2,PIS!$2:$2,0)),0)</f>
        <v/>
      </c>
      <c r="AA19">
        <f>IFERROR(INDEX(PIS!$A$1:$BZ$1000,MATCH($D19,PIS!C$1:C$500,0),MATCH(AA$2,PIS!$2:$2,0)),0)</f>
        <v/>
      </c>
      <c r="AB19">
        <f>IFERROR(INDEX(PIS!$A$1:$BZ$1000,MATCH($D19,PIS!C$1:C$500,0),MATCH(AB$2,PIS!$2:$2,0)),0)</f>
        <v/>
      </c>
      <c r="AC19">
        <f>SUM(V19:AB19)</f>
        <v/>
      </c>
      <c r="AD19">
        <f>IFERROR(INDEX(TIMESHEET!$A$1:$AI$5000,MATCH($D19,TIMESHEET!A$1:A$500,0),MATCH("T100",TIMESHEET!$2:$2,0)),0)</f>
        <v/>
      </c>
      <c r="AE19">
        <f>IFERROR(INDEX(TIMESHEET!$A$1:$AI$5000,MATCH($D19,TIMESHEET!A$1:A$500,0),MATCH("T202",TIMESHEET!$2:$2,0)),0)</f>
        <v/>
      </c>
      <c r="AF19">
        <f>IFERROR(INDEX(TIMESHEET!$A$1:$AI$5000,MATCH($D19,TIMESHEET!A$1:A$500,0),MATCH("T302",TIMESHEET!$2:$2,0)),0)</f>
        <v/>
      </c>
      <c r="AG19">
        <f>IFERROR(INDEX(TIMESHEET!$A$1:$AI$5000,MATCH($D19,TIMESHEET!A$1:A$500,0),MATCH("T406",TIMESHEET!$2:$2,0)),0)</f>
        <v/>
      </c>
      <c r="AH19">
        <f>IF(SUM(AE19:AG19)&gt;=26,26,SUM(AE19:AG19))</f>
        <v/>
      </c>
      <c r="AI19">
        <f>IFERROR(INDEX(TIMESHEET!$A$1:$AI$5000,MATCH($D19,TIMESHEET!A$1:A$500,0),MATCH("T701",TIMESHEET!$2:$2,0)),0)</f>
        <v/>
      </c>
      <c r="AJ19">
        <f>IFERROR(IF(INDEX(PIS!N$1:N$500,MATCH(D19,PIS!C$1:C$500,0))="LC4",(T19*0.85)/AD19*AH19,ROUND(T19/AD19*AH19,0)),0)</f>
        <v/>
      </c>
      <c r="AK19">
        <f>IFERROR(INDEX(ADJ!$A$1:$BZ$1000,MATCH(PAYROLL!D19,ADJ!A$1:A$500,0),MATCH(PAYROLL!AK$2,ADJ!$2:$2,0)),0)</f>
        <v/>
      </c>
      <c r="AL19">
        <f>SUM(AJ19:AK19)</f>
        <v/>
      </c>
      <c r="AM19">
        <f>IF(AH19&gt;13,V19,ROUND(V19/AD19*AH19,0))</f>
        <v/>
      </c>
      <c r="AN19">
        <f>IF(AD19=0,0,ROUND(W19/AD19*AI19,0))</f>
        <v/>
      </c>
      <c r="AO19">
        <f>ROUND(X19*AH19,0)</f>
        <v/>
      </c>
      <c r="AP19">
        <f>IF(AD19=0,0,ROUND(Y19/AD19*AH19,0))</f>
        <v/>
      </c>
      <c r="AQ19">
        <f>IFERROR(IF((AE19+AF19+AG19)&gt;13,Z19,ROUND(Z19/AD19*AH19,0)),0)</f>
        <v/>
      </c>
      <c r="AR19">
        <f>IF(AD19=0,0,ROUND(AA48/AD19*AH19,0))</f>
        <v/>
      </c>
      <c r="AS19">
        <f>IFERROR(IF((AE19+AF19+AG19)&gt;13,AB19,ROUND(AB19/AD19*AH19,0)),0)</f>
        <v/>
      </c>
      <c r="AT19">
        <f>IFERROR(INDEX(ADJ!$A$1:$BZ$1000,MATCH(PAYROLL!D19,ADJ!A$1:A$500,0),MATCH(PAYROLL!AT$2,ADJ!$2:$2,0)),0)</f>
        <v/>
      </c>
      <c r="AU19">
        <f>ROUND(SUM(AM19:AT19),0)</f>
        <v/>
      </c>
      <c r="AV19">
        <f>IFERROR(INDEX(TIMESHEET!$A$1:$AI$5000,MATCH(PAYROLL!D19,TIMESHEET!A$1:A$500,0),MATCH("T620",TIMESHEET!$2:$2,0)),0)</f>
        <v/>
      </c>
      <c r="AW19">
        <f>IFERROR(INDEX(TIMESHEET!$A$1:$AI$5000,MATCH(PAYROLL!D19,TIMESHEET!A$1:A$500,0),MATCH("T601",TIMESHEET!$2:$2,0)),0)</f>
        <v/>
      </c>
      <c r="AX19">
        <f>IFERROR(INDEX(TIMESHEET!$A$1:$AI$5000,MATCH(PAYROLL!D19,TIMESHEET!A$1:A$500,0),MATCH("T602",TIMESHEET!$2:$2,0)),0)</f>
        <v/>
      </c>
      <c r="AY19">
        <f>IFERROR(INDEX(TIMESHEET!$A$1:$AI$5000,MATCH(PAYROLL!D19,TIMESHEET!A$1:A$500,0),MATCH("T603",TIMESHEET!$2:$2,0)),0)</f>
        <v/>
      </c>
      <c r="AZ19">
        <f>IFERROR(INDEX(TIMESHEET!$A$1:$AI$5000,MATCH(PAYROLL!D19,TIMESHEET!A$1:A$500,0),MATCH("T611",TIMESHEET!$2:$2,0)),0)</f>
        <v/>
      </c>
      <c r="BA19">
        <f>IFERROR(INDEX(TIMESHEET!$A$1:$AI$5000,MATCH(PAYROLL!D19,TIMESHEET!A$1:A$500,0),MATCH("T612",TIMESHEET!$2:$2,0)),0)</f>
        <v/>
      </c>
      <c r="BB19">
        <f>IFERROR(INDEX(TIMESHEET!$A$1:$AI$5000,MATCH(PAYROLL!D19,TIMESHEET!A$1:A$500,0),MATCH("T613",TIMESHEET!$2:$2,0)),0)</f>
        <v/>
      </c>
      <c r="BC19">
        <f>IFERROR(INDEX(TIMESHEET!$A$1:$AI$5000,MATCH(PAYROLL!D19,TIMESHEET!A$1:A$500,0),MATCH("T500",TIMESHEET!$2:$2,0)),0)</f>
        <v/>
      </c>
      <c r="BD19">
        <f>IFERROR((T19+V19)/AD19/8*(AV19+AW19*1.5+AX19*2+AY19*3+AZ19*2.1+BA19*2.7+BB19*3.9+BC19*0.3),0)</f>
        <v/>
      </c>
      <c r="BE19">
        <f>IFERROR(INDEX(ADJ!$A$1:$BZ$1000,MATCH(PAYROLL!$D19,ADJ!A$1:A$500,0),MATCH(PAYROLL!BE$2,ADJ!$2:$2,0)),0)</f>
        <v/>
      </c>
      <c r="BF19">
        <f>IFERROR(INDEX(ADJ!$A$1:$BZ$1000,MATCH(PAYROLL!D19,ADJ!A$1:A$500,0),MATCH(PAYROLL!BF$2,ADJ!$2:$2,0)),0)</f>
        <v/>
      </c>
      <c r="BG19">
        <f>IFERROR(INDEX(ADJ!$A$1:$BZ$1000,MATCH(PAYROLL!D19,ADJ!A$1:A$500,0),MATCH(PAYROLL!BG$2,ADJ!$2:$2,0)),0)</f>
        <v/>
      </c>
      <c r="BH19">
        <f>IFERROR(INDEX(ADJ!$A$1:$BZ$1000,MATCH(PAYROLL!D19,ADJ!A$1:A$500,0),MATCH(PAYROLL!BH$2,ADJ!$2:$2,0)),0)</f>
        <v/>
      </c>
      <c r="BI19">
        <f>IFERROR(INDEX(ADJ!$A$1:$BZ$1000,MATCH(PAYROLL!D19,ADJ!A$1:A$500,0),MATCH(PAYROLL!BI$2,ADJ!$2:$2,0)),0)</f>
        <v/>
      </c>
      <c r="BJ19">
        <f>SUM(BE19:BI19)</f>
        <v/>
      </c>
      <c r="BK19">
        <f>IFERROR(IF(INDEX(PIS!N$1:N$500,MATCH(D19,PIS!C$1:C$500))="LC12",(T19*21.5%)/AD19*AH19,0),0)</f>
        <v/>
      </c>
      <c r="BL19">
        <f>IFERROR(INDEX(ADJ!$A$1:$BZ$1000,MATCH(PAYROLL!D19,ADJ!A$1:A$500,0),MATCH(PAYROLL!BL$2,ADJ!$2:$2,0)),0)</f>
        <v/>
      </c>
      <c r="BM19">
        <f>IFERROR(INDEX(ADJ!$A$1:$BZ$1000,MATCH(PAYROLL!D19,ADJ!A$1:A$500,0),MATCH(PAYROLL!BM$2,ADJ!$2:$2,0)),0)</f>
        <v/>
      </c>
      <c r="BN19">
        <f>IFERROR(INDEX(ADJ!$A$1:$BZ$1000,MATCH(PAYROLL!D19,ADJ!A$1:A$500,0),MATCH(PAYROLL!BN$2,ADJ!$2:$2,0)),0)</f>
        <v/>
      </c>
      <c r="BO19">
        <f>SUM(AL19,AU19,BD19,BJ19,BK19:BN19)</f>
        <v/>
      </c>
      <c r="BP19">
        <f>BN19+AP19</f>
        <v/>
      </c>
      <c r="BQ19">
        <f>IFERROR(ROUND(IF(LEFT(INDEX(PIS!O$1:O$500,MATCH(D19,PIS!C$1:C$500)),1)="D",T19/8*(BC19*0.3),IF(LEFT(INDEX(PIS!O$1:O$500,MATCH(D19,PIS!C$1:C$500)),1)="H",T19*($BC19*0.3),T19/$AD19/8*($BC19*0.3))),0),0)</f>
        <v/>
      </c>
      <c r="BR19">
        <f>IF(AO19&lt;1,0,MIN(AO19,730000))</f>
        <v/>
      </c>
      <c r="BS19">
        <f>IFERROR(ROUND((BD19-SUM(AV19:BB19)*T19/AD19/8),0)-BQ19,0)</f>
        <v/>
      </c>
      <c r="BT19">
        <f>AN19</f>
        <v/>
      </c>
      <c r="BU19">
        <f>SUM(BP19:BT19)</f>
        <v/>
      </c>
      <c r="BV19">
        <f>BO19-BU19</f>
        <v/>
      </c>
      <c r="BW19">
        <f>IFERROR(IF(RIGHT(INDEX(PIS!O$1:O$500,MATCH(D19,PIS!C$1:C$500)),5)="Gross",MIN(U19+V19,VLOOKUP("R700",TSC!B:C,2,0)*VLOOKUP("R101",TSC!B:C,2,0))*VLOOKUP("R701",TSC!B:C,2,0)%,0),0)</f>
        <v/>
      </c>
      <c r="BX19">
        <f>IFERROR(IF(RIGHT(INDEX(PIS!O$1:O$500,MATCH(D19,PIS!C$1:C$500)),5)="Gross",MIN(U19+V19,VLOOKUP("R700",TSC!B:C,2,0)*VLOOKUP("R101",TSC!B:C,2,0))*VLOOKUP("T704",TSC!B:C,2,0)%,0),0)</f>
        <v/>
      </c>
      <c r="BY19">
        <f>IFERROR(IF(RIGHT(INDEX(PIS!O$1:O$500,MATCH(D19,PIS!C$1:C$500)),5)="Gross",MIN(U19+V19,VLOOKUP("R700",TSC!B:C,2,0)*VLOOKUP("1",TSC!F:G,2,0))*VLOOKUP("T705",TSC!B:C,2,0)%,0),0)</f>
        <v/>
      </c>
      <c r="BZ19">
        <f>IFERROR(INDEX(ADJ!$A$1:$BZ$1000,MATCH(PAYROLL!D19,ADJ!A$1:A$500,0),MATCH(PAYROLL!BZ$2,ADJ!$2:$2,0)),0)</f>
        <v/>
      </c>
      <c r="CA19">
        <f>IFERROR(INDEX(ADJ!$A$1:$BZ$1000,MATCH(PAYROLL!D19,ADJ!A$1:A$500,0),MATCH(PAYROLL!CA$2,ADJ!$2:$2,0)),0)</f>
        <v/>
      </c>
      <c r="CB19">
        <f>SUM(BW19:CA19)</f>
        <v/>
      </c>
      <c r="CC19">
        <f>IFERROR(INDEX(PIS!$A$1:$BZ$1000,MATCH(PAYROLL!D19,PIS!C$1:C$500,0),MATCH(PAYROLL!CC$1,PIS!$1:$1,0)),0)</f>
        <v/>
      </c>
      <c r="CD19">
        <f>IFERROR(IF(OR(INDEX(PIS!P$1:P$500,MATCH(D19,PIS!C$1:C$500,0))="LT2",INDEX(PIS!P$1:P$500,MATCH(D19,PIS!C$1:C$500,0))="P10"),0,SUM(CB19,CC19*VLOOKUP("R601",TSC!B:C,2,0),VLOOKUP("R602",TSC!B:C,2,0))),0)</f>
        <v/>
      </c>
      <c r="CE19">
        <f>MAX(BV19-CD19,0)</f>
        <v/>
      </c>
      <c r="CF19">
        <f>IFERROR(IF(OR(RIGHT(INDEX(PIS!P$1:P$500,MATCH(D19,PIS!C$1:C$500)),5)="P10",RIGHT(INDEX(PIS!P$1:P$500,MATCH(D19,PIS!C$1:C$500)),5)="CK"),0,IF(CE19&lt;=5000000,CE19*5%,IF(CE19&lt;=10000000,CE19*10%-250000,IF(CE19&lt;=18000000,CE19*15%-750000,IF(CE19&lt;=32000000,CE19*20%-1650000,IF(CE19&lt;=52000000,CE19*25%-3250000,IF(CE19&lt;=80000000,BG19*30%-5850000,CE19*35%-9850000))))))),0)</f>
        <v/>
      </c>
      <c r="CG19">
        <f>IFERROR(IF(OR(INDEX(PIS!P$1:P$500,MATCH(D19,PIS!C$1:C$500))="LT",INDEX(PIS!P$1:P$500,MATCH(D19,PIS!C$1:C$500))="CK"),0,IF(CE19&lt;2000000,0,CE19*10%)),0)</f>
        <v/>
      </c>
      <c r="CH19">
        <f>IFERROR(INDEX(ADJ!$A$1:$BZ$1000,MATCH(PAYROLL!D19,ADJ!A$1:A$500,0),MATCH(PAYROLL!CH$2,ADJ!$2:$2,0)),0)</f>
        <v/>
      </c>
      <c r="CI19">
        <f>IFERROR(INDEX(ADJ!$A$1:$BZ$1000,MATCH(PAYROLL!D19,ADJ!A$1:A$500,0),MATCH(PAYROLL!CI$2,ADJ!$2:$2,0)),0)</f>
        <v/>
      </c>
      <c r="CJ19">
        <f>IFERROR(INDEX(ADJ!$A$1:$BZ$1000,MATCH(PAYROLL!D19,ADJ!A$1:A$500,0),MATCH(PAYROLL!CJ$2,ADJ!$2:$2,0)),0)</f>
        <v/>
      </c>
      <c r="CK19">
        <f>SUM(CF19:CJ19)</f>
        <v/>
      </c>
      <c r="CL19">
        <f>ROUND(SUM(CG19:CJ19),0)</f>
        <v/>
      </c>
      <c r="CM19">
        <f>IFERROR(INDEX(CSDA!D$1:D$500,MATCH($CM$2,CSDA!C$1:C$500,0))*INDEX(PIS!V$1:V$500,MATCH(D19,PIS!C$1:C$500))+INDEX(ADJ!$A$1:$BZ$1000,MATCH(PAYROLL!D19,ADJ!A$1:A$500,0),MATCH(PAYROLL!CM$2,ADJ!$2:$2,0)),0)</f>
        <v/>
      </c>
      <c r="CN19">
        <f>IFERROR(INDEX(ADJ!$A$1:$BZ$1000,MATCH(PAYROLL!D19,ADJ!A$1:A$500,0),MATCH(PAYROLL!CN$2,ADJ!$2:$2,0)),0)</f>
        <v/>
      </c>
      <c r="CO19">
        <f>IFERROR(INDEX(ADJ!$A$1:$BZ$1000,MATCH(PAYROLL!D19,ADJ!A$1:A$500,0),MATCH(PAYROLL!CO$2,ADJ!$2:$2,0)),0)</f>
        <v/>
      </c>
      <c r="CP19">
        <f>BO19-CK19-CH19-CL19-CM19-CN19-CO19-CB19</f>
        <v/>
      </c>
      <c r="CQ19">
        <f>IFERROR(IF(RIGHT(INDEX(PIS!O$1:O$500,MATCH(D19,PIS!C$1:C$500,0)),5)="Gross",MIN(U19+V19,VLOOKUP("R700",TSC!B:C,2,0)*VLOOKUP("R101",TSC!B:C,2,0))*(VLOOKUP("T711",TSC!B:C,2,0)+VLOOKUP("T712",TSC!B:C,2,0))%,MIN(T19+V19,VLOOKUP("R700",TSC!B:C,2,0)*VLOOKUP("R101",TSC!B:C,2,0))*(VLOOKUP("T711",TSC!B:C,2,0)+VLOOKUP("T712",TSC!B:C,2,0)+VLOOKUP("R701",TSC!B:C,2,0))%),0)</f>
        <v/>
      </c>
      <c r="CR19">
        <f>IFERROR(IF(RIGHT(INDEX(PIS!O$1:O$500,MATCH(D19,PIS!C$1:C$500,0)),5)="Gross",MIN(U19+V19,VLOOKUP("R700",TSC!B:C,2,0)*VLOOKUP("R101",TSC!B:C,2,0))*(VLOOKUP("T714",TSC!B:C,2,0))%,MIN(T19+V19,VLOOKUP("R700",TSC!B:C,2,0)*VLOOKUP("R101",TSC!B:C,2,0))*(VLOOKUP("T704",TSC!B:C,2,0)+VLOOKUP("T714",TSC!B:C,2,0))%),0)</f>
        <v/>
      </c>
      <c r="CS19">
        <f>IFERROR(IF(RIGHT(INDEX(PIS!O$1:O$500,MATCH(D19,PIS!C$1:C$500,0)),5)="Gross",MIN(U19+V19,VLOOKUP("R700",TSC!B:C,2,0)*VLOOKUP("R101",TSC!B:C,2,0))*VLOOKUP("T705",TSC!B:C,2,0)%,MIN(T19+V19,VLOOKUP("R700",TSC!B:C,2,0)*VLOOKUP("R101",TSC!B:C,2,0))*VLOOKUP("T705",TSC!B:C,2,0)%),0)</f>
        <v/>
      </c>
      <c r="CT19">
        <f>IFERROR(IF(RIGHT(INDEX(PIS!O$1:O$500,MATCH(D19,PIS!C$1:C$500,0)),5)="Gross",MIN(U19+V19,VLOOKUP("R700",TSC!B:C,2,0)*VLOOKUP("R101",TSC!B:C,2,0))*(VLOOKUP("T713",TSC!B:C,2,0))%,MIN(T19+V19,VLOOKUP("R700",TSC!B:C,2,0)*VLOOKUP("R101",TSC!B:C,2,0))*(VLOOKUP("T713",TSC!B:C,2,0))%),0)</f>
        <v/>
      </c>
      <c r="CU19">
        <f>IFERROR(INDEX(ADJ!$A$1:$BZ$1000,MATCH(PAYROLL!D19,ADJ!A$1:A$500,0),MATCH(PAYROLL!CU$2,ADJ!$2:$2,0)),0)</f>
        <v/>
      </c>
      <c r="CV19">
        <f>IFERROR(INDEX(ADJ!$A$1:$BZ$1000,MATCH(PAYROLL!D19,ADJ!A$1:A$500,0),MATCH(PAYROLL!CV$2,ADJ!$2:$2,0)),0)</f>
        <v/>
      </c>
      <c r="CW19">
        <f>SUM(CQ19:CV19)</f>
        <v/>
      </c>
      <c r="CX19">
        <f>ROUND(IF(CQ19&gt;0,T19+V19*VLOOKUP("R202",TSC!$B$1:$C$500,2,0),0),0)</f>
        <v/>
      </c>
      <c r="CY19">
        <f>IFERROR(INDEX(CSDA!D$1:D$500,MATCH($CY$2,CSDA!C$1:C$500,0)),0)</f>
        <v/>
      </c>
      <c r="CZ19">
        <f>ROUND(T19*0.7%,0)</f>
        <v/>
      </c>
      <c r="DA19">
        <f>ROUND(T19/12,0)</f>
        <v/>
      </c>
      <c r="DB19">
        <f ref="DB19" t="array">IFERROR(INDEX(CSDA!D$1:D$500,MATCH("Trích giữ"&amp;PAYROLL!DB$2,CSDA!A$1:A$500&amp;CSDA!C$1:C$500,0)),0)</f>
        <v/>
      </c>
      <c r="DC19">
        <f ref="DC19" t="array">IFERROR(INDEX(CSDA!D$1:D$500,MATCH("Trích giữ"&amp;PAYROLL!DC$2,CSDA!A$1:A$500&amp;CSDA!C$1:C$500,0)),0)</f>
        <v/>
      </c>
      <c r="DD19">
        <f ref="DD19" t="array">IFERROR(INDEX(CSDA!D$1:D$500,MATCH("Trích giữ"&amp;PAYROLL!DD$2,CSDA!A$1:A$500&amp;CSDA!C$1:C$500,0)),0)</f>
        <v/>
      </c>
      <c r="DE19">
        <f>IFERROR(INDEX(CSDA!D$1:D$500,MATCH(PAYROLL!DE$2,CSDA!C$1:C$500,0)),0)</f>
        <v/>
      </c>
      <c r="DF19">
        <f ref="DF19" t="array">IFERROR(INDEX(CSDA!D$1:D$500,MATCH("Trích giữ"&amp;PAYROLL!DF$2,CSDA!A$1:A$500&amp;CSDA!C$1:C$500,0)),0)</f>
        <v/>
      </c>
      <c r="DG19">
        <f>ROUND(T19/26,0)</f>
        <v/>
      </c>
      <c r="DH19">
        <f ref="DH19" t="array">IFERROR(INDEX(CSDA!D$1:D$500,MATCH("Trích giữ"&amp;PAYROLL!DH$2,CSDA!A$1:A$500&amp;CSDA!C$1:C$500,0)),0)</f>
        <v/>
      </c>
      <c r="DI19">
        <f>IF(U19=0,T19*21.5%-BK19,0)</f>
        <v/>
      </c>
      <c r="DK19">
        <f ref="DK19" t="array">IFERROR(INDEX(CSDA!D$1:D$500,MATCH("Trích giữ"&amp;PAYROLL!DK$2,CSDA!A$1:A$500&amp;CSDA!C$1:C$500,0)),0)</f>
        <v/>
      </c>
      <c r="DL19">
        <f>IFERROR(INDEX(CSDA!D$1:D$500,MATCH(PAYROLL!DL$2,CSDA!C$1:C$500,0))/12,0)</f>
        <v/>
      </c>
      <c r="DM19">
        <f>SUM(DA19:DL19)</f>
        <v/>
      </c>
      <c r="DN19">
        <f>IFERROR(INDEX(ADJ!$A$1:$BZ$1000,MATCH(PAYROLL!D19,ADJ!A$1:A$500,0),MATCH(PAYROLL!DN$2,ADJ!$2:$2,0)),0)</f>
        <v/>
      </c>
      <c r="DO19">
        <f>IFERROR(SUM(BO19,DM19:DN19,CW19:CZ19)-DT19,0)</f>
        <v/>
      </c>
      <c r="DP19">
        <f ref="DP19" t="array">SUM(BV19*IFERROR(INDEX(CSDA!D$1:D$500,MATCH(BV$2,CSDA!C$1:C$500,0)),0)%,CW19*IFERROR(INDEX(CSDA!D$1:D$500,MATCH(CW$2,CSDA!C$1:C$500,0)),0)%,CZ19*IFERROR(INDEX(CSDA!D$1:D$500,MATCH(CZ$2,CSDA!C$1:C$500,0)),0)%,DA19*IFERROR(INDEX(CSDA!D$1:D$500,MATCH(DA$2,CSDA!C$1:C$500,0)),0)%,DE19*IFERROR(INDEX(CSDA!D$1:D$500,MATCH("Phí dịch vụ"&amp;PAYROLL!DE$2,CSDA!A$1:A$500&amp;CSDA!C$1:C$500,0)),0)%,DB19*IFERROR(INDEX(CSDA!D$1:D$500,MATCH("Phí dịch vụ"&amp;PAYROLL!DB$2,CSDA!A$1:A$500&amp;CSDA!C$1:C$500,0)),0)%,DG19*IFERROR(INDEX(CSDA!D$1:D$500,MATCH("Phí dịch vụ"&amp;PAYROLL!DG$2,CSDA!A$1:A$500&amp;CSDA!C$1:C$500,0)),0)%,DI19*IFERROR(INDEX(CSDA!D$1:D$500,MATCH("Phí dịch vụ"&amp;PAYROLL!DI$2,CSDA!A$1:A$500&amp;CSDA!C$1:C$500,0)),0)%,BM19*IFERROR(INDEX(CSDA!D$1:D$500,MATCH(BM$2,CSDA!C$1:C$500,0)),0)%)-BM19*7%</f>
        <v/>
      </c>
      <c r="DQ19">
        <f>IFERROR(INDEX(ADJ!$A$1:$BZ$1000,MATCH(PAYROLL!D19,ADJ!A$1:A$500,0),MATCH(PAYROLL!DQ$2,ADJ!$2:$2,0)),0)</f>
        <v/>
      </c>
      <c r="DR19">
        <f>IFERROR(INDEX(ADJ!$A$1:$BZ$1000,MATCH(PAYROLL!D19,ADJ!A$1:A$500,0),MATCH(PAYROLL!DR$2,ADJ!$2:$2,0)),0)</f>
        <v/>
      </c>
      <c r="DS19">
        <f>SUM(DP19:DR19)</f>
        <v/>
      </c>
      <c r="DT19">
        <f>EK19</f>
        <v/>
      </c>
      <c r="DU19">
        <f>SUM(DO19:DR19)</f>
        <v/>
      </c>
      <c r="DV19">
        <f>ROUND(DU19*0.1,0)</f>
        <v/>
      </c>
      <c r="DW19">
        <f>DU19+DV19</f>
        <v/>
      </c>
      <c r="DZ19">
        <f>IFERROR(INDEX(ADJ!$A$1:$BZ$1000,MATCH(PAYROLL!$D19,ADJ!A$1:A$500,0),MATCH(PAYROLL!DZ$2,ADJ!$2:$2,0)),0)</f>
        <v/>
      </c>
      <c r="EA19">
        <f>IFERROR(INDEX(ADJ!$A$1:$BZ$1000,MATCH(PAYROLL!$D19,ADJ!A$1:A$500,0),MATCH(PAYROLL!EA$2,ADJ!$2:$2,0)),0)</f>
        <v/>
      </c>
      <c r="EB19">
        <f>IFERROR(INDEX(ADJ!$A$1:$BZ$1000,MATCH(PAYROLL!$D19,ADJ!A$1:A$500,0),MATCH(PAYROLL!EB$2,ADJ!$2:$2,0)),0)</f>
        <v/>
      </c>
      <c r="EC19">
        <f>IFERROR(INDEX(ADJ!$A$1:$BZ$1000,MATCH(PAYROLL!$D19,ADJ!A$1:A$500,0),MATCH(PAYROLL!EC$2,ADJ!$2:$2,0)),0)</f>
        <v/>
      </c>
      <c r="ED19">
        <f>IFERROR(INDEX(ADJ!$A$1:$BZ$1000,MATCH(PAYROLL!$D19,ADJ!A$1:A$500,0),MATCH(PAYROLL!ED$2,ADJ!$2:$2,0)),0)</f>
        <v/>
      </c>
      <c r="EE19">
        <f>IFERROR(INDEX(ADJ!$A$1:$BZ$1000,MATCH(PAYROLL!$D19,ADJ!A$1:A$500,0),MATCH(PAYROLL!EE$2,ADJ!$2:$2,0)),0)</f>
        <v/>
      </c>
      <c r="EF19">
        <f>IFERROR(INDEX(ADJ!$A$1:$BZ$1000,MATCH(PAYROLL!$D19,ADJ!A$1:A$500,0),MATCH(PAYROLL!EF$2,ADJ!$2:$2,0)),0)</f>
        <v/>
      </c>
      <c r="EG19">
        <f>IFERROR(INDEX(ADJ!$A$1:$BZ$1000,MATCH(PAYROLL!$D19,ADJ!A$1:A$500,0),MATCH(PAYROLL!EG$2,ADJ!$2:$2,0)),0)</f>
        <v/>
      </c>
      <c r="EH19">
        <f>IFERROR(INDEX(ADJ!$A$1:$BZ$1000,MATCH(PAYROLL!$D19,ADJ!A$1:A$500,0),MATCH(PAYROLL!EH$2,ADJ!$2:$2,0)),0)</f>
        <v/>
      </c>
      <c r="EI19">
        <f>IFERROR(INDEX(ADJ!$A$1:$BZ$1000,MATCH(PAYROLL!D19,ADJ!A$1:A$500,0),MATCH(PAYROLL!EI$2,ADJ!$2:$2,0)),0)</f>
        <v/>
      </c>
      <c r="EJ19">
        <f>IFERROR(INDEX(ADJ!$A$1:$BZ$1000,MATCH(PAYROLL!$D19,ADJ!A$1:A$500,0),MATCH(PAYROLL!EJ$2,ADJ!$2:$2,0)),0)</f>
        <v/>
      </c>
      <c r="EK19">
        <f>SUM(DZ19:EJ19)</f>
        <v/>
      </c>
    </row>
    <row r="20">
      <c r="A20" t="n">
        <v>18</v>
      </c>
      <c r="B20" t="inlineStr">
        <is>
          <t>Hoàng Tiến Dũng</t>
        </is>
      </c>
      <c r="D20" t="inlineStr">
        <is>
          <t>157409-01</t>
        </is>
      </c>
      <c r="S20">
        <f>IFERROR(INDEX(PIS!$A$1:$BZ$1000,MATCH($D20,PIS!C$1:C$500,0),MATCH("Lương CB tháng trước",PIS!$1:$1,0)),0)</f>
        <v/>
      </c>
      <c r="T20">
        <f>IFERROR(INDEX(PIS!$A$1:$BZ$1000,MATCH($D20,PIS!C$1:C$500,0),MATCH("Lương CB hiện tại",PIS!$1:$1,0)),0)</f>
        <v/>
      </c>
      <c r="U20">
        <f>IFERROR(INDEX(PIS!$A$1:$BZ$1000,MATCH($D20,PIS!C$1:C$500,0),MATCH("Lương đóng BHBB",PIS!$1:$1,0)),0)</f>
        <v/>
      </c>
      <c r="V20">
        <f>IFERROR(INDEX(PIS!$A$1:$BZ$1000,MATCH($D20,PIS!C$1:C$500,0),MATCH(V$2,PIS!$2:$2,0)),0)</f>
        <v/>
      </c>
      <c r="W20">
        <f>IFERROR(INDEX(PIS!$A$1:$BZ$1000,MATCH($D20,PIS!C$1:C$500,0),MATCH(W$2,PIS!$2:$2,0)),0)</f>
        <v/>
      </c>
      <c r="X20">
        <f>IFERROR(INDEX(PIS!$A$1:$BZ$1000,MATCH($D20,PIS!C$1:C$500,0),MATCH(X$2,PIS!$2:$2,0)),0)</f>
        <v/>
      </c>
      <c r="Y20">
        <f>IFERROR(INDEX(PIS!$A$1:$BZ$1000,MATCH($D20,PIS!C$1:C$500,0),MATCH(Y$2,PIS!$2:$2,0)),0)</f>
        <v/>
      </c>
      <c r="Z20">
        <f>IFERROR(INDEX(PIS!$A$1:$BZ$1000,MATCH($D20,PIS!C$1:C$500,0),MATCH(Z$2,PIS!$2:$2,0)),0)</f>
        <v/>
      </c>
      <c r="AA20">
        <f>IFERROR(INDEX(PIS!$A$1:$BZ$1000,MATCH($D20,PIS!C$1:C$500,0),MATCH(AA$2,PIS!$2:$2,0)),0)</f>
        <v/>
      </c>
      <c r="AB20">
        <f>IFERROR(INDEX(PIS!$A$1:$BZ$1000,MATCH($D20,PIS!C$1:C$500,0),MATCH(AB$2,PIS!$2:$2,0)),0)</f>
        <v/>
      </c>
      <c r="AC20">
        <f>SUM(V20:AB20)</f>
        <v/>
      </c>
      <c r="AD20">
        <f>IFERROR(INDEX(TIMESHEET!$A$1:$AI$5000,MATCH($D20,TIMESHEET!A$1:A$500,0),MATCH("T100",TIMESHEET!$2:$2,0)),0)</f>
        <v/>
      </c>
      <c r="AE20">
        <f>IFERROR(INDEX(TIMESHEET!$A$1:$AI$5000,MATCH($D20,TIMESHEET!A$1:A$500,0),MATCH("T202",TIMESHEET!$2:$2,0)),0)</f>
        <v/>
      </c>
      <c r="AF20">
        <f>IFERROR(INDEX(TIMESHEET!$A$1:$AI$5000,MATCH($D20,TIMESHEET!A$1:A$500,0),MATCH("T302",TIMESHEET!$2:$2,0)),0)</f>
        <v/>
      </c>
      <c r="AG20">
        <f>IFERROR(INDEX(TIMESHEET!$A$1:$AI$5000,MATCH($D20,TIMESHEET!A$1:A$500,0),MATCH("T406",TIMESHEET!$2:$2,0)),0)</f>
        <v/>
      </c>
      <c r="AH20">
        <f>IF(SUM(AE20:AG20)&gt;=26,26,SUM(AE20:AG20))</f>
        <v/>
      </c>
      <c r="AI20">
        <f>IFERROR(INDEX(TIMESHEET!$A$1:$AI$5000,MATCH($D20,TIMESHEET!A$1:A$500,0),MATCH("T701",TIMESHEET!$2:$2,0)),0)</f>
        <v/>
      </c>
      <c r="AJ20">
        <f>IFERROR(IF(INDEX(PIS!N$1:N$500,MATCH(D20,PIS!C$1:C$500,0))="LC4",(T20*0.85)/AD20*AH20,ROUND(T20/AD20*AH20,0)),0)</f>
        <v/>
      </c>
      <c r="AK20">
        <f>IFERROR(INDEX(ADJ!$A$1:$BZ$1000,MATCH(PAYROLL!D20,ADJ!A$1:A$500,0),MATCH(PAYROLL!AK$2,ADJ!$2:$2,0)),0)</f>
        <v/>
      </c>
      <c r="AL20">
        <f>SUM(AJ20:AK20)</f>
        <v/>
      </c>
      <c r="AM20">
        <f>IF(AH20&gt;13,V20,ROUND(V20/AD20*AH20,0))</f>
        <v/>
      </c>
      <c r="AN20">
        <f>IF(AD20=0,0,ROUND(W20/AD20*AI20,0))</f>
        <v/>
      </c>
      <c r="AO20">
        <f>ROUND(X20*AH20,0)</f>
        <v/>
      </c>
      <c r="AP20">
        <f>IF(AD20=0,0,ROUND(Y20/AD20*AH20,0))</f>
        <v/>
      </c>
      <c r="AQ20">
        <f>IFERROR(IF((AE20+AF20+AG20)&gt;13,Z20,ROUND(Z20/AD20*AH20,0)),0)</f>
        <v/>
      </c>
      <c r="AR20">
        <f>IF(AD20=0,0,ROUND(AA49/AD20*AH20,0))</f>
        <v/>
      </c>
      <c r="AS20">
        <f>IFERROR(IF((AE20+AF20+AG20)&gt;13,AB20,ROUND(AB20/AD20*AH20,0)),0)</f>
        <v/>
      </c>
      <c r="AT20">
        <f>IFERROR(INDEX(ADJ!$A$1:$BZ$1000,MATCH(PAYROLL!D20,ADJ!A$1:A$500,0),MATCH(PAYROLL!AT$2,ADJ!$2:$2,0)),0)</f>
        <v/>
      </c>
      <c r="AU20">
        <f>ROUND(SUM(AM20:AT20),0)</f>
        <v/>
      </c>
      <c r="AV20">
        <f>IFERROR(INDEX(TIMESHEET!$A$1:$AI$5000,MATCH(PAYROLL!D20,TIMESHEET!A$1:A$500,0),MATCH("T620",TIMESHEET!$2:$2,0)),0)</f>
        <v/>
      </c>
      <c r="AW20">
        <f>IFERROR(INDEX(TIMESHEET!$A$1:$AI$5000,MATCH(PAYROLL!D20,TIMESHEET!A$1:A$500,0),MATCH("T601",TIMESHEET!$2:$2,0)),0)</f>
        <v/>
      </c>
      <c r="AX20">
        <f>IFERROR(INDEX(TIMESHEET!$A$1:$AI$5000,MATCH(PAYROLL!D20,TIMESHEET!A$1:A$500,0),MATCH("T602",TIMESHEET!$2:$2,0)),0)</f>
        <v/>
      </c>
      <c r="AY20">
        <f>IFERROR(INDEX(TIMESHEET!$A$1:$AI$5000,MATCH(PAYROLL!D20,TIMESHEET!A$1:A$500,0),MATCH("T603",TIMESHEET!$2:$2,0)),0)</f>
        <v/>
      </c>
      <c r="AZ20">
        <f>IFERROR(INDEX(TIMESHEET!$A$1:$AI$5000,MATCH(PAYROLL!D20,TIMESHEET!A$1:A$500,0),MATCH("T611",TIMESHEET!$2:$2,0)),0)</f>
        <v/>
      </c>
      <c r="BA20">
        <f>IFERROR(INDEX(TIMESHEET!$A$1:$AI$5000,MATCH(PAYROLL!D20,TIMESHEET!A$1:A$500,0),MATCH("T612",TIMESHEET!$2:$2,0)),0)</f>
        <v/>
      </c>
      <c r="BB20">
        <f>IFERROR(INDEX(TIMESHEET!$A$1:$AI$5000,MATCH(PAYROLL!D20,TIMESHEET!A$1:A$500,0),MATCH("T613",TIMESHEET!$2:$2,0)),0)</f>
        <v/>
      </c>
      <c r="BC20">
        <f>IFERROR(INDEX(TIMESHEET!$A$1:$AI$5000,MATCH(PAYROLL!D20,TIMESHEET!A$1:A$500,0),MATCH("T500",TIMESHEET!$2:$2,0)),0)</f>
        <v/>
      </c>
      <c r="BD20">
        <f>IFERROR((T20+V20)/AD20/8*(AV20+AW20*1.5+AX20*2+AY20*3+AZ20*2.1+BA20*2.7+BB20*3.9+BC20*0.3),0)</f>
        <v/>
      </c>
      <c r="BE20">
        <f>IFERROR(INDEX(ADJ!$A$1:$BZ$1000,MATCH(PAYROLL!$D20,ADJ!A$1:A$500,0),MATCH(PAYROLL!BE$2,ADJ!$2:$2,0)),0)</f>
        <v/>
      </c>
      <c r="BF20">
        <f>IFERROR(INDEX(ADJ!$A$1:$BZ$1000,MATCH(PAYROLL!D20,ADJ!A$1:A$500,0),MATCH(PAYROLL!BF$2,ADJ!$2:$2,0)),0)</f>
        <v/>
      </c>
      <c r="BG20">
        <f>IFERROR(INDEX(ADJ!$A$1:$BZ$1000,MATCH(PAYROLL!D20,ADJ!A$1:A$500,0),MATCH(PAYROLL!BG$2,ADJ!$2:$2,0)),0)</f>
        <v/>
      </c>
      <c r="BH20">
        <f>IFERROR(INDEX(ADJ!$A$1:$BZ$1000,MATCH(PAYROLL!D20,ADJ!A$1:A$500,0),MATCH(PAYROLL!BH$2,ADJ!$2:$2,0)),0)</f>
        <v/>
      </c>
      <c r="BI20">
        <f>IFERROR(INDEX(ADJ!$A$1:$BZ$1000,MATCH(PAYROLL!D20,ADJ!A$1:A$500,0),MATCH(PAYROLL!BI$2,ADJ!$2:$2,0)),0)</f>
        <v/>
      </c>
      <c r="BJ20">
        <f>SUM(BE20:BI20)</f>
        <v/>
      </c>
      <c r="BK20">
        <f>IFERROR(IF(INDEX(PIS!N$1:N$500,MATCH(D20,PIS!C$1:C$500))="LC12",(T20*21.5%)/AD20*AH20,0),0)</f>
        <v/>
      </c>
      <c r="BL20">
        <f>IFERROR(INDEX(ADJ!$A$1:$BZ$1000,MATCH(PAYROLL!D20,ADJ!A$1:A$500,0),MATCH(PAYROLL!BL$2,ADJ!$2:$2,0)),0)</f>
        <v/>
      </c>
      <c r="BM20">
        <f>IFERROR(INDEX(ADJ!$A$1:$BZ$1000,MATCH(PAYROLL!D20,ADJ!A$1:A$500,0),MATCH(PAYROLL!BM$2,ADJ!$2:$2,0)),0)</f>
        <v/>
      </c>
      <c r="BN20">
        <f>IFERROR(INDEX(ADJ!$A$1:$BZ$1000,MATCH(PAYROLL!D20,ADJ!A$1:A$500,0),MATCH(PAYROLL!BN$2,ADJ!$2:$2,0)),0)</f>
        <v/>
      </c>
      <c r="BO20">
        <f>SUM(AL20,AU20,BD20,BJ20,BK20:BN20)</f>
        <v/>
      </c>
      <c r="BP20">
        <f>BN20+AP20</f>
        <v/>
      </c>
      <c r="BQ20">
        <f>IFERROR(ROUND(IF(LEFT(INDEX(PIS!O$1:O$500,MATCH(D20,PIS!C$1:C$500)),1)="D",T20/8*(BC20*0.3),IF(LEFT(INDEX(PIS!O$1:O$500,MATCH(D20,PIS!C$1:C$500)),1)="H",T20*($BC20*0.3),T20/$AD20/8*($BC20*0.3))),0),0)</f>
        <v/>
      </c>
      <c r="BR20">
        <f>IF(AO20&lt;1,0,MIN(AO20,730000))</f>
        <v/>
      </c>
      <c r="BS20">
        <f>IFERROR(ROUND((BD20-SUM(AV20:BB20)*T20/AD20/8),0)-BQ20,0)</f>
        <v/>
      </c>
      <c r="BT20">
        <f>AN20</f>
        <v/>
      </c>
      <c r="BU20">
        <f>SUM(BP20:BT20)</f>
        <v/>
      </c>
      <c r="BV20">
        <f>BO20-BU20</f>
        <v/>
      </c>
      <c r="BW20">
        <f>IFERROR(IF(RIGHT(INDEX(PIS!O$1:O$500,MATCH(D20,PIS!C$1:C$500)),5)="Gross",MIN(U20+V20,VLOOKUP("R700",TSC!B:C,2,0)*VLOOKUP("R101",TSC!B:C,2,0))*VLOOKUP("R701",TSC!B:C,2,0)%,0),0)</f>
        <v/>
      </c>
      <c r="BX20">
        <f>IFERROR(IF(RIGHT(INDEX(PIS!O$1:O$500,MATCH(D20,PIS!C$1:C$500)),5)="Gross",MIN(U20+V20,VLOOKUP("R700",TSC!B:C,2,0)*VLOOKUP("R101",TSC!B:C,2,0))*VLOOKUP("T704",TSC!B:C,2,0)%,0),0)</f>
        <v/>
      </c>
      <c r="BY20">
        <f>IFERROR(IF(RIGHT(INDEX(PIS!O$1:O$500,MATCH(D20,PIS!C$1:C$500)),5)="Gross",MIN(U20+V20,VLOOKUP("R700",TSC!B:C,2,0)*VLOOKUP("1",TSC!F:G,2,0))*VLOOKUP("T705",TSC!B:C,2,0)%,0),0)</f>
        <v/>
      </c>
      <c r="BZ20">
        <f>IFERROR(INDEX(ADJ!$A$1:$BZ$1000,MATCH(PAYROLL!D20,ADJ!A$1:A$500,0),MATCH(PAYROLL!BZ$2,ADJ!$2:$2,0)),0)</f>
        <v/>
      </c>
      <c r="CA20">
        <f>IFERROR(INDEX(ADJ!$A$1:$BZ$1000,MATCH(PAYROLL!D20,ADJ!A$1:A$500,0),MATCH(PAYROLL!CA$2,ADJ!$2:$2,0)),0)</f>
        <v/>
      </c>
      <c r="CB20">
        <f>SUM(BW20:CA20)</f>
        <v/>
      </c>
      <c r="CC20">
        <f>IFERROR(INDEX(PIS!$A$1:$BZ$1000,MATCH(PAYROLL!D20,PIS!C$1:C$500,0),MATCH(PAYROLL!CC$1,PIS!$1:$1,0)),0)</f>
        <v/>
      </c>
      <c r="CD20">
        <f>IFERROR(IF(OR(INDEX(PIS!P$1:P$500,MATCH(D20,PIS!C$1:C$500,0))="LT2",INDEX(PIS!P$1:P$500,MATCH(D20,PIS!C$1:C$500,0))="P10"),0,SUM(CB20,CC20*VLOOKUP("R601",TSC!B:C,2,0),VLOOKUP("R602",TSC!B:C,2,0))),0)</f>
        <v/>
      </c>
      <c r="CE20">
        <f>MAX(BV20-CD20,0)</f>
        <v/>
      </c>
      <c r="CF20">
        <f>IFERROR(IF(OR(RIGHT(INDEX(PIS!P$1:P$500,MATCH(D20,PIS!C$1:C$500)),5)="P10",RIGHT(INDEX(PIS!P$1:P$500,MATCH(D20,PIS!C$1:C$500)),5)="CK"),0,IF(CE20&lt;=5000000,CE20*5%,IF(CE20&lt;=10000000,CE20*10%-250000,IF(CE20&lt;=18000000,CE20*15%-750000,IF(CE20&lt;=32000000,CE20*20%-1650000,IF(CE20&lt;=52000000,CE20*25%-3250000,IF(CE20&lt;=80000000,BG20*30%-5850000,CE20*35%-9850000))))))),0)</f>
        <v/>
      </c>
      <c r="CG20">
        <f>IFERROR(IF(OR(INDEX(PIS!P$1:P$500,MATCH(D20,PIS!C$1:C$500))="LT",INDEX(PIS!P$1:P$500,MATCH(D20,PIS!C$1:C$500))="CK"),0,IF(CE20&lt;2000000,0,CE20*10%)),0)</f>
        <v/>
      </c>
      <c r="CH20">
        <f>IFERROR(INDEX(ADJ!$A$1:$BZ$1000,MATCH(PAYROLL!D20,ADJ!A$1:A$500,0),MATCH(PAYROLL!CH$2,ADJ!$2:$2,0)),0)</f>
        <v/>
      </c>
      <c r="CI20">
        <f>IFERROR(INDEX(ADJ!$A$1:$BZ$1000,MATCH(PAYROLL!D20,ADJ!A$1:A$500,0),MATCH(PAYROLL!CI$2,ADJ!$2:$2,0)),0)</f>
        <v/>
      </c>
      <c r="CJ20">
        <f>IFERROR(INDEX(ADJ!$A$1:$BZ$1000,MATCH(PAYROLL!D20,ADJ!A$1:A$500,0),MATCH(PAYROLL!CJ$2,ADJ!$2:$2,0)),0)</f>
        <v/>
      </c>
      <c r="CK20">
        <f>SUM(CF20:CJ20)</f>
        <v/>
      </c>
      <c r="CL20">
        <f>ROUND(SUM(CG20:CJ20),0)</f>
        <v/>
      </c>
      <c r="CM20">
        <f>IFERROR(INDEX(CSDA!D$1:D$500,MATCH($CM$2,CSDA!C$1:C$500,0))*INDEX(PIS!V$1:V$500,MATCH(D20,PIS!C$1:C$500))+INDEX(ADJ!$A$1:$BZ$1000,MATCH(PAYROLL!D20,ADJ!A$1:A$500,0),MATCH(PAYROLL!CM$2,ADJ!$2:$2,0)),0)</f>
        <v/>
      </c>
      <c r="CN20">
        <f>IFERROR(INDEX(ADJ!$A$1:$BZ$1000,MATCH(PAYROLL!D20,ADJ!A$1:A$500,0),MATCH(PAYROLL!CN$2,ADJ!$2:$2,0)),0)</f>
        <v/>
      </c>
      <c r="CO20">
        <f>IFERROR(INDEX(ADJ!$A$1:$BZ$1000,MATCH(PAYROLL!D20,ADJ!A$1:A$500,0),MATCH(PAYROLL!CO$2,ADJ!$2:$2,0)),0)</f>
        <v/>
      </c>
      <c r="CP20">
        <f>BO20-CK20-CH20-CL20-CM20-CN20-CO20-CB20</f>
        <v/>
      </c>
      <c r="CQ20">
        <f>IFERROR(IF(RIGHT(INDEX(PIS!O$1:O$500,MATCH(D20,PIS!C$1:C$500,0)),5)="Gross",MIN(U20+V20,VLOOKUP("R700",TSC!B:C,2,0)*VLOOKUP("R101",TSC!B:C,2,0))*(VLOOKUP("T711",TSC!B:C,2,0)+VLOOKUP("T712",TSC!B:C,2,0))%,MIN(T20+V20,VLOOKUP("R700",TSC!B:C,2,0)*VLOOKUP("R101",TSC!B:C,2,0))*(VLOOKUP("T711",TSC!B:C,2,0)+VLOOKUP("T712",TSC!B:C,2,0)+VLOOKUP("R701",TSC!B:C,2,0))%),0)</f>
        <v/>
      </c>
      <c r="CR20">
        <f>IFERROR(IF(RIGHT(INDEX(PIS!O$1:O$500,MATCH(D20,PIS!C$1:C$500,0)),5)="Gross",MIN(U20+V20,VLOOKUP("R700",TSC!B:C,2,0)*VLOOKUP("R101",TSC!B:C,2,0))*(VLOOKUP("T714",TSC!B:C,2,0))%,MIN(T20+V20,VLOOKUP("R700",TSC!B:C,2,0)*VLOOKUP("R101",TSC!B:C,2,0))*(VLOOKUP("T704",TSC!B:C,2,0)+VLOOKUP("T714",TSC!B:C,2,0))%),0)</f>
        <v/>
      </c>
      <c r="CS20">
        <f>IFERROR(IF(RIGHT(INDEX(PIS!O$1:O$500,MATCH(D20,PIS!C$1:C$500,0)),5)="Gross",MIN(U20+V20,VLOOKUP("R700",TSC!B:C,2,0)*VLOOKUP("R101",TSC!B:C,2,0))*VLOOKUP("T705",TSC!B:C,2,0)%,MIN(T20+V20,VLOOKUP("R700",TSC!B:C,2,0)*VLOOKUP("R101",TSC!B:C,2,0))*VLOOKUP("T705",TSC!B:C,2,0)%),0)</f>
        <v/>
      </c>
      <c r="CT20">
        <f>IFERROR(IF(RIGHT(INDEX(PIS!O$1:O$500,MATCH(D20,PIS!C$1:C$500,0)),5)="Gross",MIN(U20+V20,VLOOKUP("R700",TSC!B:C,2,0)*VLOOKUP("R101",TSC!B:C,2,0))*(VLOOKUP("T713",TSC!B:C,2,0))%,MIN(T20+V20,VLOOKUP("R700",TSC!B:C,2,0)*VLOOKUP("R101",TSC!B:C,2,0))*(VLOOKUP("T713",TSC!B:C,2,0))%),0)</f>
        <v/>
      </c>
      <c r="CU20">
        <f>IFERROR(INDEX(ADJ!$A$1:$BZ$1000,MATCH(PAYROLL!D20,ADJ!A$1:A$500,0),MATCH(PAYROLL!CU$2,ADJ!$2:$2,0)),0)</f>
        <v/>
      </c>
      <c r="CV20">
        <f>IFERROR(INDEX(ADJ!$A$1:$BZ$1000,MATCH(PAYROLL!D20,ADJ!A$1:A$500,0),MATCH(PAYROLL!CV$2,ADJ!$2:$2,0)),0)</f>
        <v/>
      </c>
      <c r="CW20">
        <f>SUM(CQ20:CV20)</f>
        <v/>
      </c>
      <c r="CX20">
        <f>ROUND(IF(CQ20&gt;0,T20+V20*VLOOKUP("R202",TSC!$B$1:$C$500,2,0),0),0)</f>
        <v/>
      </c>
      <c r="CY20">
        <f>IFERROR(INDEX(CSDA!D$1:D$500,MATCH($CY$2,CSDA!C$1:C$500,0)),0)</f>
        <v/>
      </c>
      <c r="CZ20">
        <f>ROUND(T20*0.7%,0)</f>
        <v/>
      </c>
      <c r="DA20">
        <f>ROUND(T20/12,0)</f>
        <v/>
      </c>
      <c r="DB20">
        <f ref="DB20" t="array">IFERROR(INDEX(CSDA!D$1:D$500,MATCH("Trích giữ"&amp;PAYROLL!DB$2,CSDA!A$1:A$500&amp;CSDA!C$1:C$500,0)),0)</f>
        <v/>
      </c>
      <c r="DC20">
        <f ref="DC20" t="array">IFERROR(INDEX(CSDA!D$1:D$500,MATCH("Trích giữ"&amp;PAYROLL!DC$2,CSDA!A$1:A$500&amp;CSDA!C$1:C$500,0)),0)</f>
        <v/>
      </c>
      <c r="DD20">
        <f ref="DD20" t="array">IFERROR(INDEX(CSDA!D$1:D$500,MATCH("Trích giữ"&amp;PAYROLL!DD$2,CSDA!A$1:A$500&amp;CSDA!C$1:C$500,0)),0)</f>
        <v/>
      </c>
      <c r="DE20">
        <f>IFERROR(INDEX(CSDA!D$1:D$500,MATCH(PAYROLL!DE$2,CSDA!C$1:C$500,0)),0)</f>
        <v/>
      </c>
      <c r="DF20">
        <f ref="DF20" t="array">IFERROR(INDEX(CSDA!D$1:D$500,MATCH("Trích giữ"&amp;PAYROLL!DF$2,CSDA!A$1:A$500&amp;CSDA!C$1:C$500,0)),0)</f>
        <v/>
      </c>
      <c r="DG20">
        <f>ROUND(T20/26,0)</f>
        <v/>
      </c>
      <c r="DH20">
        <f ref="DH20" t="array">IFERROR(INDEX(CSDA!D$1:D$500,MATCH("Trích giữ"&amp;PAYROLL!DH$2,CSDA!A$1:A$500&amp;CSDA!C$1:C$500,0)),0)</f>
        <v/>
      </c>
      <c r="DI20">
        <f>IF(U20=0,T20*21.5%-BK20,0)</f>
        <v/>
      </c>
      <c r="DK20">
        <f ref="DK20" t="array">IFERROR(INDEX(CSDA!D$1:D$500,MATCH("Trích giữ"&amp;PAYROLL!DK$2,CSDA!A$1:A$500&amp;CSDA!C$1:C$500,0)),0)</f>
        <v/>
      </c>
      <c r="DL20">
        <f>IFERROR(INDEX(CSDA!D$1:D$500,MATCH(PAYROLL!DL$2,CSDA!C$1:C$500,0))/12,0)</f>
        <v/>
      </c>
      <c r="DM20">
        <f>SUM(DA20:DL20)</f>
        <v/>
      </c>
      <c r="DN20">
        <f>IFERROR(INDEX(ADJ!$A$1:$BZ$1000,MATCH(PAYROLL!D20,ADJ!A$1:A$500,0),MATCH(PAYROLL!DN$2,ADJ!$2:$2,0)),0)</f>
        <v/>
      </c>
      <c r="DO20">
        <f>IFERROR(SUM(BO20,DM20:DN20,CW20:CZ20)-DT20,0)</f>
        <v/>
      </c>
      <c r="DP20">
        <f ref="DP20" t="array">SUM(BV20*IFERROR(INDEX(CSDA!D$1:D$500,MATCH(BV$2,CSDA!C$1:C$500,0)),0)%,CW20*IFERROR(INDEX(CSDA!D$1:D$500,MATCH(CW$2,CSDA!C$1:C$500,0)),0)%,CZ20*IFERROR(INDEX(CSDA!D$1:D$500,MATCH(CZ$2,CSDA!C$1:C$500,0)),0)%,DA20*IFERROR(INDEX(CSDA!D$1:D$500,MATCH(DA$2,CSDA!C$1:C$500,0)),0)%,DE20*IFERROR(INDEX(CSDA!D$1:D$500,MATCH("Phí dịch vụ"&amp;PAYROLL!DE$2,CSDA!A$1:A$500&amp;CSDA!C$1:C$500,0)),0)%,DB20*IFERROR(INDEX(CSDA!D$1:D$500,MATCH("Phí dịch vụ"&amp;PAYROLL!DB$2,CSDA!A$1:A$500&amp;CSDA!C$1:C$500,0)),0)%,DG20*IFERROR(INDEX(CSDA!D$1:D$500,MATCH("Phí dịch vụ"&amp;PAYROLL!DG$2,CSDA!A$1:A$500&amp;CSDA!C$1:C$500,0)),0)%,DI20*IFERROR(INDEX(CSDA!D$1:D$500,MATCH("Phí dịch vụ"&amp;PAYROLL!DI$2,CSDA!A$1:A$500&amp;CSDA!C$1:C$500,0)),0)%,BM20*IFERROR(INDEX(CSDA!D$1:D$500,MATCH(BM$2,CSDA!C$1:C$500,0)),0)%)-BM20*7%</f>
        <v/>
      </c>
      <c r="DQ20">
        <f>IFERROR(INDEX(ADJ!$A$1:$BZ$1000,MATCH(PAYROLL!D20,ADJ!A$1:A$500,0),MATCH(PAYROLL!DQ$2,ADJ!$2:$2,0)),0)</f>
        <v/>
      </c>
      <c r="DR20">
        <f>IFERROR(INDEX(ADJ!$A$1:$BZ$1000,MATCH(PAYROLL!D20,ADJ!A$1:A$500,0),MATCH(PAYROLL!DR$2,ADJ!$2:$2,0)),0)</f>
        <v/>
      </c>
      <c r="DS20">
        <f>SUM(DP20:DR20)</f>
        <v/>
      </c>
      <c r="DT20">
        <f>EK20</f>
        <v/>
      </c>
      <c r="DU20">
        <f>SUM(DO20:DR20)</f>
        <v/>
      </c>
      <c r="DV20">
        <f>ROUND(DU20*0.1,0)</f>
        <v/>
      </c>
      <c r="DW20">
        <f>DU20+DV20</f>
        <v/>
      </c>
      <c r="DZ20">
        <f>IFERROR(INDEX(ADJ!$A$1:$BZ$1000,MATCH(PAYROLL!$D20,ADJ!A$1:A$500,0),MATCH(PAYROLL!DZ$2,ADJ!$2:$2,0)),0)</f>
        <v/>
      </c>
      <c r="EA20">
        <f>IFERROR(INDEX(ADJ!$A$1:$BZ$1000,MATCH(PAYROLL!$D20,ADJ!A$1:A$500,0),MATCH(PAYROLL!EA$2,ADJ!$2:$2,0)),0)</f>
        <v/>
      </c>
      <c r="EB20">
        <f>IFERROR(INDEX(ADJ!$A$1:$BZ$1000,MATCH(PAYROLL!$D20,ADJ!A$1:A$500,0),MATCH(PAYROLL!EB$2,ADJ!$2:$2,0)),0)</f>
        <v/>
      </c>
      <c r="EC20">
        <f>IFERROR(INDEX(ADJ!$A$1:$BZ$1000,MATCH(PAYROLL!$D20,ADJ!A$1:A$500,0),MATCH(PAYROLL!EC$2,ADJ!$2:$2,0)),0)</f>
        <v/>
      </c>
      <c r="ED20">
        <f>IFERROR(INDEX(ADJ!$A$1:$BZ$1000,MATCH(PAYROLL!$D20,ADJ!A$1:A$500,0),MATCH(PAYROLL!ED$2,ADJ!$2:$2,0)),0)</f>
        <v/>
      </c>
      <c r="EE20">
        <f>IFERROR(INDEX(ADJ!$A$1:$BZ$1000,MATCH(PAYROLL!$D20,ADJ!A$1:A$500,0),MATCH(PAYROLL!EE$2,ADJ!$2:$2,0)),0)</f>
        <v/>
      </c>
      <c r="EF20">
        <f>IFERROR(INDEX(ADJ!$A$1:$BZ$1000,MATCH(PAYROLL!$D20,ADJ!A$1:A$500,0),MATCH(PAYROLL!EF$2,ADJ!$2:$2,0)),0)</f>
        <v/>
      </c>
      <c r="EG20">
        <f>IFERROR(INDEX(ADJ!$A$1:$BZ$1000,MATCH(PAYROLL!$D20,ADJ!A$1:A$500,0),MATCH(PAYROLL!EG$2,ADJ!$2:$2,0)),0)</f>
        <v/>
      </c>
      <c r="EH20">
        <f>IFERROR(INDEX(ADJ!$A$1:$BZ$1000,MATCH(PAYROLL!$D20,ADJ!A$1:A$500,0),MATCH(PAYROLL!EH$2,ADJ!$2:$2,0)),0)</f>
        <v/>
      </c>
      <c r="EI20">
        <f>IFERROR(INDEX(ADJ!$A$1:$BZ$1000,MATCH(PAYROLL!D20,ADJ!A$1:A$500,0),MATCH(PAYROLL!EI$2,ADJ!$2:$2,0)),0)</f>
        <v/>
      </c>
      <c r="EJ20">
        <f>IFERROR(INDEX(ADJ!$A$1:$BZ$1000,MATCH(PAYROLL!$D20,ADJ!A$1:A$500,0),MATCH(PAYROLL!EJ$2,ADJ!$2:$2,0)),0)</f>
        <v/>
      </c>
      <c r="EK20">
        <f>SUM(DZ20:EJ20)</f>
        <v/>
      </c>
    </row>
    <row r="21">
      <c r="A21" t="n">
        <v>19</v>
      </c>
      <c r="B21" t="inlineStr">
        <is>
          <t>Phạm Xuân Chí</t>
        </is>
      </c>
      <c r="D21" t="inlineStr">
        <is>
          <t>157552-02</t>
        </is>
      </c>
      <c r="S21">
        <f>IFERROR(INDEX(PIS!$A$1:$BZ$1000,MATCH($D21,PIS!C$1:C$500,0),MATCH("Lương CB tháng trước",PIS!$1:$1,0)),0)</f>
        <v/>
      </c>
      <c r="T21">
        <f>IFERROR(INDEX(PIS!$A$1:$BZ$1000,MATCH($D21,PIS!C$1:C$500,0),MATCH("Lương CB hiện tại",PIS!$1:$1,0)),0)</f>
        <v/>
      </c>
      <c r="U21">
        <f>IFERROR(INDEX(PIS!$A$1:$BZ$1000,MATCH($D21,PIS!C$1:C$500,0),MATCH("Lương đóng BHBB",PIS!$1:$1,0)),0)</f>
        <v/>
      </c>
      <c r="V21">
        <f>IFERROR(INDEX(PIS!$A$1:$BZ$1000,MATCH($D21,PIS!C$1:C$500,0),MATCH(V$2,PIS!$2:$2,0)),0)</f>
        <v/>
      </c>
      <c r="W21">
        <f>IFERROR(INDEX(PIS!$A$1:$BZ$1000,MATCH($D21,PIS!C$1:C$500,0),MATCH(W$2,PIS!$2:$2,0)),0)</f>
        <v/>
      </c>
      <c r="X21">
        <f>IFERROR(INDEX(PIS!$A$1:$BZ$1000,MATCH($D21,PIS!C$1:C$500,0),MATCH(X$2,PIS!$2:$2,0)),0)</f>
        <v/>
      </c>
      <c r="Y21">
        <f>IFERROR(INDEX(PIS!$A$1:$BZ$1000,MATCH($D21,PIS!C$1:C$500,0),MATCH(Y$2,PIS!$2:$2,0)),0)</f>
        <v/>
      </c>
      <c r="Z21">
        <f>IFERROR(INDEX(PIS!$A$1:$BZ$1000,MATCH($D21,PIS!C$1:C$500,0),MATCH(Z$2,PIS!$2:$2,0)),0)</f>
        <v/>
      </c>
      <c r="AA21">
        <f>IFERROR(INDEX(PIS!$A$1:$BZ$1000,MATCH($D21,PIS!C$1:C$500,0),MATCH(AA$2,PIS!$2:$2,0)),0)</f>
        <v/>
      </c>
      <c r="AB21">
        <f>IFERROR(INDEX(PIS!$A$1:$BZ$1000,MATCH($D21,PIS!C$1:C$500,0),MATCH(AB$2,PIS!$2:$2,0)),0)</f>
        <v/>
      </c>
      <c r="AC21">
        <f>SUM(V21:AB21)</f>
        <v/>
      </c>
      <c r="AD21">
        <f>IFERROR(INDEX(TIMESHEET!$A$1:$AI$5000,MATCH($D21,TIMESHEET!A$1:A$500,0),MATCH("T100",TIMESHEET!$2:$2,0)),0)</f>
        <v/>
      </c>
      <c r="AE21">
        <f>IFERROR(INDEX(TIMESHEET!$A$1:$AI$5000,MATCH($D21,TIMESHEET!A$1:A$500,0),MATCH("T202",TIMESHEET!$2:$2,0)),0)</f>
        <v/>
      </c>
      <c r="AF21">
        <f>IFERROR(INDEX(TIMESHEET!$A$1:$AI$5000,MATCH($D21,TIMESHEET!A$1:A$500,0),MATCH("T302",TIMESHEET!$2:$2,0)),0)</f>
        <v/>
      </c>
      <c r="AG21">
        <f>IFERROR(INDEX(TIMESHEET!$A$1:$AI$5000,MATCH($D21,TIMESHEET!A$1:A$500,0),MATCH("T406",TIMESHEET!$2:$2,0)),0)</f>
        <v/>
      </c>
      <c r="AH21">
        <f>IF(SUM(AE21:AG21)&gt;=26,26,SUM(AE21:AG21))</f>
        <v/>
      </c>
      <c r="AI21">
        <f>IFERROR(INDEX(TIMESHEET!$A$1:$AI$5000,MATCH($D21,TIMESHEET!A$1:A$500,0),MATCH("T701",TIMESHEET!$2:$2,0)),0)</f>
        <v/>
      </c>
      <c r="AJ21">
        <f>IFERROR(IF(INDEX(PIS!N$1:N$500,MATCH(D21,PIS!C$1:C$500,0))="LC4",(T21*0.85)/AD21*AH21,ROUND(T21/AD21*AH21,0)),0)</f>
        <v/>
      </c>
      <c r="AK21">
        <f>IFERROR(INDEX(ADJ!$A$1:$BZ$1000,MATCH(PAYROLL!D21,ADJ!A$1:A$500,0),MATCH(PAYROLL!AK$2,ADJ!$2:$2,0)),0)</f>
        <v/>
      </c>
      <c r="AL21">
        <f>SUM(AJ21:AK21)</f>
        <v/>
      </c>
      <c r="AM21">
        <f>IF(AH21&gt;13,V21,ROUND(V21/AD21*AH21,0))</f>
        <v/>
      </c>
      <c r="AN21">
        <f>IF(AD21=0,0,ROUND(W21/AD21*AI21,0))</f>
        <v/>
      </c>
      <c r="AO21">
        <f>ROUND(X21*AH21,0)</f>
        <v/>
      </c>
      <c r="AP21">
        <f>IF(AD21=0,0,ROUND(Y21/AD21*AH21,0))</f>
        <v/>
      </c>
      <c r="AQ21">
        <f>IFERROR(IF((AE21+AF21+AG21)&gt;13,Z21,ROUND(Z21/AD21*AH21,0)),0)</f>
        <v/>
      </c>
      <c r="AR21">
        <f>IF(AD21=0,0,ROUND(AA50/AD21*AH21,0))</f>
        <v/>
      </c>
      <c r="AS21">
        <f>IFERROR(IF((AE21+AF21+AG21)&gt;13,AB21,ROUND(AB21/AD21*AH21,0)),0)</f>
        <v/>
      </c>
      <c r="AT21">
        <f>IFERROR(INDEX(ADJ!$A$1:$BZ$1000,MATCH(PAYROLL!D21,ADJ!A$1:A$500,0),MATCH(PAYROLL!AT$2,ADJ!$2:$2,0)),0)</f>
        <v/>
      </c>
      <c r="AU21">
        <f>ROUND(SUM(AM21:AT21),0)</f>
        <v/>
      </c>
      <c r="AV21">
        <f>IFERROR(INDEX(TIMESHEET!$A$1:$AI$5000,MATCH(PAYROLL!D21,TIMESHEET!A$1:A$500,0),MATCH("T620",TIMESHEET!$2:$2,0)),0)</f>
        <v/>
      </c>
      <c r="AW21">
        <f>IFERROR(INDEX(TIMESHEET!$A$1:$AI$5000,MATCH(PAYROLL!D21,TIMESHEET!A$1:A$500,0),MATCH("T601",TIMESHEET!$2:$2,0)),0)</f>
        <v/>
      </c>
      <c r="AX21">
        <f>IFERROR(INDEX(TIMESHEET!$A$1:$AI$5000,MATCH(PAYROLL!D21,TIMESHEET!A$1:A$500,0),MATCH("T602",TIMESHEET!$2:$2,0)),0)</f>
        <v/>
      </c>
      <c r="AY21">
        <f>IFERROR(INDEX(TIMESHEET!$A$1:$AI$5000,MATCH(PAYROLL!D21,TIMESHEET!A$1:A$500,0),MATCH("T603",TIMESHEET!$2:$2,0)),0)</f>
        <v/>
      </c>
      <c r="AZ21">
        <f>IFERROR(INDEX(TIMESHEET!$A$1:$AI$5000,MATCH(PAYROLL!D21,TIMESHEET!A$1:A$500,0),MATCH("T611",TIMESHEET!$2:$2,0)),0)</f>
        <v/>
      </c>
      <c r="BA21">
        <f>IFERROR(INDEX(TIMESHEET!$A$1:$AI$5000,MATCH(PAYROLL!D21,TIMESHEET!A$1:A$500,0),MATCH("T612",TIMESHEET!$2:$2,0)),0)</f>
        <v/>
      </c>
      <c r="BB21">
        <f>IFERROR(INDEX(TIMESHEET!$A$1:$AI$5000,MATCH(PAYROLL!D21,TIMESHEET!A$1:A$500,0),MATCH("T613",TIMESHEET!$2:$2,0)),0)</f>
        <v/>
      </c>
      <c r="BC21">
        <f>IFERROR(INDEX(TIMESHEET!$A$1:$AI$5000,MATCH(PAYROLL!D21,TIMESHEET!A$1:A$500,0),MATCH("T500",TIMESHEET!$2:$2,0)),0)</f>
        <v/>
      </c>
      <c r="BD21">
        <f>IFERROR((T21+V21)/AD21/8*(AV21+AW21*1.5+AX21*2+AY21*3+AZ21*2.1+BA21*2.7+BB21*3.9+BC21*0.3),0)</f>
        <v/>
      </c>
      <c r="BE21">
        <f>IFERROR(INDEX(ADJ!$A$1:$BZ$1000,MATCH(PAYROLL!$D21,ADJ!A$1:A$500,0),MATCH(PAYROLL!BE$2,ADJ!$2:$2,0)),0)</f>
        <v/>
      </c>
      <c r="BF21">
        <f>IFERROR(INDEX(ADJ!$A$1:$BZ$1000,MATCH(PAYROLL!D21,ADJ!A$1:A$500,0),MATCH(PAYROLL!BF$2,ADJ!$2:$2,0)),0)</f>
        <v/>
      </c>
      <c r="BG21">
        <f>IFERROR(INDEX(ADJ!$A$1:$BZ$1000,MATCH(PAYROLL!D21,ADJ!A$1:A$500,0),MATCH(PAYROLL!BG$2,ADJ!$2:$2,0)),0)</f>
        <v/>
      </c>
      <c r="BH21">
        <f>IFERROR(INDEX(ADJ!$A$1:$BZ$1000,MATCH(PAYROLL!D21,ADJ!A$1:A$500,0),MATCH(PAYROLL!BH$2,ADJ!$2:$2,0)),0)</f>
        <v/>
      </c>
      <c r="BI21">
        <f>IFERROR(INDEX(ADJ!$A$1:$BZ$1000,MATCH(PAYROLL!D21,ADJ!A$1:A$500,0),MATCH(PAYROLL!BI$2,ADJ!$2:$2,0)),0)</f>
        <v/>
      </c>
      <c r="BJ21">
        <f>SUM(BE21:BI21)</f>
        <v/>
      </c>
      <c r="BK21">
        <f>IFERROR(IF(INDEX(PIS!N$1:N$500,MATCH(D21,PIS!C$1:C$500))="LC12",(T21*21.5%)/AD21*AH21,0),0)</f>
        <v/>
      </c>
      <c r="BL21">
        <f>IFERROR(INDEX(ADJ!$A$1:$BZ$1000,MATCH(PAYROLL!D21,ADJ!A$1:A$500,0),MATCH(PAYROLL!BL$2,ADJ!$2:$2,0)),0)</f>
        <v/>
      </c>
      <c r="BM21">
        <f>IFERROR(INDEX(ADJ!$A$1:$BZ$1000,MATCH(PAYROLL!D21,ADJ!A$1:A$500,0),MATCH(PAYROLL!BM$2,ADJ!$2:$2,0)),0)</f>
        <v/>
      </c>
      <c r="BN21">
        <f>IFERROR(INDEX(ADJ!$A$1:$BZ$1000,MATCH(PAYROLL!D21,ADJ!A$1:A$500,0),MATCH(PAYROLL!BN$2,ADJ!$2:$2,0)),0)</f>
        <v/>
      </c>
      <c r="BO21">
        <f>SUM(AL21,AU21,BD21,BJ21,BK21:BN21)</f>
        <v/>
      </c>
      <c r="BP21">
        <f>BN21+AP21</f>
        <v/>
      </c>
      <c r="BQ21">
        <f>IFERROR(ROUND(IF(LEFT(INDEX(PIS!O$1:O$500,MATCH(D21,PIS!C$1:C$500)),1)="D",T21/8*(BC21*0.3),IF(LEFT(INDEX(PIS!O$1:O$500,MATCH(D21,PIS!C$1:C$500)),1)="H",T21*($BC21*0.3),T21/$AD21/8*($BC21*0.3))),0),0)</f>
        <v/>
      </c>
      <c r="BR21">
        <f>IF(AO21&lt;1,0,MIN(AO21,730000))</f>
        <v/>
      </c>
      <c r="BS21">
        <f>IFERROR(ROUND((BD21-SUM(AV21:BB21)*T21/AD21/8),0)-BQ21,0)</f>
        <v/>
      </c>
      <c r="BT21">
        <f>AN21</f>
        <v/>
      </c>
      <c r="BU21">
        <f>SUM(BP21:BT21)</f>
        <v/>
      </c>
      <c r="BV21">
        <f>BO21-BU21</f>
        <v/>
      </c>
      <c r="BW21">
        <f>IFERROR(IF(RIGHT(INDEX(PIS!O$1:O$500,MATCH(D21,PIS!C$1:C$500)),5)="Gross",MIN(U21+V21,VLOOKUP("R700",TSC!B:C,2,0)*VLOOKUP("R101",TSC!B:C,2,0))*VLOOKUP("R701",TSC!B:C,2,0)%,0),0)</f>
        <v/>
      </c>
      <c r="BX21">
        <f>IFERROR(IF(RIGHT(INDEX(PIS!O$1:O$500,MATCH(D21,PIS!C$1:C$500)),5)="Gross",MIN(U21+V21,VLOOKUP("R700",TSC!B:C,2,0)*VLOOKUP("R101",TSC!B:C,2,0))*VLOOKUP("T704",TSC!B:C,2,0)%,0),0)</f>
        <v/>
      </c>
      <c r="BY21">
        <f>IFERROR(IF(RIGHT(INDEX(PIS!O$1:O$500,MATCH(D21,PIS!C$1:C$500)),5)="Gross",MIN(U21+V21,VLOOKUP("R700",TSC!B:C,2,0)*VLOOKUP("1",TSC!F:G,2,0))*VLOOKUP("T705",TSC!B:C,2,0)%,0),0)</f>
        <v/>
      </c>
      <c r="BZ21">
        <f>IFERROR(INDEX(ADJ!$A$1:$BZ$1000,MATCH(PAYROLL!D21,ADJ!A$1:A$500,0),MATCH(PAYROLL!BZ$2,ADJ!$2:$2,0)),0)</f>
        <v/>
      </c>
      <c r="CA21">
        <f>IFERROR(INDEX(ADJ!$A$1:$BZ$1000,MATCH(PAYROLL!D21,ADJ!A$1:A$500,0),MATCH(PAYROLL!CA$2,ADJ!$2:$2,0)),0)</f>
        <v/>
      </c>
      <c r="CB21">
        <f>SUM(BW21:CA21)</f>
        <v/>
      </c>
      <c r="CC21">
        <f>IFERROR(INDEX(PIS!$A$1:$BZ$1000,MATCH(PAYROLL!D21,PIS!C$1:C$500,0),MATCH(PAYROLL!CC$1,PIS!$1:$1,0)),0)</f>
        <v/>
      </c>
      <c r="CD21">
        <f>IFERROR(IF(OR(INDEX(PIS!P$1:P$500,MATCH(D21,PIS!C$1:C$500,0))="LT2",INDEX(PIS!P$1:P$500,MATCH(D21,PIS!C$1:C$500,0))="P10"),0,SUM(CB21,CC21*VLOOKUP("R601",TSC!B:C,2,0),VLOOKUP("R602",TSC!B:C,2,0))),0)</f>
        <v/>
      </c>
      <c r="CE21">
        <f>MAX(BV21-CD21,0)</f>
        <v/>
      </c>
      <c r="CF21">
        <f>IFERROR(IF(OR(RIGHT(INDEX(PIS!P$1:P$500,MATCH(D21,PIS!C$1:C$500)),5)="P10",RIGHT(INDEX(PIS!P$1:P$500,MATCH(D21,PIS!C$1:C$500)),5)="CK"),0,IF(CE21&lt;=5000000,CE21*5%,IF(CE21&lt;=10000000,CE21*10%-250000,IF(CE21&lt;=18000000,CE21*15%-750000,IF(CE21&lt;=32000000,CE21*20%-1650000,IF(CE21&lt;=52000000,CE21*25%-3250000,IF(CE21&lt;=80000000,BG21*30%-5850000,CE21*35%-9850000))))))),0)</f>
        <v/>
      </c>
      <c r="CG21">
        <f>IFERROR(IF(OR(INDEX(PIS!P$1:P$500,MATCH(D21,PIS!C$1:C$500))="LT",INDEX(PIS!P$1:P$500,MATCH(D21,PIS!C$1:C$500))="CK"),0,IF(CE21&lt;2000000,0,CE21*10%)),0)</f>
        <v/>
      </c>
      <c r="CH21">
        <f>IFERROR(INDEX(ADJ!$A$1:$BZ$1000,MATCH(PAYROLL!D21,ADJ!A$1:A$500,0),MATCH(PAYROLL!CH$2,ADJ!$2:$2,0)),0)</f>
        <v/>
      </c>
      <c r="CI21">
        <f>IFERROR(INDEX(ADJ!$A$1:$BZ$1000,MATCH(PAYROLL!D21,ADJ!A$1:A$500,0),MATCH(PAYROLL!CI$2,ADJ!$2:$2,0)),0)</f>
        <v/>
      </c>
      <c r="CJ21">
        <f>IFERROR(INDEX(ADJ!$A$1:$BZ$1000,MATCH(PAYROLL!D21,ADJ!A$1:A$500,0),MATCH(PAYROLL!CJ$2,ADJ!$2:$2,0)),0)</f>
        <v/>
      </c>
      <c r="CK21">
        <f>SUM(CF21:CJ21)</f>
        <v/>
      </c>
      <c r="CL21">
        <f>ROUND(SUM(CG21:CJ21),0)</f>
        <v/>
      </c>
      <c r="CM21">
        <f>IFERROR(INDEX(CSDA!D$1:D$500,MATCH($CM$2,CSDA!C$1:C$500,0))*INDEX(PIS!V$1:V$500,MATCH(D21,PIS!C$1:C$500))+INDEX(ADJ!$A$1:$BZ$1000,MATCH(PAYROLL!D21,ADJ!A$1:A$500,0),MATCH(PAYROLL!CM$2,ADJ!$2:$2,0)),0)</f>
        <v/>
      </c>
      <c r="CN21">
        <f>IFERROR(INDEX(ADJ!$A$1:$BZ$1000,MATCH(PAYROLL!D21,ADJ!A$1:A$500,0),MATCH(PAYROLL!CN$2,ADJ!$2:$2,0)),0)</f>
        <v/>
      </c>
      <c r="CO21">
        <f>IFERROR(INDEX(ADJ!$A$1:$BZ$1000,MATCH(PAYROLL!D21,ADJ!A$1:A$500,0),MATCH(PAYROLL!CO$2,ADJ!$2:$2,0)),0)</f>
        <v/>
      </c>
      <c r="CP21">
        <f>BO21-CK21-CH21-CL21-CM21-CN21-CO21-CB21</f>
        <v/>
      </c>
      <c r="CQ21">
        <f>IFERROR(IF(RIGHT(INDEX(PIS!O$1:O$500,MATCH(D21,PIS!C$1:C$500,0)),5)="Gross",MIN(U21+V21,VLOOKUP("R700",TSC!B:C,2,0)*VLOOKUP("R101",TSC!B:C,2,0))*(VLOOKUP("T711",TSC!B:C,2,0)+VLOOKUP("T712",TSC!B:C,2,0))%,MIN(T21+V21,VLOOKUP("R700",TSC!B:C,2,0)*VLOOKUP("R101",TSC!B:C,2,0))*(VLOOKUP("T711",TSC!B:C,2,0)+VLOOKUP("T712",TSC!B:C,2,0)+VLOOKUP("R701",TSC!B:C,2,0))%),0)</f>
        <v/>
      </c>
      <c r="CR21">
        <f>IFERROR(IF(RIGHT(INDEX(PIS!O$1:O$500,MATCH(D21,PIS!C$1:C$500,0)),5)="Gross",MIN(U21+V21,VLOOKUP("R700",TSC!B:C,2,0)*VLOOKUP("R101",TSC!B:C,2,0))*(VLOOKUP("T714",TSC!B:C,2,0))%,MIN(T21+V21,VLOOKUP("R700",TSC!B:C,2,0)*VLOOKUP("R101",TSC!B:C,2,0))*(VLOOKUP("T704",TSC!B:C,2,0)+VLOOKUP("T714",TSC!B:C,2,0))%),0)</f>
        <v/>
      </c>
      <c r="CS21">
        <f>IFERROR(IF(RIGHT(INDEX(PIS!O$1:O$500,MATCH(D21,PIS!C$1:C$500,0)),5)="Gross",MIN(U21+V21,VLOOKUP("R700",TSC!B:C,2,0)*VLOOKUP("R101",TSC!B:C,2,0))*VLOOKUP("T705",TSC!B:C,2,0)%,MIN(T21+V21,VLOOKUP("R700",TSC!B:C,2,0)*VLOOKUP("R101",TSC!B:C,2,0))*VLOOKUP("T705",TSC!B:C,2,0)%),0)</f>
        <v/>
      </c>
      <c r="CT21">
        <f>IFERROR(IF(RIGHT(INDEX(PIS!O$1:O$500,MATCH(D21,PIS!C$1:C$500,0)),5)="Gross",MIN(U21+V21,VLOOKUP("R700",TSC!B:C,2,0)*VLOOKUP("R101",TSC!B:C,2,0))*(VLOOKUP("T713",TSC!B:C,2,0))%,MIN(T21+V21,VLOOKUP("R700",TSC!B:C,2,0)*VLOOKUP("R101",TSC!B:C,2,0))*(VLOOKUP("T713",TSC!B:C,2,0))%),0)</f>
        <v/>
      </c>
      <c r="CU21">
        <f>IFERROR(INDEX(ADJ!$A$1:$BZ$1000,MATCH(PAYROLL!D21,ADJ!A$1:A$500,0),MATCH(PAYROLL!CU$2,ADJ!$2:$2,0)),0)</f>
        <v/>
      </c>
      <c r="CV21">
        <f>IFERROR(INDEX(ADJ!$A$1:$BZ$1000,MATCH(PAYROLL!D21,ADJ!A$1:A$500,0),MATCH(PAYROLL!CV$2,ADJ!$2:$2,0)),0)</f>
        <v/>
      </c>
      <c r="CW21">
        <f>SUM(CQ21:CV21)</f>
        <v/>
      </c>
      <c r="CX21">
        <f>ROUND(IF(CQ21&gt;0,T21+V21*VLOOKUP("R202",TSC!$B$1:$C$500,2,0),0),0)</f>
        <v/>
      </c>
      <c r="CY21">
        <f>IFERROR(INDEX(CSDA!D$1:D$500,MATCH($CY$2,CSDA!C$1:C$500,0)),0)</f>
        <v/>
      </c>
      <c r="CZ21">
        <f>ROUND(T21*0.7%,0)</f>
        <v/>
      </c>
      <c r="DA21">
        <f>ROUND(T21/12,0)</f>
        <v/>
      </c>
      <c r="DB21">
        <f ref="DB21" t="array">IFERROR(INDEX(CSDA!D$1:D$500,MATCH("Trích giữ"&amp;PAYROLL!DB$2,CSDA!A$1:A$500&amp;CSDA!C$1:C$500,0)),0)</f>
        <v/>
      </c>
      <c r="DC21">
        <f ref="DC21" t="array">IFERROR(INDEX(CSDA!D$1:D$500,MATCH("Trích giữ"&amp;PAYROLL!DC$2,CSDA!A$1:A$500&amp;CSDA!C$1:C$500,0)),0)</f>
        <v/>
      </c>
      <c r="DD21">
        <f ref="DD21" t="array">IFERROR(INDEX(CSDA!D$1:D$500,MATCH("Trích giữ"&amp;PAYROLL!DD$2,CSDA!A$1:A$500&amp;CSDA!C$1:C$500,0)),0)</f>
        <v/>
      </c>
      <c r="DE21">
        <f>IFERROR(INDEX(CSDA!D$1:D$500,MATCH(PAYROLL!DE$2,CSDA!C$1:C$500,0)),0)</f>
        <v/>
      </c>
      <c r="DF21">
        <f ref="DF21" t="array">IFERROR(INDEX(CSDA!D$1:D$500,MATCH("Trích giữ"&amp;PAYROLL!DF$2,CSDA!A$1:A$500&amp;CSDA!C$1:C$500,0)),0)</f>
        <v/>
      </c>
      <c r="DG21">
        <f>ROUND(T21/26,0)</f>
        <v/>
      </c>
      <c r="DH21">
        <f ref="DH21" t="array">IFERROR(INDEX(CSDA!D$1:D$500,MATCH("Trích giữ"&amp;PAYROLL!DH$2,CSDA!A$1:A$500&amp;CSDA!C$1:C$500,0)),0)</f>
        <v/>
      </c>
      <c r="DI21">
        <f>IF(U21=0,T21*21.5%-BK21,0)</f>
        <v/>
      </c>
      <c r="DK21">
        <f ref="DK21" t="array">IFERROR(INDEX(CSDA!D$1:D$500,MATCH("Trích giữ"&amp;PAYROLL!DK$2,CSDA!A$1:A$500&amp;CSDA!C$1:C$500,0)),0)</f>
        <v/>
      </c>
      <c r="DL21">
        <f>IFERROR(INDEX(CSDA!D$1:D$500,MATCH(PAYROLL!DL$2,CSDA!C$1:C$500,0))/12,0)</f>
        <v/>
      </c>
      <c r="DM21">
        <f>SUM(DA21:DL21)</f>
        <v/>
      </c>
      <c r="DN21">
        <f>IFERROR(INDEX(ADJ!$A$1:$BZ$1000,MATCH(PAYROLL!D21,ADJ!A$1:A$500,0),MATCH(PAYROLL!DN$2,ADJ!$2:$2,0)),0)</f>
        <v/>
      </c>
      <c r="DO21">
        <f>IFERROR(SUM(BO21,DM21:DN21,CW21:CZ21)-DT21,0)</f>
        <v/>
      </c>
      <c r="DP21">
        <f ref="DP21" t="array">SUM(BV21*IFERROR(INDEX(CSDA!D$1:D$500,MATCH(BV$2,CSDA!C$1:C$500,0)),0)%,CW21*IFERROR(INDEX(CSDA!D$1:D$500,MATCH(CW$2,CSDA!C$1:C$500,0)),0)%,CZ21*IFERROR(INDEX(CSDA!D$1:D$500,MATCH(CZ$2,CSDA!C$1:C$500,0)),0)%,DA21*IFERROR(INDEX(CSDA!D$1:D$500,MATCH(DA$2,CSDA!C$1:C$500,0)),0)%,DE21*IFERROR(INDEX(CSDA!D$1:D$500,MATCH("Phí dịch vụ"&amp;PAYROLL!DE$2,CSDA!A$1:A$500&amp;CSDA!C$1:C$500,0)),0)%,DB21*IFERROR(INDEX(CSDA!D$1:D$500,MATCH("Phí dịch vụ"&amp;PAYROLL!DB$2,CSDA!A$1:A$500&amp;CSDA!C$1:C$500,0)),0)%,DG21*IFERROR(INDEX(CSDA!D$1:D$500,MATCH("Phí dịch vụ"&amp;PAYROLL!DG$2,CSDA!A$1:A$500&amp;CSDA!C$1:C$500,0)),0)%,DI21*IFERROR(INDEX(CSDA!D$1:D$500,MATCH("Phí dịch vụ"&amp;PAYROLL!DI$2,CSDA!A$1:A$500&amp;CSDA!C$1:C$500,0)),0)%,BM21*IFERROR(INDEX(CSDA!D$1:D$500,MATCH(BM$2,CSDA!C$1:C$500,0)),0)%)-BM21*7%</f>
        <v/>
      </c>
      <c r="DQ21">
        <f>IFERROR(INDEX(ADJ!$A$1:$BZ$1000,MATCH(PAYROLL!D21,ADJ!A$1:A$500,0),MATCH(PAYROLL!DQ$2,ADJ!$2:$2,0)),0)</f>
        <v/>
      </c>
      <c r="DR21">
        <f>IFERROR(INDEX(ADJ!$A$1:$BZ$1000,MATCH(PAYROLL!D21,ADJ!A$1:A$500,0),MATCH(PAYROLL!DR$2,ADJ!$2:$2,0)),0)</f>
        <v/>
      </c>
      <c r="DS21">
        <f>SUM(DP21:DR21)</f>
        <v/>
      </c>
      <c r="DT21">
        <f>EK21</f>
        <v/>
      </c>
      <c r="DU21">
        <f>SUM(DO21:DR21)</f>
        <v/>
      </c>
      <c r="DV21">
        <f>ROUND(DU21*0.1,0)</f>
        <v/>
      </c>
      <c r="DW21">
        <f>DU21+DV21</f>
        <v/>
      </c>
      <c r="DZ21">
        <f>IFERROR(INDEX(ADJ!$A$1:$BZ$1000,MATCH(PAYROLL!$D21,ADJ!A$1:A$500,0),MATCH(PAYROLL!DZ$2,ADJ!$2:$2,0)),0)</f>
        <v/>
      </c>
      <c r="EA21">
        <f>IFERROR(INDEX(ADJ!$A$1:$BZ$1000,MATCH(PAYROLL!$D21,ADJ!A$1:A$500,0),MATCH(PAYROLL!EA$2,ADJ!$2:$2,0)),0)</f>
        <v/>
      </c>
      <c r="EB21">
        <f>IFERROR(INDEX(ADJ!$A$1:$BZ$1000,MATCH(PAYROLL!$D21,ADJ!A$1:A$500,0),MATCH(PAYROLL!EB$2,ADJ!$2:$2,0)),0)</f>
        <v/>
      </c>
      <c r="EC21">
        <f>IFERROR(INDEX(ADJ!$A$1:$BZ$1000,MATCH(PAYROLL!$D21,ADJ!A$1:A$500,0),MATCH(PAYROLL!EC$2,ADJ!$2:$2,0)),0)</f>
        <v/>
      </c>
      <c r="ED21">
        <f>IFERROR(INDEX(ADJ!$A$1:$BZ$1000,MATCH(PAYROLL!$D21,ADJ!A$1:A$500,0),MATCH(PAYROLL!ED$2,ADJ!$2:$2,0)),0)</f>
        <v/>
      </c>
      <c r="EE21">
        <f>IFERROR(INDEX(ADJ!$A$1:$BZ$1000,MATCH(PAYROLL!$D21,ADJ!A$1:A$500,0),MATCH(PAYROLL!EE$2,ADJ!$2:$2,0)),0)</f>
        <v/>
      </c>
      <c r="EF21">
        <f>IFERROR(INDEX(ADJ!$A$1:$BZ$1000,MATCH(PAYROLL!$D21,ADJ!A$1:A$500,0),MATCH(PAYROLL!EF$2,ADJ!$2:$2,0)),0)</f>
        <v/>
      </c>
      <c r="EG21">
        <f>IFERROR(INDEX(ADJ!$A$1:$BZ$1000,MATCH(PAYROLL!$D21,ADJ!A$1:A$500,0),MATCH(PAYROLL!EG$2,ADJ!$2:$2,0)),0)</f>
        <v/>
      </c>
      <c r="EH21">
        <f>IFERROR(INDEX(ADJ!$A$1:$BZ$1000,MATCH(PAYROLL!$D21,ADJ!A$1:A$500,0),MATCH(PAYROLL!EH$2,ADJ!$2:$2,0)),0)</f>
        <v/>
      </c>
      <c r="EI21">
        <f>IFERROR(INDEX(ADJ!$A$1:$BZ$1000,MATCH(PAYROLL!D21,ADJ!A$1:A$500,0),MATCH(PAYROLL!EI$2,ADJ!$2:$2,0)),0)</f>
        <v/>
      </c>
      <c r="EJ21">
        <f>IFERROR(INDEX(ADJ!$A$1:$BZ$1000,MATCH(PAYROLL!$D21,ADJ!A$1:A$500,0),MATCH(PAYROLL!EJ$2,ADJ!$2:$2,0)),0)</f>
        <v/>
      </c>
      <c r="EK21">
        <f>SUM(DZ21:EJ21)</f>
        <v/>
      </c>
    </row>
    <row r="22">
      <c r="A22" t="n">
        <v>20</v>
      </c>
      <c r="B22" t="inlineStr">
        <is>
          <t>Nguyễn Văn Phương</t>
        </is>
      </c>
      <c r="D22" t="inlineStr">
        <is>
          <t>158199-01</t>
        </is>
      </c>
      <c r="S22">
        <f>IFERROR(INDEX(PIS!$A$1:$BZ$1000,MATCH($D22,PIS!C$1:C$500,0),MATCH("Lương CB tháng trước",PIS!$1:$1,0)),0)</f>
        <v/>
      </c>
      <c r="T22">
        <f>IFERROR(INDEX(PIS!$A$1:$BZ$1000,MATCH($D22,PIS!C$1:C$500,0),MATCH("Lương CB hiện tại",PIS!$1:$1,0)),0)</f>
        <v/>
      </c>
      <c r="U22">
        <f>IFERROR(INDEX(PIS!$A$1:$BZ$1000,MATCH($D22,PIS!C$1:C$500,0),MATCH("Lương đóng BHBB",PIS!$1:$1,0)),0)</f>
        <v/>
      </c>
      <c r="V22">
        <f>IFERROR(INDEX(PIS!$A$1:$BZ$1000,MATCH($D22,PIS!C$1:C$500,0),MATCH(V$2,PIS!$2:$2,0)),0)</f>
        <v/>
      </c>
      <c r="W22">
        <f>IFERROR(INDEX(PIS!$A$1:$BZ$1000,MATCH($D22,PIS!C$1:C$500,0),MATCH(W$2,PIS!$2:$2,0)),0)</f>
        <v/>
      </c>
      <c r="X22">
        <f>IFERROR(INDEX(PIS!$A$1:$BZ$1000,MATCH($D22,PIS!C$1:C$500,0),MATCH(X$2,PIS!$2:$2,0)),0)</f>
        <v/>
      </c>
      <c r="Y22">
        <f>IFERROR(INDEX(PIS!$A$1:$BZ$1000,MATCH($D22,PIS!C$1:C$500,0),MATCH(Y$2,PIS!$2:$2,0)),0)</f>
        <v/>
      </c>
      <c r="Z22">
        <f>IFERROR(INDEX(PIS!$A$1:$BZ$1000,MATCH($D22,PIS!C$1:C$500,0),MATCH(Z$2,PIS!$2:$2,0)),0)</f>
        <v/>
      </c>
      <c r="AA22">
        <f>IFERROR(INDEX(PIS!$A$1:$BZ$1000,MATCH($D22,PIS!C$1:C$500,0),MATCH(AA$2,PIS!$2:$2,0)),0)</f>
        <v/>
      </c>
      <c r="AB22">
        <f>IFERROR(INDEX(PIS!$A$1:$BZ$1000,MATCH($D22,PIS!C$1:C$500,0),MATCH(AB$2,PIS!$2:$2,0)),0)</f>
        <v/>
      </c>
      <c r="AC22">
        <f>SUM(V22:AB22)</f>
        <v/>
      </c>
      <c r="AD22">
        <f>IFERROR(INDEX(TIMESHEET!$A$1:$AI$5000,MATCH($D22,TIMESHEET!A$1:A$500,0),MATCH("T100",TIMESHEET!$2:$2,0)),0)</f>
        <v/>
      </c>
      <c r="AE22">
        <f>IFERROR(INDEX(TIMESHEET!$A$1:$AI$5000,MATCH($D22,TIMESHEET!A$1:A$500,0),MATCH("T202",TIMESHEET!$2:$2,0)),0)</f>
        <v/>
      </c>
      <c r="AF22">
        <f>IFERROR(INDEX(TIMESHEET!$A$1:$AI$5000,MATCH($D22,TIMESHEET!A$1:A$500,0),MATCH("T302",TIMESHEET!$2:$2,0)),0)</f>
        <v/>
      </c>
      <c r="AG22">
        <f>IFERROR(INDEX(TIMESHEET!$A$1:$AI$5000,MATCH($D22,TIMESHEET!A$1:A$500,0),MATCH("T406",TIMESHEET!$2:$2,0)),0)</f>
        <v/>
      </c>
      <c r="AH22">
        <f>IF(SUM(AE22:AG22)&gt;=26,26,SUM(AE22:AG22))</f>
        <v/>
      </c>
      <c r="AI22">
        <f>IFERROR(INDEX(TIMESHEET!$A$1:$AI$5000,MATCH($D22,TIMESHEET!A$1:A$500,0),MATCH("T701",TIMESHEET!$2:$2,0)),0)</f>
        <v/>
      </c>
      <c r="AJ22">
        <f>IFERROR(IF(INDEX(PIS!N$1:N$500,MATCH(D22,PIS!C$1:C$500,0))="LC4",(T22*0.85)/AD22*AH22,ROUND(T22/AD22*AH22,0)),0)</f>
        <v/>
      </c>
      <c r="AK22">
        <f>IFERROR(INDEX(ADJ!$A$1:$BZ$1000,MATCH(PAYROLL!D22,ADJ!A$1:A$500,0),MATCH(PAYROLL!AK$2,ADJ!$2:$2,0)),0)</f>
        <v/>
      </c>
      <c r="AL22">
        <f>SUM(AJ22:AK22)</f>
        <v/>
      </c>
      <c r="AM22">
        <f>IF(AH22&gt;13,V22,ROUND(V22/AD22*AH22,0))</f>
        <v/>
      </c>
      <c r="AN22">
        <f>IF(AD22=0,0,ROUND(W22/AD22*AI22,0))</f>
        <v/>
      </c>
      <c r="AO22">
        <f>ROUND(X22*AH22,0)</f>
        <v/>
      </c>
      <c r="AP22">
        <f>IF(AD22=0,0,ROUND(Y22/AD22*AH22,0))</f>
        <v/>
      </c>
      <c r="AQ22">
        <f>IFERROR(IF((AE22+AF22+AG22)&gt;13,Z22,ROUND(Z22/AD22*AH22,0)),0)</f>
        <v/>
      </c>
      <c r="AR22">
        <f>IF(AD22=0,0,ROUND(AA51/AD22*AH22,0))</f>
        <v/>
      </c>
      <c r="AS22">
        <f>IFERROR(IF((AE22+AF22+AG22)&gt;13,AB22,ROUND(AB22/AD22*AH22,0)),0)</f>
        <v/>
      </c>
      <c r="AT22">
        <f>IFERROR(INDEX(ADJ!$A$1:$BZ$1000,MATCH(PAYROLL!D22,ADJ!A$1:A$500,0),MATCH(PAYROLL!AT$2,ADJ!$2:$2,0)),0)</f>
        <v/>
      </c>
      <c r="AU22">
        <f>ROUND(SUM(AM22:AT22),0)</f>
        <v/>
      </c>
      <c r="AV22">
        <f>IFERROR(INDEX(TIMESHEET!$A$1:$AI$5000,MATCH(PAYROLL!D22,TIMESHEET!A$1:A$500,0),MATCH("T620",TIMESHEET!$2:$2,0)),0)</f>
        <v/>
      </c>
      <c r="AW22">
        <f>IFERROR(INDEX(TIMESHEET!$A$1:$AI$5000,MATCH(PAYROLL!D22,TIMESHEET!A$1:A$500,0),MATCH("T601",TIMESHEET!$2:$2,0)),0)</f>
        <v/>
      </c>
      <c r="AX22">
        <f>IFERROR(INDEX(TIMESHEET!$A$1:$AI$5000,MATCH(PAYROLL!D22,TIMESHEET!A$1:A$500,0),MATCH("T602",TIMESHEET!$2:$2,0)),0)</f>
        <v/>
      </c>
      <c r="AY22">
        <f>IFERROR(INDEX(TIMESHEET!$A$1:$AI$5000,MATCH(PAYROLL!D22,TIMESHEET!A$1:A$500,0),MATCH("T603",TIMESHEET!$2:$2,0)),0)</f>
        <v/>
      </c>
      <c r="AZ22">
        <f>IFERROR(INDEX(TIMESHEET!$A$1:$AI$5000,MATCH(PAYROLL!D22,TIMESHEET!A$1:A$500,0),MATCH("T611",TIMESHEET!$2:$2,0)),0)</f>
        <v/>
      </c>
      <c r="BA22">
        <f>IFERROR(INDEX(TIMESHEET!$A$1:$AI$5000,MATCH(PAYROLL!D22,TIMESHEET!A$1:A$500,0),MATCH("T612",TIMESHEET!$2:$2,0)),0)</f>
        <v/>
      </c>
      <c r="BB22">
        <f>IFERROR(INDEX(TIMESHEET!$A$1:$AI$5000,MATCH(PAYROLL!D22,TIMESHEET!A$1:A$500,0),MATCH("T613",TIMESHEET!$2:$2,0)),0)</f>
        <v/>
      </c>
      <c r="BC22">
        <f>IFERROR(INDEX(TIMESHEET!$A$1:$AI$5000,MATCH(PAYROLL!D22,TIMESHEET!A$1:A$500,0),MATCH("T500",TIMESHEET!$2:$2,0)),0)</f>
        <v/>
      </c>
      <c r="BD22">
        <f>IFERROR((T22+V22)/AD22/8*(AV22+AW22*1.5+AX22*2+AY22*3+AZ22*2.1+BA22*2.7+BB22*3.9+BC22*0.3),0)</f>
        <v/>
      </c>
      <c r="BE22">
        <f>IFERROR(INDEX(ADJ!$A$1:$BZ$1000,MATCH(PAYROLL!$D22,ADJ!A$1:A$500,0),MATCH(PAYROLL!BE$2,ADJ!$2:$2,0)),0)</f>
        <v/>
      </c>
      <c r="BF22">
        <f>IFERROR(INDEX(ADJ!$A$1:$BZ$1000,MATCH(PAYROLL!D22,ADJ!A$1:A$500,0),MATCH(PAYROLL!BF$2,ADJ!$2:$2,0)),0)</f>
        <v/>
      </c>
      <c r="BG22">
        <f>IFERROR(INDEX(ADJ!$A$1:$BZ$1000,MATCH(PAYROLL!D22,ADJ!A$1:A$500,0),MATCH(PAYROLL!BG$2,ADJ!$2:$2,0)),0)</f>
        <v/>
      </c>
      <c r="BH22">
        <f>IFERROR(INDEX(ADJ!$A$1:$BZ$1000,MATCH(PAYROLL!D22,ADJ!A$1:A$500,0),MATCH(PAYROLL!BH$2,ADJ!$2:$2,0)),0)</f>
        <v/>
      </c>
      <c r="BI22">
        <f>IFERROR(INDEX(ADJ!$A$1:$BZ$1000,MATCH(PAYROLL!D22,ADJ!A$1:A$500,0),MATCH(PAYROLL!BI$2,ADJ!$2:$2,0)),0)</f>
        <v/>
      </c>
      <c r="BJ22">
        <f>SUM(BE22:BI22)</f>
        <v/>
      </c>
      <c r="BK22">
        <f>IFERROR(IF(INDEX(PIS!N$1:N$500,MATCH(D22,PIS!C$1:C$500))="LC12",(T22*21.5%)/AD22*AH22,0),0)</f>
        <v/>
      </c>
      <c r="BL22">
        <f>IFERROR(INDEX(ADJ!$A$1:$BZ$1000,MATCH(PAYROLL!D22,ADJ!A$1:A$500,0),MATCH(PAYROLL!BL$2,ADJ!$2:$2,0)),0)</f>
        <v/>
      </c>
      <c r="BM22">
        <f>IFERROR(INDEX(ADJ!$A$1:$BZ$1000,MATCH(PAYROLL!D22,ADJ!A$1:A$500,0),MATCH(PAYROLL!BM$2,ADJ!$2:$2,0)),0)</f>
        <v/>
      </c>
      <c r="BN22">
        <f>IFERROR(INDEX(ADJ!$A$1:$BZ$1000,MATCH(PAYROLL!D22,ADJ!A$1:A$500,0),MATCH(PAYROLL!BN$2,ADJ!$2:$2,0)),0)</f>
        <v/>
      </c>
      <c r="BO22">
        <f>SUM(AL22,AU22,BD22,BJ22,BK22:BN22)</f>
        <v/>
      </c>
      <c r="BP22">
        <f>BN22+AP22</f>
        <v/>
      </c>
      <c r="BQ22">
        <f>IFERROR(ROUND(IF(LEFT(INDEX(PIS!O$1:O$500,MATCH(D22,PIS!C$1:C$500)),1)="D",T22/8*(BC22*0.3),IF(LEFT(INDEX(PIS!O$1:O$500,MATCH(D22,PIS!C$1:C$500)),1)="H",T22*($BC22*0.3),T22/$AD22/8*($BC22*0.3))),0),0)</f>
        <v/>
      </c>
      <c r="BR22">
        <f>IF(AO22&lt;1,0,MIN(AO22,730000))</f>
        <v/>
      </c>
      <c r="BS22">
        <f>IFERROR(ROUND((BD22-SUM(AV22:BB22)*T22/AD22/8),0)-BQ22,0)</f>
        <v/>
      </c>
      <c r="BT22">
        <f>AN22</f>
        <v/>
      </c>
      <c r="BU22">
        <f>SUM(BP22:BT22)</f>
        <v/>
      </c>
      <c r="BV22">
        <f>BO22-BU22</f>
        <v/>
      </c>
      <c r="BW22">
        <f>IFERROR(IF(RIGHT(INDEX(PIS!O$1:O$500,MATCH(D22,PIS!C$1:C$500)),5)="Gross",MIN(U22+V22,VLOOKUP("R700",TSC!B:C,2,0)*VLOOKUP("R101",TSC!B:C,2,0))*VLOOKUP("R701",TSC!B:C,2,0)%,0),0)</f>
        <v/>
      </c>
      <c r="BX22">
        <f>IFERROR(IF(RIGHT(INDEX(PIS!O$1:O$500,MATCH(D22,PIS!C$1:C$500)),5)="Gross",MIN(U22+V22,VLOOKUP("R700",TSC!B:C,2,0)*VLOOKUP("R101",TSC!B:C,2,0))*VLOOKUP("T704",TSC!B:C,2,0)%,0),0)</f>
        <v/>
      </c>
      <c r="BY22">
        <f>IFERROR(IF(RIGHT(INDEX(PIS!O$1:O$500,MATCH(D22,PIS!C$1:C$500)),5)="Gross",MIN(U22+V22,VLOOKUP("R700",TSC!B:C,2,0)*VLOOKUP("1",TSC!F:G,2,0))*VLOOKUP("T705",TSC!B:C,2,0)%,0),0)</f>
        <v/>
      </c>
      <c r="BZ22">
        <f>IFERROR(INDEX(ADJ!$A$1:$BZ$1000,MATCH(PAYROLL!D22,ADJ!A$1:A$500,0),MATCH(PAYROLL!BZ$2,ADJ!$2:$2,0)),0)</f>
        <v/>
      </c>
      <c r="CA22">
        <f>IFERROR(INDEX(ADJ!$A$1:$BZ$1000,MATCH(PAYROLL!D22,ADJ!A$1:A$500,0),MATCH(PAYROLL!CA$2,ADJ!$2:$2,0)),0)</f>
        <v/>
      </c>
      <c r="CB22">
        <f>SUM(BW22:CA22)</f>
        <v/>
      </c>
      <c r="CC22">
        <f>IFERROR(INDEX(PIS!$A$1:$BZ$1000,MATCH(PAYROLL!D22,PIS!C$1:C$500,0),MATCH(PAYROLL!CC$1,PIS!$1:$1,0)),0)</f>
        <v/>
      </c>
      <c r="CD22">
        <f>IFERROR(IF(OR(INDEX(PIS!P$1:P$500,MATCH(D22,PIS!C$1:C$500,0))="LT2",INDEX(PIS!P$1:P$500,MATCH(D22,PIS!C$1:C$500,0))="P10"),0,SUM(CB22,CC22*VLOOKUP("R601",TSC!B:C,2,0),VLOOKUP("R602",TSC!B:C,2,0))),0)</f>
        <v/>
      </c>
      <c r="CE22">
        <f>MAX(BV22-CD22,0)</f>
        <v/>
      </c>
      <c r="CF22">
        <f>IFERROR(IF(OR(RIGHT(INDEX(PIS!P$1:P$500,MATCH(D22,PIS!C$1:C$500)),5)="P10",RIGHT(INDEX(PIS!P$1:P$500,MATCH(D22,PIS!C$1:C$500)),5)="CK"),0,IF(CE22&lt;=5000000,CE22*5%,IF(CE22&lt;=10000000,CE22*10%-250000,IF(CE22&lt;=18000000,CE22*15%-750000,IF(CE22&lt;=32000000,CE22*20%-1650000,IF(CE22&lt;=52000000,CE22*25%-3250000,IF(CE22&lt;=80000000,BG22*30%-5850000,CE22*35%-9850000))))))),0)</f>
        <v/>
      </c>
      <c r="CG22">
        <f>IFERROR(IF(OR(INDEX(PIS!P$1:P$500,MATCH(D22,PIS!C$1:C$500))="LT",INDEX(PIS!P$1:P$500,MATCH(D22,PIS!C$1:C$500))="CK"),0,IF(CE22&lt;2000000,0,CE22*10%)),0)</f>
        <v/>
      </c>
      <c r="CH22">
        <f>IFERROR(INDEX(ADJ!$A$1:$BZ$1000,MATCH(PAYROLL!D22,ADJ!A$1:A$500,0),MATCH(PAYROLL!CH$2,ADJ!$2:$2,0)),0)</f>
        <v/>
      </c>
      <c r="CI22">
        <f>IFERROR(INDEX(ADJ!$A$1:$BZ$1000,MATCH(PAYROLL!D22,ADJ!A$1:A$500,0),MATCH(PAYROLL!CI$2,ADJ!$2:$2,0)),0)</f>
        <v/>
      </c>
      <c r="CJ22">
        <f>IFERROR(INDEX(ADJ!$A$1:$BZ$1000,MATCH(PAYROLL!D22,ADJ!A$1:A$500,0),MATCH(PAYROLL!CJ$2,ADJ!$2:$2,0)),0)</f>
        <v/>
      </c>
      <c r="CK22">
        <f>SUM(CF22:CJ22)</f>
        <v/>
      </c>
      <c r="CL22">
        <f>ROUND(SUM(CG22:CJ22),0)</f>
        <v/>
      </c>
      <c r="CM22">
        <f>IFERROR(INDEX(CSDA!D$1:D$500,MATCH($CM$2,CSDA!C$1:C$500,0))*INDEX(PIS!V$1:V$500,MATCH(D22,PIS!C$1:C$500))+INDEX(ADJ!$A$1:$BZ$1000,MATCH(PAYROLL!D22,ADJ!A$1:A$500,0),MATCH(PAYROLL!CM$2,ADJ!$2:$2,0)),0)</f>
        <v/>
      </c>
      <c r="CN22">
        <f>IFERROR(INDEX(ADJ!$A$1:$BZ$1000,MATCH(PAYROLL!D22,ADJ!A$1:A$500,0),MATCH(PAYROLL!CN$2,ADJ!$2:$2,0)),0)</f>
        <v/>
      </c>
      <c r="CO22">
        <f>IFERROR(INDEX(ADJ!$A$1:$BZ$1000,MATCH(PAYROLL!D22,ADJ!A$1:A$500,0),MATCH(PAYROLL!CO$2,ADJ!$2:$2,0)),0)</f>
        <v/>
      </c>
      <c r="CP22">
        <f>BO22-CK22-CH22-CL22-CM22-CN22-CO22-CB22</f>
        <v/>
      </c>
      <c r="CQ22">
        <f>IFERROR(IF(RIGHT(INDEX(PIS!O$1:O$500,MATCH(D22,PIS!C$1:C$500,0)),5)="Gross",MIN(U22+V22,VLOOKUP("R700",TSC!B:C,2,0)*VLOOKUP("R101",TSC!B:C,2,0))*(VLOOKUP("T711",TSC!B:C,2,0)+VLOOKUP("T712",TSC!B:C,2,0))%,MIN(T22+V22,VLOOKUP("R700",TSC!B:C,2,0)*VLOOKUP("R101",TSC!B:C,2,0))*(VLOOKUP("T711",TSC!B:C,2,0)+VLOOKUP("T712",TSC!B:C,2,0)+VLOOKUP("R701",TSC!B:C,2,0))%),0)</f>
        <v/>
      </c>
      <c r="CR22">
        <f>IFERROR(IF(RIGHT(INDEX(PIS!O$1:O$500,MATCH(D22,PIS!C$1:C$500,0)),5)="Gross",MIN(U22+V22,VLOOKUP("R700",TSC!B:C,2,0)*VLOOKUP("R101",TSC!B:C,2,0))*(VLOOKUP("T714",TSC!B:C,2,0))%,MIN(T22+V22,VLOOKUP("R700",TSC!B:C,2,0)*VLOOKUP("R101",TSC!B:C,2,0))*(VLOOKUP("T704",TSC!B:C,2,0)+VLOOKUP("T714",TSC!B:C,2,0))%),0)</f>
        <v/>
      </c>
      <c r="CS22">
        <f>IFERROR(IF(RIGHT(INDEX(PIS!O$1:O$500,MATCH(D22,PIS!C$1:C$500,0)),5)="Gross",MIN(U22+V22,VLOOKUP("R700",TSC!B:C,2,0)*VLOOKUP("R101",TSC!B:C,2,0))*VLOOKUP("T705",TSC!B:C,2,0)%,MIN(T22+V22,VLOOKUP("R700",TSC!B:C,2,0)*VLOOKUP("R101",TSC!B:C,2,0))*VLOOKUP("T705",TSC!B:C,2,0)%),0)</f>
        <v/>
      </c>
      <c r="CT22">
        <f>IFERROR(IF(RIGHT(INDEX(PIS!O$1:O$500,MATCH(D22,PIS!C$1:C$500,0)),5)="Gross",MIN(U22+V22,VLOOKUP("R700",TSC!B:C,2,0)*VLOOKUP("R101",TSC!B:C,2,0))*(VLOOKUP("T713",TSC!B:C,2,0))%,MIN(T22+V22,VLOOKUP("R700",TSC!B:C,2,0)*VLOOKUP("R101",TSC!B:C,2,0))*(VLOOKUP("T713",TSC!B:C,2,0))%),0)</f>
        <v/>
      </c>
      <c r="CU22">
        <f>IFERROR(INDEX(ADJ!$A$1:$BZ$1000,MATCH(PAYROLL!D22,ADJ!A$1:A$500,0),MATCH(PAYROLL!CU$2,ADJ!$2:$2,0)),0)</f>
        <v/>
      </c>
      <c r="CV22">
        <f>IFERROR(INDEX(ADJ!$A$1:$BZ$1000,MATCH(PAYROLL!D22,ADJ!A$1:A$500,0),MATCH(PAYROLL!CV$2,ADJ!$2:$2,0)),0)</f>
        <v/>
      </c>
      <c r="CW22">
        <f>SUM(CQ22:CV22)</f>
        <v/>
      </c>
      <c r="CX22">
        <f>ROUND(IF(CQ22&gt;0,T22+V22*VLOOKUP("R202",TSC!$B$1:$C$500,2,0),0),0)</f>
        <v/>
      </c>
      <c r="CY22">
        <f>IFERROR(INDEX(CSDA!D$1:D$500,MATCH($CY$2,CSDA!C$1:C$500,0)),0)</f>
        <v/>
      </c>
      <c r="CZ22">
        <f>ROUND(T22*0.7%,0)</f>
        <v/>
      </c>
      <c r="DA22">
        <f>ROUND(T22/12,0)</f>
        <v/>
      </c>
      <c r="DB22">
        <f ref="DB22" t="array">IFERROR(INDEX(CSDA!D$1:D$500,MATCH("Trích giữ"&amp;PAYROLL!DB$2,CSDA!A$1:A$500&amp;CSDA!C$1:C$500,0)),0)</f>
        <v/>
      </c>
      <c r="DC22">
        <f ref="DC22" t="array">IFERROR(INDEX(CSDA!D$1:D$500,MATCH("Trích giữ"&amp;PAYROLL!DC$2,CSDA!A$1:A$500&amp;CSDA!C$1:C$500,0)),0)</f>
        <v/>
      </c>
      <c r="DD22">
        <f ref="DD22" t="array">IFERROR(INDEX(CSDA!D$1:D$500,MATCH("Trích giữ"&amp;PAYROLL!DD$2,CSDA!A$1:A$500&amp;CSDA!C$1:C$500,0)),0)</f>
        <v/>
      </c>
      <c r="DE22">
        <f>IFERROR(INDEX(CSDA!D$1:D$500,MATCH(PAYROLL!DE$2,CSDA!C$1:C$500,0)),0)</f>
        <v/>
      </c>
      <c r="DF22">
        <f ref="DF22" t="array">IFERROR(INDEX(CSDA!D$1:D$500,MATCH("Trích giữ"&amp;PAYROLL!DF$2,CSDA!A$1:A$500&amp;CSDA!C$1:C$500,0)),0)</f>
        <v/>
      </c>
      <c r="DG22">
        <f>ROUND(T22/26,0)</f>
        <v/>
      </c>
      <c r="DH22">
        <f ref="DH22" t="array">IFERROR(INDEX(CSDA!D$1:D$500,MATCH("Trích giữ"&amp;PAYROLL!DH$2,CSDA!A$1:A$500&amp;CSDA!C$1:C$500,0)),0)</f>
        <v/>
      </c>
      <c r="DI22">
        <f>IF(U22=0,T22*21.5%-BK22,0)</f>
        <v/>
      </c>
      <c r="DK22">
        <f ref="DK22" t="array">IFERROR(INDEX(CSDA!D$1:D$500,MATCH("Trích giữ"&amp;PAYROLL!DK$2,CSDA!A$1:A$500&amp;CSDA!C$1:C$500,0)),0)</f>
        <v/>
      </c>
      <c r="DL22">
        <f>IFERROR(INDEX(CSDA!D$1:D$500,MATCH(PAYROLL!DL$2,CSDA!C$1:C$500,0))/12,0)</f>
        <v/>
      </c>
      <c r="DM22">
        <f>SUM(DA22:DL22)</f>
        <v/>
      </c>
      <c r="DN22">
        <f>IFERROR(INDEX(ADJ!$A$1:$BZ$1000,MATCH(PAYROLL!D22,ADJ!A$1:A$500,0),MATCH(PAYROLL!DN$2,ADJ!$2:$2,0)),0)</f>
        <v/>
      </c>
      <c r="DO22">
        <f>IFERROR(SUM(BO22,DM22:DN22,CW22:CZ22)-DT22,0)</f>
        <v/>
      </c>
      <c r="DP22">
        <f ref="DP22" t="array">SUM(BV22*IFERROR(INDEX(CSDA!D$1:D$500,MATCH(BV$2,CSDA!C$1:C$500,0)),0)%,CW22*IFERROR(INDEX(CSDA!D$1:D$500,MATCH(CW$2,CSDA!C$1:C$500,0)),0)%,CZ22*IFERROR(INDEX(CSDA!D$1:D$500,MATCH(CZ$2,CSDA!C$1:C$500,0)),0)%,DA22*IFERROR(INDEX(CSDA!D$1:D$500,MATCH(DA$2,CSDA!C$1:C$500,0)),0)%,DE22*IFERROR(INDEX(CSDA!D$1:D$500,MATCH("Phí dịch vụ"&amp;PAYROLL!DE$2,CSDA!A$1:A$500&amp;CSDA!C$1:C$500,0)),0)%,DB22*IFERROR(INDEX(CSDA!D$1:D$500,MATCH("Phí dịch vụ"&amp;PAYROLL!DB$2,CSDA!A$1:A$500&amp;CSDA!C$1:C$500,0)),0)%,DG22*IFERROR(INDEX(CSDA!D$1:D$500,MATCH("Phí dịch vụ"&amp;PAYROLL!DG$2,CSDA!A$1:A$500&amp;CSDA!C$1:C$500,0)),0)%,DI22*IFERROR(INDEX(CSDA!D$1:D$500,MATCH("Phí dịch vụ"&amp;PAYROLL!DI$2,CSDA!A$1:A$500&amp;CSDA!C$1:C$500,0)),0)%,BM22*IFERROR(INDEX(CSDA!D$1:D$500,MATCH(BM$2,CSDA!C$1:C$500,0)),0)%)-BM22*7%</f>
        <v/>
      </c>
      <c r="DQ22">
        <f>IFERROR(INDEX(ADJ!$A$1:$BZ$1000,MATCH(PAYROLL!D22,ADJ!A$1:A$500,0),MATCH(PAYROLL!DQ$2,ADJ!$2:$2,0)),0)</f>
        <v/>
      </c>
      <c r="DR22">
        <f>IFERROR(INDEX(ADJ!$A$1:$BZ$1000,MATCH(PAYROLL!D22,ADJ!A$1:A$500,0),MATCH(PAYROLL!DR$2,ADJ!$2:$2,0)),0)</f>
        <v/>
      </c>
      <c r="DS22">
        <f>SUM(DP22:DR22)</f>
        <v/>
      </c>
      <c r="DT22">
        <f>EK22</f>
        <v/>
      </c>
      <c r="DU22">
        <f>SUM(DO22:DR22)</f>
        <v/>
      </c>
      <c r="DV22">
        <f>ROUND(DU22*0.1,0)</f>
        <v/>
      </c>
      <c r="DW22">
        <f>DU22+DV22</f>
        <v/>
      </c>
      <c r="DZ22">
        <f>IFERROR(INDEX(ADJ!$A$1:$BZ$1000,MATCH(PAYROLL!$D22,ADJ!A$1:A$500,0),MATCH(PAYROLL!DZ$2,ADJ!$2:$2,0)),0)</f>
        <v/>
      </c>
      <c r="EA22">
        <f>IFERROR(INDEX(ADJ!$A$1:$BZ$1000,MATCH(PAYROLL!$D22,ADJ!A$1:A$500,0),MATCH(PAYROLL!EA$2,ADJ!$2:$2,0)),0)</f>
        <v/>
      </c>
      <c r="EB22">
        <f>IFERROR(INDEX(ADJ!$A$1:$BZ$1000,MATCH(PAYROLL!$D22,ADJ!A$1:A$500,0),MATCH(PAYROLL!EB$2,ADJ!$2:$2,0)),0)</f>
        <v/>
      </c>
      <c r="EC22">
        <f>IFERROR(INDEX(ADJ!$A$1:$BZ$1000,MATCH(PAYROLL!$D22,ADJ!A$1:A$500,0),MATCH(PAYROLL!EC$2,ADJ!$2:$2,0)),0)</f>
        <v/>
      </c>
      <c r="ED22">
        <f>IFERROR(INDEX(ADJ!$A$1:$BZ$1000,MATCH(PAYROLL!$D22,ADJ!A$1:A$500,0),MATCH(PAYROLL!ED$2,ADJ!$2:$2,0)),0)</f>
        <v/>
      </c>
      <c r="EE22">
        <f>IFERROR(INDEX(ADJ!$A$1:$BZ$1000,MATCH(PAYROLL!$D22,ADJ!A$1:A$500,0),MATCH(PAYROLL!EE$2,ADJ!$2:$2,0)),0)</f>
        <v/>
      </c>
      <c r="EF22">
        <f>IFERROR(INDEX(ADJ!$A$1:$BZ$1000,MATCH(PAYROLL!$D22,ADJ!A$1:A$500,0),MATCH(PAYROLL!EF$2,ADJ!$2:$2,0)),0)</f>
        <v/>
      </c>
      <c r="EG22">
        <f>IFERROR(INDEX(ADJ!$A$1:$BZ$1000,MATCH(PAYROLL!$D22,ADJ!A$1:A$500,0),MATCH(PAYROLL!EG$2,ADJ!$2:$2,0)),0)</f>
        <v/>
      </c>
      <c r="EH22">
        <f>IFERROR(INDEX(ADJ!$A$1:$BZ$1000,MATCH(PAYROLL!$D22,ADJ!A$1:A$500,0),MATCH(PAYROLL!EH$2,ADJ!$2:$2,0)),0)</f>
        <v/>
      </c>
      <c r="EI22">
        <f>IFERROR(INDEX(ADJ!$A$1:$BZ$1000,MATCH(PAYROLL!D22,ADJ!A$1:A$500,0),MATCH(PAYROLL!EI$2,ADJ!$2:$2,0)),0)</f>
        <v/>
      </c>
      <c r="EJ22">
        <f>IFERROR(INDEX(ADJ!$A$1:$BZ$1000,MATCH(PAYROLL!$D22,ADJ!A$1:A$500,0),MATCH(PAYROLL!EJ$2,ADJ!$2:$2,0)),0)</f>
        <v/>
      </c>
      <c r="EK22">
        <f>SUM(DZ22:EJ22)</f>
        <v/>
      </c>
    </row>
    <row r="23">
      <c r="A23" t="n">
        <v>21</v>
      </c>
      <c r="B23" t="inlineStr">
        <is>
          <t>Trần Tiến Bang</t>
        </is>
      </c>
      <c r="D23" t="inlineStr">
        <is>
          <t>158356-01</t>
        </is>
      </c>
      <c r="S23">
        <f>IFERROR(INDEX(PIS!$A$1:$BZ$1000,MATCH($D23,PIS!C$1:C$500,0),MATCH("Lương CB tháng trước",PIS!$1:$1,0)),0)</f>
        <v/>
      </c>
      <c r="T23">
        <f>IFERROR(INDEX(PIS!$A$1:$BZ$1000,MATCH($D23,PIS!C$1:C$500,0),MATCH("Lương CB hiện tại",PIS!$1:$1,0)),0)</f>
        <v/>
      </c>
      <c r="U23">
        <f>IFERROR(INDEX(PIS!$A$1:$BZ$1000,MATCH($D23,PIS!C$1:C$500,0),MATCH("Lương đóng BHBB",PIS!$1:$1,0)),0)</f>
        <v/>
      </c>
      <c r="V23">
        <f>IFERROR(INDEX(PIS!$A$1:$BZ$1000,MATCH($D23,PIS!C$1:C$500,0),MATCH(V$2,PIS!$2:$2,0)),0)</f>
        <v/>
      </c>
      <c r="W23">
        <f>IFERROR(INDEX(PIS!$A$1:$BZ$1000,MATCH($D23,PIS!C$1:C$500,0),MATCH(W$2,PIS!$2:$2,0)),0)</f>
        <v/>
      </c>
      <c r="X23">
        <f>IFERROR(INDEX(PIS!$A$1:$BZ$1000,MATCH($D23,PIS!C$1:C$500,0),MATCH(X$2,PIS!$2:$2,0)),0)</f>
        <v/>
      </c>
      <c r="Y23">
        <f>IFERROR(INDEX(PIS!$A$1:$BZ$1000,MATCH($D23,PIS!C$1:C$500,0),MATCH(Y$2,PIS!$2:$2,0)),0)</f>
        <v/>
      </c>
      <c r="Z23">
        <f>IFERROR(INDEX(PIS!$A$1:$BZ$1000,MATCH($D23,PIS!C$1:C$500,0),MATCH(Z$2,PIS!$2:$2,0)),0)</f>
        <v/>
      </c>
      <c r="AA23">
        <f>IFERROR(INDEX(PIS!$A$1:$BZ$1000,MATCH($D23,PIS!C$1:C$500,0),MATCH(AA$2,PIS!$2:$2,0)),0)</f>
        <v/>
      </c>
      <c r="AB23">
        <f>IFERROR(INDEX(PIS!$A$1:$BZ$1000,MATCH($D23,PIS!C$1:C$500,0),MATCH(AB$2,PIS!$2:$2,0)),0)</f>
        <v/>
      </c>
      <c r="AC23">
        <f>SUM(V23:AB23)</f>
        <v/>
      </c>
      <c r="AD23">
        <f>IFERROR(INDEX(TIMESHEET!$A$1:$AI$5000,MATCH($D23,TIMESHEET!A$1:A$500,0),MATCH("T100",TIMESHEET!$2:$2,0)),0)</f>
        <v/>
      </c>
      <c r="AE23">
        <f>IFERROR(INDEX(TIMESHEET!$A$1:$AI$5000,MATCH($D23,TIMESHEET!A$1:A$500,0),MATCH("T202",TIMESHEET!$2:$2,0)),0)</f>
        <v/>
      </c>
      <c r="AF23">
        <f>IFERROR(INDEX(TIMESHEET!$A$1:$AI$5000,MATCH($D23,TIMESHEET!A$1:A$500,0),MATCH("T302",TIMESHEET!$2:$2,0)),0)</f>
        <v/>
      </c>
      <c r="AG23">
        <f>IFERROR(INDEX(TIMESHEET!$A$1:$AI$5000,MATCH($D23,TIMESHEET!A$1:A$500,0),MATCH("T406",TIMESHEET!$2:$2,0)),0)</f>
        <v/>
      </c>
      <c r="AH23">
        <f>IF(SUM(AE23:AG23)&gt;=26,26,SUM(AE23:AG23))</f>
        <v/>
      </c>
      <c r="AI23">
        <f>IFERROR(INDEX(TIMESHEET!$A$1:$AI$5000,MATCH($D23,TIMESHEET!A$1:A$500,0),MATCH("T701",TIMESHEET!$2:$2,0)),0)</f>
        <v/>
      </c>
      <c r="AJ23">
        <f>IFERROR(IF(INDEX(PIS!N$1:N$500,MATCH(D23,PIS!C$1:C$500,0))="LC4",(T23*0.85)/AD23*AH23,ROUND(T23/AD23*AH23,0)),0)</f>
        <v/>
      </c>
      <c r="AK23">
        <f>IFERROR(INDEX(ADJ!$A$1:$BZ$1000,MATCH(PAYROLL!D23,ADJ!A$1:A$500,0),MATCH(PAYROLL!AK$2,ADJ!$2:$2,0)),0)</f>
        <v/>
      </c>
      <c r="AL23">
        <f>SUM(AJ23:AK23)</f>
        <v/>
      </c>
      <c r="AM23">
        <f>IF(AH23&gt;13,V23,ROUND(V23/AD23*AH23,0))</f>
        <v/>
      </c>
      <c r="AN23">
        <f>IF(AD23=0,0,ROUND(W23/AD23*AI23,0))</f>
        <v/>
      </c>
      <c r="AO23">
        <f>ROUND(X23*AH23,0)</f>
        <v/>
      </c>
      <c r="AP23">
        <f>IF(AD23=0,0,ROUND(Y23/AD23*AH23,0))</f>
        <v/>
      </c>
      <c r="AQ23">
        <f>IFERROR(IF((AE23+AF23+AG23)&gt;13,Z23,ROUND(Z23/AD23*AH23,0)),0)</f>
        <v/>
      </c>
      <c r="AR23">
        <f>IF(AD23=0,0,ROUND(AA52/AD23*AH23,0))</f>
        <v/>
      </c>
      <c r="AS23">
        <f>IFERROR(IF((AE23+AF23+AG23)&gt;13,AB23,ROUND(AB23/AD23*AH23,0)),0)</f>
        <v/>
      </c>
      <c r="AT23">
        <f>IFERROR(INDEX(ADJ!$A$1:$BZ$1000,MATCH(PAYROLL!D23,ADJ!A$1:A$500,0),MATCH(PAYROLL!AT$2,ADJ!$2:$2,0)),0)</f>
        <v/>
      </c>
      <c r="AU23">
        <f>ROUND(SUM(AM23:AT23),0)</f>
        <v/>
      </c>
      <c r="AV23">
        <f>IFERROR(INDEX(TIMESHEET!$A$1:$AI$5000,MATCH(PAYROLL!D23,TIMESHEET!A$1:A$500,0),MATCH("T620",TIMESHEET!$2:$2,0)),0)</f>
        <v/>
      </c>
      <c r="AW23">
        <f>IFERROR(INDEX(TIMESHEET!$A$1:$AI$5000,MATCH(PAYROLL!D23,TIMESHEET!A$1:A$500,0),MATCH("T601",TIMESHEET!$2:$2,0)),0)</f>
        <v/>
      </c>
      <c r="AX23">
        <f>IFERROR(INDEX(TIMESHEET!$A$1:$AI$5000,MATCH(PAYROLL!D23,TIMESHEET!A$1:A$500,0),MATCH("T602",TIMESHEET!$2:$2,0)),0)</f>
        <v/>
      </c>
      <c r="AY23">
        <f>IFERROR(INDEX(TIMESHEET!$A$1:$AI$5000,MATCH(PAYROLL!D23,TIMESHEET!A$1:A$500,0),MATCH("T603",TIMESHEET!$2:$2,0)),0)</f>
        <v/>
      </c>
      <c r="AZ23">
        <f>IFERROR(INDEX(TIMESHEET!$A$1:$AI$5000,MATCH(PAYROLL!D23,TIMESHEET!A$1:A$500,0),MATCH("T611",TIMESHEET!$2:$2,0)),0)</f>
        <v/>
      </c>
      <c r="BA23">
        <f>IFERROR(INDEX(TIMESHEET!$A$1:$AI$5000,MATCH(PAYROLL!D23,TIMESHEET!A$1:A$500,0),MATCH("T612",TIMESHEET!$2:$2,0)),0)</f>
        <v/>
      </c>
      <c r="BB23">
        <f>IFERROR(INDEX(TIMESHEET!$A$1:$AI$5000,MATCH(PAYROLL!D23,TIMESHEET!A$1:A$500,0),MATCH("T613",TIMESHEET!$2:$2,0)),0)</f>
        <v/>
      </c>
      <c r="BC23">
        <f>IFERROR(INDEX(TIMESHEET!$A$1:$AI$5000,MATCH(PAYROLL!D23,TIMESHEET!A$1:A$500,0),MATCH("T500",TIMESHEET!$2:$2,0)),0)</f>
        <v/>
      </c>
      <c r="BD23">
        <f>IFERROR((T23+V23)/AD23/8*(AV23+AW23*1.5+AX23*2+AY23*3+AZ23*2.1+BA23*2.7+BB23*3.9+BC23*0.3),0)</f>
        <v/>
      </c>
      <c r="BE23">
        <f>IFERROR(INDEX(ADJ!$A$1:$BZ$1000,MATCH(PAYROLL!$D23,ADJ!A$1:A$500,0),MATCH(PAYROLL!BE$2,ADJ!$2:$2,0)),0)</f>
        <v/>
      </c>
      <c r="BF23">
        <f>IFERROR(INDEX(ADJ!$A$1:$BZ$1000,MATCH(PAYROLL!D23,ADJ!A$1:A$500,0),MATCH(PAYROLL!BF$2,ADJ!$2:$2,0)),0)</f>
        <v/>
      </c>
      <c r="BG23">
        <f>IFERROR(INDEX(ADJ!$A$1:$BZ$1000,MATCH(PAYROLL!D23,ADJ!A$1:A$500,0),MATCH(PAYROLL!BG$2,ADJ!$2:$2,0)),0)</f>
        <v/>
      </c>
      <c r="BH23">
        <f>IFERROR(INDEX(ADJ!$A$1:$BZ$1000,MATCH(PAYROLL!D23,ADJ!A$1:A$500,0),MATCH(PAYROLL!BH$2,ADJ!$2:$2,0)),0)</f>
        <v/>
      </c>
      <c r="BI23">
        <f>IFERROR(INDEX(ADJ!$A$1:$BZ$1000,MATCH(PAYROLL!D23,ADJ!A$1:A$500,0),MATCH(PAYROLL!BI$2,ADJ!$2:$2,0)),0)</f>
        <v/>
      </c>
      <c r="BJ23">
        <f>SUM(BE23:BI23)</f>
        <v/>
      </c>
      <c r="BK23">
        <f>IFERROR(IF(INDEX(PIS!N$1:N$500,MATCH(D23,PIS!C$1:C$500))="LC12",(T23*21.5%)/AD23*AH23,0),0)</f>
        <v/>
      </c>
      <c r="BL23">
        <f>IFERROR(INDEX(ADJ!$A$1:$BZ$1000,MATCH(PAYROLL!D23,ADJ!A$1:A$500,0),MATCH(PAYROLL!BL$2,ADJ!$2:$2,0)),0)</f>
        <v/>
      </c>
      <c r="BM23">
        <f>IFERROR(INDEX(ADJ!$A$1:$BZ$1000,MATCH(PAYROLL!D23,ADJ!A$1:A$500,0),MATCH(PAYROLL!BM$2,ADJ!$2:$2,0)),0)</f>
        <v/>
      </c>
      <c r="BN23">
        <f>IFERROR(INDEX(ADJ!$A$1:$BZ$1000,MATCH(PAYROLL!D23,ADJ!A$1:A$500,0),MATCH(PAYROLL!BN$2,ADJ!$2:$2,0)),0)</f>
        <v/>
      </c>
      <c r="BO23">
        <f>SUM(AL23,AU23,BD23,BJ23,BK23:BN23)</f>
        <v/>
      </c>
      <c r="BP23">
        <f>BN23+AP23</f>
        <v/>
      </c>
      <c r="BQ23">
        <f>IFERROR(ROUND(IF(LEFT(INDEX(PIS!O$1:O$500,MATCH(D23,PIS!C$1:C$500)),1)="D",T23/8*(BC23*0.3),IF(LEFT(INDEX(PIS!O$1:O$500,MATCH(D23,PIS!C$1:C$500)),1)="H",T23*($BC23*0.3),T23/$AD23/8*($BC23*0.3))),0),0)</f>
        <v/>
      </c>
      <c r="BR23">
        <f>IF(AO23&lt;1,0,MIN(AO23,730000))</f>
        <v/>
      </c>
      <c r="BS23">
        <f>IFERROR(ROUND((BD23-SUM(AV23:BB23)*T23/AD23/8),0)-BQ23,0)</f>
        <v/>
      </c>
      <c r="BT23">
        <f>AN23</f>
        <v/>
      </c>
      <c r="BU23">
        <f>SUM(BP23:BT23)</f>
        <v/>
      </c>
      <c r="BV23">
        <f>BO23-BU23</f>
        <v/>
      </c>
      <c r="BW23">
        <f>IFERROR(IF(RIGHT(INDEX(PIS!O$1:O$500,MATCH(D23,PIS!C$1:C$500)),5)="Gross",MIN(U23+V23,VLOOKUP("R700",TSC!B:C,2,0)*VLOOKUP("R101",TSC!B:C,2,0))*VLOOKUP("R701",TSC!B:C,2,0)%,0),0)</f>
        <v/>
      </c>
      <c r="BX23">
        <f>IFERROR(IF(RIGHT(INDEX(PIS!O$1:O$500,MATCH(D23,PIS!C$1:C$500)),5)="Gross",MIN(U23+V23,VLOOKUP("R700",TSC!B:C,2,0)*VLOOKUP("R101",TSC!B:C,2,0))*VLOOKUP("T704",TSC!B:C,2,0)%,0),0)</f>
        <v/>
      </c>
      <c r="BY23">
        <f>IFERROR(IF(RIGHT(INDEX(PIS!O$1:O$500,MATCH(D23,PIS!C$1:C$500)),5)="Gross",MIN(U23+V23,VLOOKUP("R700",TSC!B:C,2,0)*VLOOKUP("1",TSC!F:G,2,0))*VLOOKUP("T705",TSC!B:C,2,0)%,0),0)</f>
        <v/>
      </c>
      <c r="BZ23">
        <f>IFERROR(INDEX(ADJ!$A$1:$BZ$1000,MATCH(PAYROLL!D23,ADJ!A$1:A$500,0),MATCH(PAYROLL!BZ$2,ADJ!$2:$2,0)),0)</f>
        <v/>
      </c>
      <c r="CA23">
        <f>IFERROR(INDEX(ADJ!$A$1:$BZ$1000,MATCH(PAYROLL!D23,ADJ!A$1:A$500,0),MATCH(PAYROLL!CA$2,ADJ!$2:$2,0)),0)</f>
        <v/>
      </c>
      <c r="CB23">
        <f>SUM(BW23:CA23)</f>
        <v/>
      </c>
      <c r="CC23">
        <f>IFERROR(INDEX(PIS!$A$1:$BZ$1000,MATCH(PAYROLL!D23,PIS!C$1:C$500,0),MATCH(PAYROLL!CC$1,PIS!$1:$1,0)),0)</f>
        <v/>
      </c>
      <c r="CD23">
        <f>IFERROR(IF(OR(INDEX(PIS!P$1:P$500,MATCH(D23,PIS!C$1:C$500,0))="LT2",INDEX(PIS!P$1:P$500,MATCH(D23,PIS!C$1:C$500,0))="P10"),0,SUM(CB23,CC23*VLOOKUP("R601",TSC!B:C,2,0),VLOOKUP("R602",TSC!B:C,2,0))),0)</f>
        <v/>
      </c>
      <c r="CE23">
        <f>MAX(BV23-CD23,0)</f>
        <v/>
      </c>
      <c r="CF23">
        <f>IFERROR(IF(OR(RIGHT(INDEX(PIS!P$1:P$500,MATCH(D23,PIS!C$1:C$500)),5)="P10",RIGHT(INDEX(PIS!P$1:P$500,MATCH(D23,PIS!C$1:C$500)),5)="CK"),0,IF(CE23&lt;=5000000,CE23*5%,IF(CE23&lt;=10000000,CE23*10%-250000,IF(CE23&lt;=18000000,CE23*15%-750000,IF(CE23&lt;=32000000,CE23*20%-1650000,IF(CE23&lt;=52000000,CE23*25%-3250000,IF(CE23&lt;=80000000,BG23*30%-5850000,CE23*35%-9850000))))))),0)</f>
        <v/>
      </c>
      <c r="CG23">
        <f>IFERROR(IF(OR(INDEX(PIS!P$1:P$500,MATCH(D23,PIS!C$1:C$500))="LT",INDEX(PIS!P$1:P$500,MATCH(D23,PIS!C$1:C$500))="CK"),0,IF(CE23&lt;2000000,0,CE23*10%)),0)</f>
        <v/>
      </c>
      <c r="CH23">
        <f>IFERROR(INDEX(ADJ!$A$1:$BZ$1000,MATCH(PAYROLL!D23,ADJ!A$1:A$500,0),MATCH(PAYROLL!CH$2,ADJ!$2:$2,0)),0)</f>
        <v/>
      </c>
      <c r="CI23">
        <f>IFERROR(INDEX(ADJ!$A$1:$BZ$1000,MATCH(PAYROLL!D23,ADJ!A$1:A$500,0),MATCH(PAYROLL!CI$2,ADJ!$2:$2,0)),0)</f>
        <v/>
      </c>
      <c r="CJ23">
        <f>IFERROR(INDEX(ADJ!$A$1:$BZ$1000,MATCH(PAYROLL!D23,ADJ!A$1:A$500,0),MATCH(PAYROLL!CJ$2,ADJ!$2:$2,0)),0)</f>
        <v/>
      </c>
      <c r="CK23">
        <f>SUM(CF23:CJ23)</f>
        <v/>
      </c>
      <c r="CL23">
        <f>ROUND(SUM(CG23:CJ23),0)</f>
        <v/>
      </c>
      <c r="CM23">
        <f>IFERROR(INDEX(CSDA!D$1:D$500,MATCH($CM$2,CSDA!C$1:C$500,0))*INDEX(PIS!V$1:V$500,MATCH(D23,PIS!C$1:C$500))+INDEX(ADJ!$A$1:$BZ$1000,MATCH(PAYROLL!D23,ADJ!A$1:A$500,0),MATCH(PAYROLL!CM$2,ADJ!$2:$2,0)),0)</f>
        <v/>
      </c>
      <c r="CN23">
        <f>IFERROR(INDEX(ADJ!$A$1:$BZ$1000,MATCH(PAYROLL!D23,ADJ!A$1:A$500,0),MATCH(PAYROLL!CN$2,ADJ!$2:$2,0)),0)</f>
        <v/>
      </c>
      <c r="CO23">
        <f>IFERROR(INDEX(ADJ!$A$1:$BZ$1000,MATCH(PAYROLL!D23,ADJ!A$1:A$500,0),MATCH(PAYROLL!CO$2,ADJ!$2:$2,0)),0)</f>
        <v/>
      </c>
      <c r="CP23">
        <f>BO23-CK23-CH23-CL23-CM23-CN23-CO23-CB23</f>
        <v/>
      </c>
      <c r="CQ23">
        <f>IFERROR(IF(RIGHT(INDEX(PIS!O$1:O$500,MATCH(D23,PIS!C$1:C$500,0)),5)="Gross",MIN(U23+V23,VLOOKUP("R700",TSC!B:C,2,0)*VLOOKUP("R101",TSC!B:C,2,0))*(VLOOKUP("T711",TSC!B:C,2,0)+VLOOKUP("T712",TSC!B:C,2,0))%,MIN(T23+V23,VLOOKUP("R700",TSC!B:C,2,0)*VLOOKUP("R101",TSC!B:C,2,0))*(VLOOKUP("T711",TSC!B:C,2,0)+VLOOKUP("T712",TSC!B:C,2,0)+VLOOKUP("R701",TSC!B:C,2,0))%),0)</f>
        <v/>
      </c>
      <c r="CR23">
        <f>IFERROR(IF(RIGHT(INDEX(PIS!O$1:O$500,MATCH(D23,PIS!C$1:C$500,0)),5)="Gross",MIN(U23+V23,VLOOKUP("R700",TSC!B:C,2,0)*VLOOKUP("R101",TSC!B:C,2,0))*(VLOOKUP("T714",TSC!B:C,2,0))%,MIN(T23+V23,VLOOKUP("R700",TSC!B:C,2,0)*VLOOKUP("R101",TSC!B:C,2,0))*(VLOOKUP("T704",TSC!B:C,2,0)+VLOOKUP("T714",TSC!B:C,2,0))%),0)</f>
        <v/>
      </c>
      <c r="CS23">
        <f>IFERROR(IF(RIGHT(INDEX(PIS!O$1:O$500,MATCH(D23,PIS!C$1:C$500,0)),5)="Gross",MIN(U23+V23,VLOOKUP("R700",TSC!B:C,2,0)*VLOOKUP("R101",TSC!B:C,2,0))*VLOOKUP("T705",TSC!B:C,2,0)%,MIN(T23+V23,VLOOKUP("R700",TSC!B:C,2,0)*VLOOKUP("R101",TSC!B:C,2,0))*VLOOKUP("T705",TSC!B:C,2,0)%),0)</f>
        <v/>
      </c>
      <c r="CT23">
        <f>IFERROR(IF(RIGHT(INDEX(PIS!O$1:O$500,MATCH(D23,PIS!C$1:C$500,0)),5)="Gross",MIN(U23+V23,VLOOKUP("R700",TSC!B:C,2,0)*VLOOKUP("R101",TSC!B:C,2,0))*(VLOOKUP("T713",TSC!B:C,2,0))%,MIN(T23+V23,VLOOKUP("R700",TSC!B:C,2,0)*VLOOKUP("R101",TSC!B:C,2,0))*(VLOOKUP("T713",TSC!B:C,2,0))%),0)</f>
        <v/>
      </c>
      <c r="CU23">
        <f>IFERROR(INDEX(ADJ!$A$1:$BZ$1000,MATCH(PAYROLL!D23,ADJ!A$1:A$500,0),MATCH(PAYROLL!CU$2,ADJ!$2:$2,0)),0)</f>
        <v/>
      </c>
      <c r="CV23">
        <f>IFERROR(INDEX(ADJ!$A$1:$BZ$1000,MATCH(PAYROLL!D23,ADJ!A$1:A$500,0),MATCH(PAYROLL!CV$2,ADJ!$2:$2,0)),0)</f>
        <v/>
      </c>
      <c r="CW23">
        <f>SUM(CQ23:CV23)</f>
        <v/>
      </c>
      <c r="CX23">
        <f>ROUND(IF(CQ23&gt;0,T23+V23*VLOOKUP("R202",TSC!$B$1:$C$500,2,0),0),0)</f>
        <v/>
      </c>
      <c r="CY23">
        <f>IFERROR(INDEX(CSDA!D$1:D$500,MATCH($CY$2,CSDA!C$1:C$500,0)),0)</f>
        <v/>
      </c>
      <c r="CZ23">
        <f>ROUND(T23*0.7%,0)</f>
        <v/>
      </c>
      <c r="DA23">
        <f>ROUND(T23/12,0)</f>
        <v/>
      </c>
      <c r="DB23">
        <f ref="DB23" t="array">IFERROR(INDEX(CSDA!D$1:D$500,MATCH("Trích giữ"&amp;PAYROLL!DB$2,CSDA!A$1:A$500&amp;CSDA!C$1:C$500,0)),0)</f>
        <v/>
      </c>
      <c r="DC23">
        <f ref="DC23" t="array">IFERROR(INDEX(CSDA!D$1:D$500,MATCH("Trích giữ"&amp;PAYROLL!DC$2,CSDA!A$1:A$500&amp;CSDA!C$1:C$500,0)),0)</f>
        <v/>
      </c>
      <c r="DD23">
        <f ref="DD23" t="array">IFERROR(INDEX(CSDA!D$1:D$500,MATCH("Trích giữ"&amp;PAYROLL!DD$2,CSDA!A$1:A$500&amp;CSDA!C$1:C$500,0)),0)</f>
        <v/>
      </c>
      <c r="DE23">
        <f>IFERROR(INDEX(CSDA!D$1:D$500,MATCH(PAYROLL!DE$2,CSDA!C$1:C$500,0)),0)</f>
        <v/>
      </c>
      <c r="DF23">
        <f ref="DF23" t="array">IFERROR(INDEX(CSDA!D$1:D$500,MATCH("Trích giữ"&amp;PAYROLL!DF$2,CSDA!A$1:A$500&amp;CSDA!C$1:C$500,0)),0)</f>
        <v/>
      </c>
      <c r="DG23">
        <f>ROUND(T23/26,0)</f>
        <v/>
      </c>
      <c r="DH23">
        <f ref="DH23" t="array">IFERROR(INDEX(CSDA!D$1:D$500,MATCH("Trích giữ"&amp;PAYROLL!DH$2,CSDA!A$1:A$500&amp;CSDA!C$1:C$500,0)),0)</f>
        <v/>
      </c>
      <c r="DI23">
        <f>IF(U23=0,T23*21.5%-BK23,0)</f>
        <v/>
      </c>
      <c r="DK23">
        <f ref="DK23" t="array">IFERROR(INDEX(CSDA!D$1:D$500,MATCH("Trích giữ"&amp;PAYROLL!DK$2,CSDA!A$1:A$500&amp;CSDA!C$1:C$500,0)),0)</f>
        <v/>
      </c>
      <c r="DL23">
        <f>IFERROR(INDEX(CSDA!D$1:D$500,MATCH(PAYROLL!DL$2,CSDA!C$1:C$500,0))/12,0)</f>
        <v/>
      </c>
      <c r="DM23">
        <f>SUM(DA23:DL23)</f>
        <v/>
      </c>
      <c r="DN23">
        <f>IFERROR(INDEX(ADJ!$A$1:$BZ$1000,MATCH(PAYROLL!D23,ADJ!A$1:A$500,0),MATCH(PAYROLL!DN$2,ADJ!$2:$2,0)),0)</f>
        <v/>
      </c>
      <c r="DO23">
        <f>IFERROR(SUM(BO23,DM23:DN23,CW23:CZ23)-DT23,0)</f>
        <v/>
      </c>
      <c r="DP23">
        <f ref="DP23" t="array">SUM(BV23*IFERROR(INDEX(CSDA!D$1:D$500,MATCH(BV$2,CSDA!C$1:C$500,0)),0)%,CW23*IFERROR(INDEX(CSDA!D$1:D$500,MATCH(CW$2,CSDA!C$1:C$500,0)),0)%,CZ23*IFERROR(INDEX(CSDA!D$1:D$500,MATCH(CZ$2,CSDA!C$1:C$500,0)),0)%,DA23*IFERROR(INDEX(CSDA!D$1:D$500,MATCH(DA$2,CSDA!C$1:C$500,0)),0)%,DE23*IFERROR(INDEX(CSDA!D$1:D$500,MATCH("Phí dịch vụ"&amp;PAYROLL!DE$2,CSDA!A$1:A$500&amp;CSDA!C$1:C$500,0)),0)%,DB23*IFERROR(INDEX(CSDA!D$1:D$500,MATCH("Phí dịch vụ"&amp;PAYROLL!DB$2,CSDA!A$1:A$500&amp;CSDA!C$1:C$500,0)),0)%,DG23*IFERROR(INDEX(CSDA!D$1:D$500,MATCH("Phí dịch vụ"&amp;PAYROLL!DG$2,CSDA!A$1:A$500&amp;CSDA!C$1:C$500,0)),0)%,DI23*IFERROR(INDEX(CSDA!D$1:D$500,MATCH("Phí dịch vụ"&amp;PAYROLL!DI$2,CSDA!A$1:A$500&amp;CSDA!C$1:C$500,0)),0)%,BM23*IFERROR(INDEX(CSDA!D$1:D$500,MATCH(BM$2,CSDA!C$1:C$500,0)),0)%)-BM23*7%</f>
        <v/>
      </c>
      <c r="DQ23">
        <f>IFERROR(INDEX(ADJ!$A$1:$BZ$1000,MATCH(PAYROLL!D23,ADJ!A$1:A$500,0),MATCH(PAYROLL!DQ$2,ADJ!$2:$2,0)),0)</f>
        <v/>
      </c>
      <c r="DR23">
        <f>IFERROR(INDEX(ADJ!$A$1:$BZ$1000,MATCH(PAYROLL!D23,ADJ!A$1:A$500,0),MATCH(PAYROLL!DR$2,ADJ!$2:$2,0)),0)</f>
        <v/>
      </c>
      <c r="DS23">
        <f>SUM(DP23:DR23)</f>
        <v/>
      </c>
      <c r="DT23">
        <f>EK23</f>
        <v/>
      </c>
      <c r="DU23">
        <f>SUM(DO23:DR23)</f>
        <v/>
      </c>
      <c r="DV23">
        <f>ROUND(DU23*0.1,0)</f>
        <v/>
      </c>
      <c r="DW23">
        <f>DU23+DV23</f>
        <v/>
      </c>
      <c r="DZ23">
        <f>IFERROR(INDEX(ADJ!$A$1:$BZ$1000,MATCH(PAYROLL!$D23,ADJ!A$1:A$500,0),MATCH(PAYROLL!DZ$2,ADJ!$2:$2,0)),0)</f>
        <v/>
      </c>
      <c r="EA23">
        <f>IFERROR(INDEX(ADJ!$A$1:$BZ$1000,MATCH(PAYROLL!$D23,ADJ!A$1:A$500,0),MATCH(PAYROLL!EA$2,ADJ!$2:$2,0)),0)</f>
        <v/>
      </c>
      <c r="EB23">
        <f>IFERROR(INDEX(ADJ!$A$1:$BZ$1000,MATCH(PAYROLL!$D23,ADJ!A$1:A$500,0),MATCH(PAYROLL!EB$2,ADJ!$2:$2,0)),0)</f>
        <v/>
      </c>
      <c r="EC23">
        <f>IFERROR(INDEX(ADJ!$A$1:$BZ$1000,MATCH(PAYROLL!$D23,ADJ!A$1:A$500,0),MATCH(PAYROLL!EC$2,ADJ!$2:$2,0)),0)</f>
        <v/>
      </c>
      <c r="ED23">
        <f>IFERROR(INDEX(ADJ!$A$1:$BZ$1000,MATCH(PAYROLL!$D23,ADJ!A$1:A$500,0),MATCH(PAYROLL!ED$2,ADJ!$2:$2,0)),0)</f>
        <v/>
      </c>
      <c r="EE23">
        <f>IFERROR(INDEX(ADJ!$A$1:$BZ$1000,MATCH(PAYROLL!$D23,ADJ!A$1:A$500,0),MATCH(PAYROLL!EE$2,ADJ!$2:$2,0)),0)</f>
        <v/>
      </c>
      <c r="EF23">
        <f>IFERROR(INDEX(ADJ!$A$1:$BZ$1000,MATCH(PAYROLL!$D23,ADJ!A$1:A$500,0),MATCH(PAYROLL!EF$2,ADJ!$2:$2,0)),0)</f>
        <v/>
      </c>
      <c r="EG23">
        <f>IFERROR(INDEX(ADJ!$A$1:$BZ$1000,MATCH(PAYROLL!$D23,ADJ!A$1:A$500,0),MATCH(PAYROLL!EG$2,ADJ!$2:$2,0)),0)</f>
        <v/>
      </c>
      <c r="EH23">
        <f>IFERROR(INDEX(ADJ!$A$1:$BZ$1000,MATCH(PAYROLL!$D23,ADJ!A$1:A$500,0),MATCH(PAYROLL!EH$2,ADJ!$2:$2,0)),0)</f>
        <v/>
      </c>
      <c r="EI23">
        <f>IFERROR(INDEX(ADJ!$A$1:$BZ$1000,MATCH(PAYROLL!D23,ADJ!A$1:A$500,0),MATCH(PAYROLL!EI$2,ADJ!$2:$2,0)),0)</f>
        <v/>
      </c>
      <c r="EJ23">
        <f>IFERROR(INDEX(ADJ!$A$1:$BZ$1000,MATCH(PAYROLL!$D23,ADJ!A$1:A$500,0),MATCH(PAYROLL!EJ$2,ADJ!$2:$2,0)),0)</f>
        <v/>
      </c>
      <c r="EK23">
        <f>SUM(DZ23:EJ23)</f>
        <v/>
      </c>
    </row>
    <row r="24">
      <c r="A24" t="n">
        <v>22</v>
      </c>
      <c r="B24" t="inlineStr">
        <is>
          <t>Đinh Mạnh Tùng</t>
        </is>
      </c>
      <c r="D24" t="inlineStr">
        <is>
          <t>158466-01</t>
        </is>
      </c>
      <c r="S24">
        <f>IFERROR(INDEX(PIS!$A$1:$BZ$1000,MATCH($D24,PIS!C$1:C$500,0),MATCH("Lương CB tháng trước",PIS!$1:$1,0)),0)</f>
        <v/>
      </c>
      <c r="T24">
        <f>IFERROR(INDEX(PIS!$A$1:$BZ$1000,MATCH($D24,PIS!C$1:C$500,0),MATCH("Lương CB hiện tại",PIS!$1:$1,0)),0)</f>
        <v/>
      </c>
      <c r="U24">
        <f>IFERROR(INDEX(PIS!$A$1:$BZ$1000,MATCH($D24,PIS!C$1:C$500,0),MATCH("Lương đóng BHBB",PIS!$1:$1,0)),0)</f>
        <v/>
      </c>
      <c r="V24">
        <f>IFERROR(INDEX(PIS!$A$1:$BZ$1000,MATCH($D24,PIS!C$1:C$500,0),MATCH(V$2,PIS!$2:$2,0)),0)</f>
        <v/>
      </c>
      <c r="W24">
        <f>IFERROR(INDEX(PIS!$A$1:$BZ$1000,MATCH($D24,PIS!C$1:C$500,0),MATCH(W$2,PIS!$2:$2,0)),0)</f>
        <v/>
      </c>
      <c r="X24">
        <f>IFERROR(INDEX(PIS!$A$1:$BZ$1000,MATCH($D24,PIS!C$1:C$500,0),MATCH(X$2,PIS!$2:$2,0)),0)</f>
        <v/>
      </c>
      <c r="Y24">
        <f>IFERROR(INDEX(PIS!$A$1:$BZ$1000,MATCH($D24,PIS!C$1:C$500,0),MATCH(Y$2,PIS!$2:$2,0)),0)</f>
        <v/>
      </c>
      <c r="Z24">
        <f>IFERROR(INDEX(PIS!$A$1:$BZ$1000,MATCH($D24,PIS!C$1:C$500,0),MATCH(Z$2,PIS!$2:$2,0)),0)</f>
        <v/>
      </c>
      <c r="AA24">
        <f>IFERROR(INDEX(PIS!$A$1:$BZ$1000,MATCH($D24,PIS!C$1:C$500,0),MATCH(AA$2,PIS!$2:$2,0)),0)</f>
        <v/>
      </c>
      <c r="AB24">
        <f>IFERROR(INDEX(PIS!$A$1:$BZ$1000,MATCH($D24,PIS!C$1:C$500,0),MATCH(AB$2,PIS!$2:$2,0)),0)</f>
        <v/>
      </c>
      <c r="AC24">
        <f>SUM(V24:AB24)</f>
        <v/>
      </c>
      <c r="AD24">
        <f>IFERROR(INDEX(TIMESHEET!$A$1:$AI$5000,MATCH($D24,TIMESHEET!A$1:A$500,0),MATCH("T100",TIMESHEET!$2:$2,0)),0)</f>
        <v/>
      </c>
      <c r="AE24">
        <f>IFERROR(INDEX(TIMESHEET!$A$1:$AI$5000,MATCH($D24,TIMESHEET!A$1:A$500,0),MATCH("T202",TIMESHEET!$2:$2,0)),0)</f>
        <v/>
      </c>
      <c r="AF24">
        <f>IFERROR(INDEX(TIMESHEET!$A$1:$AI$5000,MATCH($D24,TIMESHEET!A$1:A$500,0),MATCH("T302",TIMESHEET!$2:$2,0)),0)</f>
        <v/>
      </c>
      <c r="AG24">
        <f>IFERROR(INDEX(TIMESHEET!$A$1:$AI$5000,MATCH($D24,TIMESHEET!A$1:A$500,0),MATCH("T406",TIMESHEET!$2:$2,0)),0)</f>
        <v/>
      </c>
      <c r="AH24">
        <f>IF(SUM(AE24:AG24)&gt;=26,26,SUM(AE24:AG24))</f>
        <v/>
      </c>
      <c r="AI24">
        <f>IFERROR(INDEX(TIMESHEET!$A$1:$AI$5000,MATCH($D24,TIMESHEET!A$1:A$500,0),MATCH("T701",TIMESHEET!$2:$2,0)),0)</f>
        <v/>
      </c>
      <c r="AJ24">
        <f>IFERROR(IF(INDEX(PIS!N$1:N$500,MATCH(D24,PIS!C$1:C$500,0))="LC4",(T24*0.85)/AD24*AH24,ROUND(T24/AD24*AH24,0)),0)</f>
        <v/>
      </c>
      <c r="AK24">
        <f>IFERROR(INDEX(ADJ!$A$1:$BZ$1000,MATCH(PAYROLL!D24,ADJ!A$1:A$500,0),MATCH(PAYROLL!AK$2,ADJ!$2:$2,0)),0)</f>
        <v/>
      </c>
      <c r="AL24">
        <f>SUM(AJ24:AK24)</f>
        <v/>
      </c>
      <c r="AM24">
        <f>IF(AH24&gt;13,V24,ROUND(V24/AD24*AH24,0))</f>
        <v/>
      </c>
      <c r="AN24">
        <f>IF(AD24=0,0,ROUND(W24/AD24*AI24,0))</f>
        <v/>
      </c>
      <c r="AO24">
        <f>ROUND(X24*AH24,0)</f>
        <v/>
      </c>
      <c r="AP24">
        <f>IF(AD24=0,0,ROUND(Y24/AD24*AH24,0))</f>
        <v/>
      </c>
      <c r="AQ24">
        <f>IFERROR(IF((AE24+AF24+AG24)&gt;13,Z24,ROUND(Z24/AD24*AH24,0)),0)</f>
        <v/>
      </c>
      <c r="AR24">
        <f>IF(AD24=0,0,ROUND(AA53/AD24*AH24,0))</f>
        <v/>
      </c>
      <c r="AS24">
        <f>IFERROR(IF((AE24+AF24+AG24)&gt;13,AB24,ROUND(AB24/AD24*AH24,0)),0)</f>
        <v/>
      </c>
      <c r="AT24">
        <f>IFERROR(INDEX(ADJ!$A$1:$BZ$1000,MATCH(PAYROLL!D24,ADJ!A$1:A$500,0),MATCH(PAYROLL!AT$2,ADJ!$2:$2,0)),0)</f>
        <v/>
      </c>
      <c r="AU24">
        <f>ROUND(SUM(AM24:AT24),0)</f>
        <v/>
      </c>
      <c r="AV24">
        <f>IFERROR(INDEX(TIMESHEET!$A$1:$AI$5000,MATCH(PAYROLL!D24,TIMESHEET!A$1:A$500,0),MATCH("T620",TIMESHEET!$2:$2,0)),0)</f>
        <v/>
      </c>
      <c r="AW24">
        <f>IFERROR(INDEX(TIMESHEET!$A$1:$AI$5000,MATCH(PAYROLL!D24,TIMESHEET!A$1:A$500,0),MATCH("T601",TIMESHEET!$2:$2,0)),0)</f>
        <v/>
      </c>
      <c r="AX24">
        <f>IFERROR(INDEX(TIMESHEET!$A$1:$AI$5000,MATCH(PAYROLL!D24,TIMESHEET!A$1:A$500,0),MATCH("T602",TIMESHEET!$2:$2,0)),0)</f>
        <v/>
      </c>
      <c r="AY24">
        <f>IFERROR(INDEX(TIMESHEET!$A$1:$AI$5000,MATCH(PAYROLL!D24,TIMESHEET!A$1:A$500,0),MATCH("T603",TIMESHEET!$2:$2,0)),0)</f>
        <v/>
      </c>
      <c r="AZ24">
        <f>IFERROR(INDEX(TIMESHEET!$A$1:$AI$5000,MATCH(PAYROLL!D24,TIMESHEET!A$1:A$500,0),MATCH("T611",TIMESHEET!$2:$2,0)),0)</f>
        <v/>
      </c>
      <c r="BA24">
        <f>IFERROR(INDEX(TIMESHEET!$A$1:$AI$5000,MATCH(PAYROLL!D24,TIMESHEET!A$1:A$500,0),MATCH("T612",TIMESHEET!$2:$2,0)),0)</f>
        <v/>
      </c>
      <c r="BB24">
        <f>IFERROR(INDEX(TIMESHEET!$A$1:$AI$5000,MATCH(PAYROLL!D24,TIMESHEET!A$1:A$500,0),MATCH("T613",TIMESHEET!$2:$2,0)),0)</f>
        <v/>
      </c>
      <c r="BC24">
        <f>IFERROR(INDEX(TIMESHEET!$A$1:$AI$5000,MATCH(PAYROLL!D24,TIMESHEET!A$1:A$500,0),MATCH("T500",TIMESHEET!$2:$2,0)),0)</f>
        <v/>
      </c>
      <c r="BD24">
        <f>IFERROR((T24+V24)/AD24/8*(AV24+AW24*1.5+AX24*2+AY24*3+AZ24*2.1+BA24*2.7+BB24*3.9+BC24*0.3),0)</f>
        <v/>
      </c>
      <c r="BE24">
        <f>IFERROR(INDEX(ADJ!$A$1:$BZ$1000,MATCH(PAYROLL!$D24,ADJ!A$1:A$500,0),MATCH(PAYROLL!BE$2,ADJ!$2:$2,0)),0)</f>
        <v/>
      </c>
      <c r="BF24">
        <f>IFERROR(INDEX(ADJ!$A$1:$BZ$1000,MATCH(PAYROLL!D24,ADJ!A$1:A$500,0),MATCH(PAYROLL!BF$2,ADJ!$2:$2,0)),0)</f>
        <v/>
      </c>
      <c r="BG24">
        <f>IFERROR(INDEX(ADJ!$A$1:$BZ$1000,MATCH(PAYROLL!D24,ADJ!A$1:A$500,0),MATCH(PAYROLL!BG$2,ADJ!$2:$2,0)),0)</f>
        <v/>
      </c>
      <c r="BH24">
        <f>IFERROR(INDEX(ADJ!$A$1:$BZ$1000,MATCH(PAYROLL!D24,ADJ!A$1:A$500,0),MATCH(PAYROLL!BH$2,ADJ!$2:$2,0)),0)</f>
        <v/>
      </c>
      <c r="BI24">
        <f>IFERROR(INDEX(ADJ!$A$1:$BZ$1000,MATCH(PAYROLL!D24,ADJ!A$1:A$500,0),MATCH(PAYROLL!BI$2,ADJ!$2:$2,0)),0)</f>
        <v/>
      </c>
      <c r="BJ24">
        <f>SUM(BE24:BI24)</f>
        <v/>
      </c>
      <c r="BK24">
        <f>IFERROR(IF(INDEX(PIS!N$1:N$500,MATCH(D24,PIS!C$1:C$500))="LC12",(T24*21.5%)/AD24*AH24,0),0)</f>
        <v/>
      </c>
      <c r="BL24">
        <f>IFERROR(INDEX(ADJ!$A$1:$BZ$1000,MATCH(PAYROLL!D24,ADJ!A$1:A$500,0),MATCH(PAYROLL!BL$2,ADJ!$2:$2,0)),0)</f>
        <v/>
      </c>
      <c r="BM24">
        <f>IFERROR(INDEX(ADJ!$A$1:$BZ$1000,MATCH(PAYROLL!D24,ADJ!A$1:A$500,0),MATCH(PAYROLL!BM$2,ADJ!$2:$2,0)),0)</f>
        <v/>
      </c>
      <c r="BN24">
        <f>IFERROR(INDEX(ADJ!$A$1:$BZ$1000,MATCH(PAYROLL!D24,ADJ!A$1:A$500,0),MATCH(PAYROLL!BN$2,ADJ!$2:$2,0)),0)</f>
        <v/>
      </c>
      <c r="BO24">
        <f>SUM(AL24,AU24,BD24,BJ24,BK24:BN24)</f>
        <v/>
      </c>
      <c r="BP24">
        <f>BN24+AP24</f>
        <v/>
      </c>
      <c r="BQ24">
        <f>IFERROR(ROUND(IF(LEFT(INDEX(PIS!O$1:O$500,MATCH(D24,PIS!C$1:C$500)),1)="D",T24/8*(BC24*0.3),IF(LEFT(INDEX(PIS!O$1:O$500,MATCH(D24,PIS!C$1:C$500)),1)="H",T24*($BC24*0.3),T24/$AD24/8*($BC24*0.3))),0),0)</f>
        <v/>
      </c>
      <c r="BR24">
        <f>IF(AO24&lt;1,0,MIN(AO24,730000))</f>
        <v/>
      </c>
      <c r="BS24">
        <f>IFERROR(ROUND((BD24-SUM(AV24:BB24)*T24/AD24/8),0)-BQ24,0)</f>
        <v/>
      </c>
      <c r="BT24">
        <f>AN24</f>
        <v/>
      </c>
      <c r="BU24">
        <f>SUM(BP24:BT24)</f>
        <v/>
      </c>
      <c r="BV24">
        <f>BO24-BU24</f>
        <v/>
      </c>
      <c r="BW24">
        <f>IFERROR(IF(RIGHT(INDEX(PIS!O$1:O$500,MATCH(D24,PIS!C$1:C$500)),5)="Gross",MIN(U24+V24,VLOOKUP("R700",TSC!B:C,2,0)*VLOOKUP("R101",TSC!B:C,2,0))*VLOOKUP("R701",TSC!B:C,2,0)%,0),0)</f>
        <v/>
      </c>
      <c r="BX24">
        <f>IFERROR(IF(RIGHT(INDEX(PIS!O$1:O$500,MATCH(D24,PIS!C$1:C$500)),5)="Gross",MIN(U24+V24,VLOOKUP("R700",TSC!B:C,2,0)*VLOOKUP("R101",TSC!B:C,2,0))*VLOOKUP("T704",TSC!B:C,2,0)%,0),0)</f>
        <v/>
      </c>
      <c r="BY24">
        <f>IFERROR(IF(RIGHT(INDEX(PIS!O$1:O$500,MATCH(D24,PIS!C$1:C$500)),5)="Gross",MIN(U24+V24,VLOOKUP("R700",TSC!B:C,2,0)*VLOOKUP("1",TSC!F:G,2,0))*VLOOKUP("T705",TSC!B:C,2,0)%,0),0)</f>
        <v/>
      </c>
      <c r="BZ24">
        <f>IFERROR(INDEX(ADJ!$A$1:$BZ$1000,MATCH(PAYROLL!D24,ADJ!A$1:A$500,0),MATCH(PAYROLL!BZ$2,ADJ!$2:$2,0)),0)</f>
        <v/>
      </c>
      <c r="CA24">
        <f>IFERROR(INDEX(ADJ!$A$1:$BZ$1000,MATCH(PAYROLL!D24,ADJ!A$1:A$500,0),MATCH(PAYROLL!CA$2,ADJ!$2:$2,0)),0)</f>
        <v/>
      </c>
      <c r="CB24">
        <f>SUM(BW24:CA24)</f>
        <v/>
      </c>
      <c r="CC24">
        <f>IFERROR(INDEX(PIS!$A$1:$BZ$1000,MATCH(PAYROLL!D24,PIS!C$1:C$500,0),MATCH(PAYROLL!CC$1,PIS!$1:$1,0)),0)</f>
        <v/>
      </c>
      <c r="CD24">
        <f>IFERROR(IF(OR(INDEX(PIS!P$1:P$500,MATCH(D24,PIS!C$1:C$500,0))="LT2",INDEX(PIS!P$1:P$500,MATCH(D24,PIS!C$1:C$500,0))="P10"),0,SUM(CB24,CC24*VLOOKUP("R601",TSC!B:C,2,0),VLOOKUP("R602",TSC!B:C,2,0))),0)</f>
        <v/>
      </c>
      <c r="CE24">
        <f>MAX(BV24-CD24,0)</f>
        <v/>
      </c>
      <c r="CF24">
        <f>IFERROR(IF(OR(RIGHT(INDEX(PIS!P$1:P$500,MATCH(D24,PIS!C$1:C$500)),5)="P10",RIGHT(INDEX(PIS!P$1:P$500,MATCH(D24,PIS!C$1:C$500)),5)="CK"),0,IF(CE24&lt;=5000000,CE24*5%,IF(CE24&lt;=10000000,CE24*10%-250000,IF(CE24&lt;=18000000,CE24*15%-750000,IF(CE24&lt;=32000000,CE24*20%-1650000,IF(CE24&lt;=52000000,CE24*25%-3250000,IF(CE24&lt;=80000000,BG24*30%-5850000,CE24*35%-9850000))))))),0)</f>
        <v/>
      </c>
      <c r="CG24">
        <f>IFERROR(IF(OR(INDEX(PIS!P$1:P$500,MATCH(D24,PIS!C$1:C$500))="LT",INDEX(PIS!P$1:P$500,MATCH(D24,PIS!C$1:C$500))="CK"),0,IF(CE24&lt;2000000,0,CE24*10%)),0)</f>
        <v/>
      </c>
      <c r="CH24">
        <f>IFERROR(INDEX(ADJ!$A$1:$BZ$1000,MATCH(PAYROLL!D24,ADJ!A$1:A$500,0),MATCH(PAYROLL!CH$2,ADJ!$2:$2,0)),0)</f>
        <v/>
      </c>
      <c r="CI24">
        <f>IFERROR(INDEX(ADJ!$A$1:$BZ$1000,MATCH(PAYROLL!D24,ADJ!A$1:A$500,0),MATCH(PAYROLL!CI$2,ADJ!$2:$2,0)),0)</f>
        <v/>
      </c>
      <c r="CJ24">
        <f>IFERROR(INDEX(ADJ!$A$1:$BZ$1000,MATCH(PAYROLL!D24,ADJ!A$1:A$500,0),MATCH(PAYROLL!CJ$2,ADJ!$2:$2,0)),0)</f>
        <v/>
      </c>
      <c r="CK24">
        <f>SUM(CF24:CJ24)</f>
        <v/>
      </c>
      <c r="CL24">
        <f>ROUND(SUM(CG24:CJ24),0)</f>
        <v/>
      </c>
      <c r="CM24">
        <f>IFERROR(INDEX(CSDA!D$1:D$500,MATCH($CM$2,CSDA!C$1:C$500,0))*INDEX(PIS!V$1:V$500,MATCH(D24,PIS!C$1:C$500))+INDEX(ADJ!$A$1:$BZ$1000,MATCH(PAYROLL!D24,ADJ!A$1:A$500,0),MATCH(PAYROLL!CM$2,ADJ!$2:$2,0)),0)</f>
        <v/>
      </c>
      <c r="CN24">
        <f>IFERROR(INDEX(ADJ!$A$1:$BZ$1000,MATCH(PAYROLL!D24,ADJ!A$1:A$500,0),MATCH(PAYROLL!CN$2,ADJ!$2:$2,0)),0)</f>
        <v/>
      </c>
      <c r="CO24">
        <f>IFERROR(INDEX(ADJ!$A$1:$BZ$1000,MATCH(PAYROLL!D24,ADJ!A$1:A$500,0),MATCH(PAYROLL!CO$2,ADJ!$2:$2,0)),0)</f>
        <v/>
      </c>
      <c r="CP24">
        <f>BO24-CK24-CH24-CL24-CM24-CN24-CO24-CB24</f>
        <v/>
      </c>
      <c r="CQ24">
        <f>IFERROR(IF(RIGHT(INDEX(PIS!O$1:O$500,MATCH(D24,PIS!C$1:C$500,0)),5)="Gross",MIN(U24+V24,VLOOKUP("R700",TSC!B:C,2,0)*VLOOKUP("R101",TSC!B:C,2,0))*(VLOOKUP("T711",TSC!B:C,2,0)+VLOOKUP("T712",TSC!B:C,2,0))%,MIN(T24+V24,VLOOKUP("R700",TSC!B:C,2,0)*VLOOKUP("R101",TSC!B:C,2,0))*(VLOOKUP("T711",TSC!B:C,2,0)+VLOOKUP("T712",TSC!B:C,2,0)+VLOOKUP("R701",TSC!B:C,2,0))%),0)</f>
        <v/>
      </c>
      <c r="CR24">
        <f>IFERROR(IF(RIGHT(INDEX(PIS!O$1:O$500,MATCH(D24,PIS!C$1:C$500,0)),5)="Gross",MIN(U24+V24,VLOOKUP("R700",TSC!B:C,2,0)*VLOOKUP("R101",TSC!B:C,2,0))*(VLOOKUP("T714",TSC!B:C,2,0))%,MIN(T24+V24,VLOOKUP("R700",TSC!B:C,2,0)*VLOOKUP("R101",TSC!B:C,2,0))*(VLOOKUP("T704",TSC!B:C,2,0)+VLOOKUP("T714",TSC!B:C,2,0))%),0)</f>
        <v/>
      </c>
      <c r="CS24">
        <f>IFERROR(IF(RIGHT(INDEX(PIS!O$1:O$500,MATCH(D24,PIS!C$1:C$500,0)),5)="Gross",MIN(U24+V24,VLOOKUP("R700",TSC!B:C,2,0)*VLOOKUP("R101",TSC!B:C,2,0))*VLOOKUP("T705",TSC!B:C,2,0)%,MIN(T24+V24,VLOOKUP("R700",TSC!B:C,2,0)*VLOOKUP("R101",TSC!B:C,2,0))*VLOOKUP("T705",TSC!B:C,2,0)%),0)</f>
        <v/>
      </c>
      <c r="CT24">
        <f>IFERROR(IF(RIGHT(INDEX(PIS!O$1:O$500,MATCH(D24,PIS!C$1:C$500,0)),5)="Gross",MIN(U24+V24,VLOOKUP("R700",TSC!B:C,2,0)*VLOOKUP("R101",TSC!B:C,2,0))*(VLOOKUP("T713",TSC!B:C,2,0))%,MIN(T24+V24,VLOOKUP("R700",TSC!B:C,2,0)*VLOOKUP("R101",TSC!B:C,2,0))*(VLOOKUP("T713",TSC!B:C,2,0))%),0)</f>
        <v/>
      </c>
      <c r="CU24">
        <f>IFERROR(INDEX(ADJ!$A$1:$BZ$1000,MATCH(PAYROLL!D24,ADJ!A$1:A$500,0),MATCH(PAYROLL!CU$2,ADJ!$2:$2,0)),0)</f>
        <v/>
      </c>
      <c r="CV24">
        <f>IFERROR(INDEX(ADJ!$A$1:$BZ$1000,MATCH(PAYROLL!D24,ADJ!A$1:A$500,0),MATCH(PAYROLL!CV$2,ADJ!$2:$2,0)),0)</f>
        <v/>
      </c>
      <c r="CW24">
        <f>SUM(CQ24:CV24)</f>
        <v/>
      </c>
      <c r="CX24">
        <f>ROUND(IF(CQ24&gt;0,T24+V24*VLOOKUP("R202",TSC!$B$1:$C$500,2,0),0),0)</f>
        <v/>
      </c>
      <c r="CY24">
        <f>IFERROR(INDEX(CSDA!D$1:D$500,MATCH($CY$2,CSDA!C$1:C$500,0)),0)</f>
        <v/>
      </c>
      <c r="CZ24">
        <f>ROUND(T24*0.7%,0)</f>
        <v/>
      </c>
      <c r="DA24">
        <f>ROUND(T24/12,0)</f>
        <v/>
      </c>
      <c r="DB24">
        <f ref="DB24" t="array">IFERROR(INDEX(CSDA!D$1:D$500,MATCH("Trích giữ"&amp;PAYROLL!DB$2,CSDA!A$1:A$500&amp;CSDA!C$1:C$500,0)),0)</f>
        <v/>
      </c>
      <c r="DC24">
        <f ref="DC24" t="array">IFERROR(INDEX(CSDA!D$1:D$500,MATCH("Trích giữ"&amp;PAYROLL!DC$2,CSDA!A$1:A$500&amp;CSDA!C$1:C$500,0)),0)</f>
        <v/>
      </c>
      <c r="DD24">
        <f ref="DD24" t="array">IFERROR(INDEX(CSDA!D$1:D$500,MATCH("Trích giữ"&amp;PAYROLL!DD$2,CSDA!A$1:A$500&amp;CSDA!C$1:C$500,0)),0)</f>
        <v/>
      </c>
      <c r="DE24">
        <f>IFERROR(INDEX(CSDA!D$1:D$500,MATCH(PAYROLL!DE$2,CSDA!C$1:C$500,0)),0)</f>
        <v/>
      </c>
      <c r="DF24">
        <f ref="DF24" t="array">IFERROR(INDEX(CSDA!D$1:D$500,MATCH("Trích giữ"&amp;PAYROLL!DF$2,CSDA!A$1:A$500&amp;CSDA!C$1:C$500,0)),0)</f>
        <v/>
      </c>
      <c r="DG24">
        <f>ROUND(T24/26,0)</f>
        <v/>
      </c>
      <c r="DH24">
        <f ref="DH24" t="array">IFERROR(INDEX(CSDA!D$1:D$500,MATCH("Trích giữ"&amp;PAYROLL!DH$2,CSDA!A$1:A$500&amp;CSDA!C$1:C$500,0)),0)</f>
        <v/>
      </c>
      <c r="DI24">
        <f>IF(U24=0,T24*21.5%-BK24,0)</f>
        <v/>
      </c>
      <c r="DK24">
        <f ref="DK24" t="array">IFERROR(INDEX(CSDA!D$1:D$500,MATCH("Trích giữ"&amp;PAYROLL!DK$2,CSDA!A$1:A$500&amp;CSDA!C$1:C$500,0)),0)</f>
        <v/>
      </c>
      <c r="DL24">
        <f>IFERROR(INDEX(CSDA!D$1:D$500,MATCH(PAYROLL!DL$2,CSDA!C$1:C$500,0))/12,0)</f>
        <v/>
      </c>
      <c r="DM24">
        <f>SUM(DA24:DL24)</f>
        <v/>
      </c>
      <c r="DN24">
        <f>IFERROR(INDEX(ADJ!$A$1:$BZ$1000,MATCH(PAYROLL!D24,ADJ!A$1:A$500,0),MATCH(PAYROLL!DN$2,ADJ!$2:$2,0)),0)</f>
        <v/>
      </c>
      <c r="DO24">
        <f>IFERROR(SUM(BO24,DM24:DN24,CW24:CZ24)-DT24,0)</f>
        <v/>
      </c>
      <c r="DP24">
        <f ref="DP24" t="array">SUM(BV24*IFERROR(INDEX(CSDA!D$1:D$500,MATCH(BV$2,CSDA!C$1:C$500,0)),0)%,CW24*IFERROR(INDEX(CSDA!D$1:D$500,MATCH(CW$2,CSDA!C$1:C$500,0)),0)%,CZ24*IFERROR(INDEX(CSDA!D$1:D$500,MATCH(CZ$2,CSDA!C$1:C$500,0)),0)%,DA24*IFERROR(INDEX(CSDA!D$1:D$500,MATCH(DA$2,CSDA!C$1:C$500,0)),0)%,DE24*IFERROR(INDEX(CSDA!D$1:D$500,MATCH("Phí dịch vụ"&amp;PAYROLL!DE$2,CSDA!A$1:A$500&amp;CSDA!C$1:C$500,0)),0)%,DB24*IFERROR(INDEX(CSDA!D$1:D$500,MATCH("Phí dịch vụ"&amp;PAYROLL!DB$2,CSDA!A$1:A$500&amp;CSDA!C$1:C$500,0)),0)%,DG24*IFERROR(INDEX(CSDA!D$1:D$500,MATCH("Phí dịch vụ"&amp;PAYROLL!DG$2,CSDA!A$1:A$500&amp;CSDA!C$1:C$500,0)),0)%,DI24*IFERROR(INDEX(CSDA!D$1:D$500,MATCH("Phí dịch vụ"&amp;PAYROLL!DI$2,CSDA!A$1:A$500&amp;CSDA!C$1:C$500,0)),0)%,BM24*IFERROR(INDEX(CSDA!D$1:D$500,MATCH(BM$2,CSDA!C$1:C$500,0)),0)%)-BM24*7%</f>
        <v/>
      </c>
      <c r="DQ24">
        <f>IFERROR(INDEX(ADJ!$A$1:$BZ$1000,MATCH(PAYROLL!D24,ADJ!A$1:A$500,0),MATCH(PAYROLL!DQ$2,ADJ!$2:$2,0)),0)</f>
        <v/>
      </c>
      <c r="DR24">
        <f>IFERROR(INDEX(ADJ!$A$1:$BZ$1000,MATCH(PAYROLL!D24,ADJ!A$1:A$500,0),MATCH(PAYROLL!DR$2,ADJ!$2:$2,0)),0)</f>
        <v/>
      </c>
      <c r="DS24">
        <f>SUM(DP24:DR24)</f>
        <v/>
      </c>
      <c r="DT24">
        <f>EK24</f>
        <v/>
      </c>
      <c r="DU24">
        <f>SUM(DO24:DR24)</f>
        <v/>
      </c>
      <c r="DV24">
        <f>ROUND(DU24*0.1,0)</f>
        <v/>
      </c>
      <c r="DW24">
        <f>DU24+DV24</f>
        <v/>
      </c>
      <c r="DZ24">
        <f>IFERROR(INDEX(ADJ!$A$1:$BZ$1000,MATCH(PAYROLL!$D24,ADJ!A$1:A$500,0),MATCH(PAYROLL!DZ$2,ADJ!$2:$2,0)),0)</f>
        <v/>
      </c>
      <c r="EA24">
        <f>IFERROR(INDEX(ADJ!$A$1:$BZ$1000,MATCH(PAYROLL!$D24,ADJ!A$1:A$500,0),MATCH(PAYROLL!EA$2,ADJ!$2:$2,0)),0)</f>
        <v/>
      </c>
      <c r="EB24">
        <f>IFERROR(INDEX(ADJ!$A$1:$BZ$1000,MATCH(PAYROLL!$D24,ADJ!A$1:A$500,0),MATCH(PAYROLL!EB$2,ADJ!$2:$2,0)),0)</f>
        <v/>
      </c>
      <c r="EC24">
        <f>IFERROR(INDEX(ADJ!$A$1:$BZ$1000,MATCH(PAYROLL!$D24,ADJ!A$1:A$500,0),MATCH(PAYROLL!EC$2,ADJ!$2:$2,0)),0)</f>
        <v/>
      </c>
      <c r="ED24">
        <f>IFERROR(INDEX(ADJ!$A$1:$BZ$1000,MATCH(PAYROLL!$D24,ADJ!A$1:A$500,0),MATCH(PAYROLL!ED$2,ADJ!$2:$2,0)),0)</f>
        <v/>
      </c>
      <c r="EE24">
        <f>IFERROR(INDEX(ADJ!$A$1:$BZ$1000,MATCH(PAYROLL!$D24,ADJ!A$1:A$500,0),MATCH(PAYROLL!EE$2,ADJ!$2:$2,0)),0)</f>
        <v/>
      </c>
      <c r="EF24">
        <f>IFERROR(INDEX(ADJ!$A$1:$BZ$1000,MATCH(PAYROLL!$D24,ADJ!A$1:A$500,0),MATCH(PAYROLL!EF$2,ADJ!$2:$2,0)),0)</f>
        <v/>
      </c>
      <c r="EG24">
        <f>IFERROR(INDEX(ADJ!$A$1:$BZ$1000,MATCH(PAYROLL!$D24,ADJ!A$1:A$500,0),MATCH(PAYROLL!EG$2,ADJ!$2:$2,0)),0)</f>
        <v/>
      </c>
      <c r="EH24">
        <f>IFERROR(INDEX(ADJ!$A$1:$BZ$1000,MATCH(PAYROLL!$D24,ADJ!A$1:A$500,0),MATCH(PAYROLL!EH$2,ADJ!$2:$2,0)),0)</f>
        <v/>
      </c>
      <c r="EI24">
        <f>IFERROR(INDEX(ADJ!$A$1:$BZ$1000,MATCH(PAYROLL!D24,ADJ!A$1:A$500,0),MATCH(PAYROLL!EI$2,ADJ!$2:$2,0)),0)</f>
        <v/>
      </c>
      <c r="EJ24">
        <f>IFERROR(INDEX(ADJ!$A$1:$BZ$1000,MATCH(PAYROLL!$D24,ADJ!A$1:A$500,0),MATCH(PAYROLL!EJ$2,ADJ!$2:$2,0)),0)</f>
        <v/>
      </c>
      <c r="EK24">
        <f>SUM(DZ24:EJ24)</f>
        <v/>
      </c>
    </row>
    <row r="25">
      <c r="A25" t="n">
        <v>23</v>
      </c>
      <c r="B25" t="inlineStr">
        <is>
          <t>Nguyễn Văn Cường</t>
        </is>
      </c>
      <c r="D25" t="inlineStr">
        <is>
          <t>158465-01</t>
        </is>
      </c>
      <c r="S25">
        <f>IFERROR(INDEX(PIS!$A$1:$BZ$1000,MATCH($D25,PIS!C$1:C$500,0),MATCH("Lương CB tháng trước",PIS!$1:$1,0)),0)</f>
        <v/>
      </c>
      <c r="T25">
        <f>IFERROR(INDEX(PIS!$A$1:$BZ$1000,MATCH($D25,PIS!C$1:C$500,0),MATCH("Lương CB hiện tại",PIS!$1:$1,0)),0)</f>
        <v/>
      </c>
      <c r="U25">
        <f>IFERROR(INDEX(PIS!$A$1:$BZ$1000,MATCH($D25,PIS!C$1:C$500,0),MATCH("Lương đóng BHBB",PIS!$1:$1,0)),0)</f>
        <v/>
      </c>
      <c r="V25">
        <f>IFERROR(INDEX(PIS!$A$1:$BZ$1000,MATCH($D25,PIS!C$1:C$500,0),MATCH(V$2,PIS!$2:$2,0)),0)</f>
        <v/>
      </c>
      <c r="W25">
        <f>IFERROR(INDEX(PIS!$A$1:$BZ$1000,MATCH($D25,PIS!C$1:C$500,0),MATCH(W$2,PIS!$2:$2,0)),0)</f>
        <v/>
      </c>
      <c r="X25">
        <f>IFERROR(INDEX(PIS!$A$1:$BZ$1000,MATCH($D25,PIS!C$1:C$500,0),MATCH(X$2,PIS!$2:$2,0)),0)</f>
        <v/>
      </c>
      <c r="Y25">
        <f>IFERROR(INDEX(PIS!$A$1:$BZ$1000,MATCH($D25,PIS!C$1:C$500,0),MATCH(Y$2,PIS!$2:$2,0)),0)</f>
        <v/>
      </c>
      <c r="Z25">
        <f>IFERROR(INDEX(PIS!$A$1:$BZ$1000,MATCH($D25,PIS!C$1:C$500,0),MATCH(Z$2,PIS!$2:$2,0)),0)</f>
        <v/>
      </c>
      <c r="AA25">
        <f>IFERROR(INDEX(PIS!$A$1:$BZ$1000,MATCH($D25,PIS!C$1:C$500,0),MATCH(AA$2,PIS!$2:$2,0)),0)</f>
        <v/>
      </c>
      <c r="AB25">
        <f>IFERROR(INDEX(PIS!$A$1:$BZ$1000,MATCH($D25,PIS!C$1:C$500,0),MATCH(AB$2,PIS!$2:$2,0)),0)</f>
        <v/>
      </c>
      <c r="AC25">
        <f>SUM(V25:AB25)</f>
        <v/>
      </c>
      <c r="AD25">
        <f>IFERROR(INDEX(TIMESHEET!$A$1:$AI$5000,MATCH($D25,TIMESHEET!A$1:A$500,0),MATCH("T100",TIMESHEET!$2:$2,0)),0)</f>
        <v/>
      </c>
      <c r="AE25">
        <f>IFERROR(INDEX(TIMESHEET!$A$1:$AI$5000,MATCH($D25,TIMESHEET!A$1:A$500,0),MATCH("T202",TIMESHEET!$2:$2,0)),0)</f>
        <v/>
      </c>
      <c r="AF25">
        <f>IFERROR(INDEX(TIMESHEET!$A$1:$AI$5000,MATCH($D25,TIMESHEET!A$1:A$500,0),MATCH("T302",TIMESHEET!$2:$2,0)),0)</f>
        <v/>
      </c>
      <c r="AG25">
        <f>IFERROR(INDEX(TIMESHEET!$A$1:$AI$5000,MATCH($D25,TIMESHEET!A$1:A$500,0),MATCH("T406",TIMESHEET!$2:$2,0)),0)</f>
        <v/>
      </c>
      <c r="AH25">
        <f>IF(SUM(AE25:AG25)&gt;=26,26,SUM(AE25:AG25))</f>
        <v/>
      </c>
      <c r="AI25">
        <f>IFERROR(INDEX(TIMESHEET!$A$1:$AI$5000,MATCH($D25,TIMESHEET!A$1:A$500,0),MATCH("T701",TIMESHEET!$2:$2,0)),0)</f>
        <v/>
      </c>
      <c r="AJ25">
        <f>IFERROR(IF(INDEX(PIS!N$1:N$500,MATCH(D25,PIS!C$1:C$500,0))="LC4",(T25*0.85)/AD25*AH25,ROUND(T25/AD25*AH25,0)),0)</f>
        <v/>
      </c>
      <c r="AK25">
        <f>IFERROR(INDEX(ADJ!$A$1:$BZ$1000,MATCH(PAYROLL!D25,ADJ!A$1:A$500,0),MATCH(PAYROLL!AK$2,ADJ!$2:$2,0)),0)</f>
        <v/>
      </c>
      <c r="AL25">
        <f>SUM(AJ25:AK25)</f>
        <v/>
      </c>
      <c r="AM25">
        <f>IF(AH25&gt;13,V25,ROUND(V25/AD25*AH25,0))</f>
        <v/>
      </c>
      <c r="AN25">
        <f>IF(AD25=0,0,ROUND(W25/AD25*AI25,0))</f>
        <v/>
      </c>
      <c r="AO25">
        <f>ROUND(X25*AH25,0)</f>
        <v/>
      </c>
      <c r="AP25">
        <f>IF(AD25=0,0,ROUND(Y25/AD25*AH25,0))</f>
        <v/>
      </c>
      <c r="AQ25">
        <f>IFERROR(IF((AE25+AF25+AG25)&gt;13,Z25,ROUND(Z25/AD25*AH25,0)),0)</f>
        <v/>
      </c>
      <c r="AR25">
        <f>IF(AD25=0,0,ROUND(AA54/AD25*AH25,0))</f>
        <v/>
      </c>
      <c r="AS25">
        <f>IFERROR(IF((AE25+AF25+AG25)&gt;13,AB25,ROUND(AB25/AD25*AH25,0)),0)</f>
        <v/>
      </c>
      <c r="AT25">
        <f>IFERROR(INDEX(ADJ!$A$1:$BZ$1000,MATCH(PAYROLL!D25,ADJ!A$1:A$500,0),MATCH(PAYROLL!AT$2,ADJ!$2:$2,0)),0)</f>
        <v/>
      </c>
      <c r="AU25">
        <f>ROUND(SUM(AM25:AT25),0)</f>
        <v/>
      </c>
      <c r="AV25">
        <f>IFERROR(INDEX(TIMESHEET!$A$1:$AI$5000,MATCH(PAYROLL!D25,TIMESHEET!A$1:A$500,0),MATCH("T620",TIMESHEET!$2:$2,0)),0)</f>
        <v/>
      </c>
      <c r="AW25">
        <f>IFERROR(INDEX(TIMESHEET!$A$1:$AI$5000,MATCH(PAYROLL!D25,TIMESHEET!A$1:A$500,0),MATCH("T601",TIMESHEET!$2:$2,0)),0)</f>
        <v/>
      </c>
      <c r="AX25">
        <f>IFERROR(INDEX(TIMESHEET!$A$1:$AI$5000,MATCH(PAYROLL!D25,TIMESHEET!A$1:A$500,0),MATCH("T602",TIMESHEET!$2:$2,0)),0)</f>
        <v/>
      </c>
      <c r="AY25">
        <f>IFERROR(INDEX(TIMESHEET!$A$1:$AI$5000,MATCH(PAYROLL!D25,TIMESHEET!A$1:A$500,0),MATCH("T603",TIMESHEET!$2:$2,0)),0)</f>
        <v/>
      </c>
      <c r="AZ25">
        <f>IFERROR(INDEX(TIMESHEET!$A$1:$AI$5000,MATCH(PAYROLL!D25,TIMESHEET!A$1:A$500,0),MATCH("T611",TIMESHEET!$2:$2,0)),0)</f>
        <v/>
      </c>
      <c r="BA25">
        <f>IFERROR(INDEX(TIMESHEET!$A$1:$AI$5000,MATCH(PAYROLL!D25,TIMESHEET!A$1:A$500,0),MATCH("T612",TIMESHEET!$2:$2,0)),0)</f>
        <v/>
      </c>
      <c r="BB25">
        <f>IFERROR(INDEX(TIMESHEET!$A$1:$AI$5000,MATCH(PAYROLL!D25,TIMESHEET!A$1:A$500,0),MATCH("T613",TIMESHEET!$2:$2,0)),0)</f>
        <v/>
      </c>
      <c r="BC25">
        <f>IFERROR(INDEX(TIMESHEET!$A$1:$AI$5000,MATCH(PAYROLL!D25,TIMESHEET!A$1:A$500,0),MATCH("T500",TIMESHEET!$2:$2,0)),0)</f>
        <v/>
      </c>
      <c r="BD25">
        <f>IFERROR((T25+V25)/AD25/8*(AV25+AW25*1.5+AX25*2+AY25*3+AZ25*2.1+BA25*2.7+BB25*3.9+BC25*0.3),0)</f>
        <v/>
      </c>
      <c r="BE25">
        <f>IFERROR(INDEX(ADJ!$A$1:$BZ$1000,MATCH(PAYROLL!$D25,ADJ!A$1:A$500,0),MATCH(PAYROLL!BE$2,ADJ!$2:$2,0)),0)</f>
        <v/>
      </c>
      <c r="BF25">
        <f>IFERROR(INDEX(ADJ!$A$1:$BZ$1000,MATCH(PAYROLL!D25,ADJ!A$1:A$500,0),MATCH(PAYROLL!BF$2,ADJ!$2:$2,0)),0)</f>
        <v/>
      </c>
      <c r="BG25">
        <f>IFERROR(INDEX(ADJ!$A$1:$BZ$1000,MATCH(PAYROLL!D25,ADJ!A$1:A$500,0),MATCH(PAYROLL!BG$2,ADJ!$2:$2,0)),0)</f>
        <v/>
      </c>
      <c r="BH25">
        <f>IFERROR(INDEX(ADJ!$A$1:$BZ$1000,MATCH(PAYROLL!D25,ADJ!A$1:A$500,0),MATCH(PAYROLL!BH$2,ADJ!$2:$2,0)),0)</f>
        <v/>
      </c>
      <c r="BI25">
        <f>IFERROR(INDEX(ADJ!$A$1:$BZ$1000,MATCH(PAYROLL!D25,ADJ!A$1:A$500,0),MATCH(PAYROLL!BI$2,ADJ!$2:$2,0)),0)</f>
        <v/>
      </c>
      <c r="BJ25">
        <f>SUM(BE25:BI25)</f>
        <v/>
      </c>
      <c r="BK25">
        <f>IFERROR(IF(INDEX(PIS!N$1:N$500,MATCH(D25,PIS!C$1:C$500))="LC12",(T25*21.5%)/AD25*AH25,0),0)</f>
        <v/>
      </c>
      <c r="BL25">
        <f>IFERROR(INDEX(ADJ!$A$1:$BZ$1000,MATCH(PAYROLL!D25,ADJ!A$1:A$500,0),MATCH(PAYROLL!BL$2,ADJ!$2:$2,0)),0)</f>
        <v/>
      </c>
      <c r="BM25">
        <f>IFERROR(INDEX(ADJ!$A$1:$BZ$1000,MATCH(PAYROLL!D25,ADJ!A$1:A$500,0),MATCH(PAYROLL!BM$2,ADJ!$2:$2,0)),0)</f>
        <v/>
      </c>
      <c r="BN25">
        <f>IFERROR(INDEX(ADJ!$A$1:$BZ$1000,MATCH(PAYROLL!D25,ADJ!A$1:A$500,0),MATCH(PAYROLL!BN$2,ADJ!$2:$2,0)),0)</f>
        <v/>
      </c>
      <c r="BO25">
        <f>SUM(AL25,AU25,BD25,BJ25,BK25:BN25)</f>
        <v/>
      </c>
      <c r="BP25">
        <f>BN25+AP25</f>
        <v/>
      </c>
      <c r="BQ25">
        <f>IFERROR(ROUND(IF(LEFT(INDEX(PIS!O$1:O$500,MATCH(D25,PIS!C$1:C$500)),1)="D",T25/8*(BC25*0.3),IF(LEFT(INDEX(PIS!O$1:O$500,MATCH(D25,PIS!C$1:C$500)),1)="H",T25*($BC25*0.3),T25/$AD25/8*($BC25*0.3))),0),0)</f>
        <v/>
      </c>
      <c r="BR25">
        <f>IF(AO25&lt;1,0,MIN(AO25,730000))</f>
        <v/>
      </c>
      <c r="BS25">
        <f>IFERROR(ROUND((BD25-SUM(AV25:BB25)*T25/AD25/8),0)-BQ25,0)</f>
        <v/>
      </c>
      <c r="BT25">
        <f>AN25</f>
        <v/>
      </c>
      <c r="BU25">
        <f>SUM(BP25:BT25)</f>
        <v/>
      </c>
      <c r="BV25">
        <f>BO25-BU25</f>
        <v/>
      </c>
      <c r="BW25">
        <f>IFERROR(IF(RIGHT(INDEX(PIS!O$1:O$500,MATCH(D25,PIS!C$1:C$500)),5)="Gross",MIN(U25+V25,VLOOKUP("R700",TSC!B:C,2,0)*VLOOKUP("R101",TSC!B:C,2,0))*VLOOKUP("R701",TSC!B:C,2,0)%,0),0)</f>
        <v/>
      </c>
      <c r="BX25">
        <f>IFERROR(IF(RIGHT(INDEX(PIS!O$1:O$500,MATCH(D25,PIS!C$1:C$500)),5)="Gross",MIN(U25+V25,VLOOKUP("R700",TSC!B:C,2,0)*VLOOKUP("R101",TSC!B:C,2,0))*VLOOKUP("T704",TSC!B:C,2,0)%,0),0)</f>
        <v/>
      </c>
      <c r="BY25">
        <f>IFERROR(IF(RIGHT(INDEX(PIS!O$1:O$500,MATCH(D25,PIS!C$1:C$500)),5)="Gross",MIN(U25+V25,VLOOKUP("R700",TSC!B:C,2,0)*VLOOKUP("1",TSC!F:G,2,0))*VLOOKUP("T705",TSC!B:C,2,0)%,0),0)</f>
        <v/>
      </c>
      <c r="BZ25">
        <f>IFERROR(INDEX(ADJ!$A$1:$BZ$1000,MATCH(PAYROLL!D25,ADJ!A$1:A$500,0),MATCH(PAYROLL!BZ$2,ADJ!$2:$2,0)),0)</f>
        <v/>
      </c>
      <c r="CA25">
        <f>IFERROR(INDEX(ADJ!$A$1:$BZ$1000,MATCH(PAYROLL!D25,ADJ!A$1:A$500,0),MATCH(PAYROLL!CA$2,ADJ!$2:$2,0)),0)</f>
        <v/>
      </c>
      <c r="CB25">
        <f>SUM(BW25:CA25)</f>
        <v/>
      </c>
      <c r="CC25">
        <f>IFERROR(INDEX(PIS!$A$1:$BZ$1000,MATCH(PAYROLL!D25,PIS!C$1:C$500,0),MATCH(PAYROLL!CC$1,PIS!$1:$1,0)),0)</f>
        <v/>
      </c>
      <c r="CD25">
        <f>IFERROR(IF(OR(INDEX(PIS!P$1:P$500,MATCH(D25,PIS!C$1:C$500,0))="LT2",INDEX(PIS!P$1:P$500,MATCH(D25,PIS!C$1:C$500,0))="P10"),0,SUM(CB25,CC25*VLOOKUP("R601",TSC!B:C,2,0),VLOOKUP("R602",TSC!B:C,2,0))),0)</f>
        <v/>
      </c>
      <c r="CE25">
        <f>MAX(BV25-CD25,0)</f>
        <v/>
      </c>
      <c r="CF25">
        <f>IFERROR(IF(OR(RIGHT(INDEX(PIS!P$1:P$500,MATCH(D25,PIS!C$1:C$500)),5)="P10",RIGHT(INDEX(PIS!P$1:P$500,MATCH(D25,PIS!C$1:C$500)),5)="CK"),0,IF(CE25&lt;=5000000,CE25*5%,IF(CE25&lt;=10000000,CE25*10%-250000,IF(CE25&lt;=18000000,CE25*15%-750000,IF(CE25&lt;=32000000,CE25*20%-1650000,IF(CE25&lt;=52000000,CE25*25%-3250000,IF(CE25&lt;=80000000,BG25*30%-5850000,CE25*35%-9850000))))))),0)</f>
        <v/>
      </c>
      <c r="CG25">
        <f>IFERROR(IF(OR(INDEX(PIS!P$1:P$500,MATCH(D25,PIS!C$1:C$500))="LT",INDEX(PIS!P$1:P$500,MATCH(D25,PIS!C$1:C$500))="CK"),0,IF(CE25&lt;2000000,0,CE25*10%)),0)</f>
        <v/>
      </c>
      <c r="CH25">
        <f>IFERROR(INDEX(ADJ!$A$1:$BZ$1000,MATCH(PAYROLL!D25,ADJ!A$1:A$500,0),MATCH(PAYROLL!CH$2,ADJ!$2:$2,0)),0)</f>
        <v/>
      </c>
      <c r="CI25">
        <f>IFERROR(INDEX(ADJ!$A$1:$BZ$1000,MATCH(PAYROLL!D25,ADJ!A$1:A$500,0),MATCH(PAYROLL!CI$2,ADJ!$2:$2,0)),0)</f>
        <v/>
      </c>
      <c r="CJ25">
        <f>IFERROR(INDEX(ADJ!$A$1:$BZ$1000,MATCH(PAYROLL!D25,ADJ!A$1:A$500,0),MATCH(PAYROLL!CJ$2,ADJ!$2:$2,0)),0)</f>
        <v/>
      </c>
      <c r="CK25">
        <f>SUM(CF25:CJ25)</f>
        <v/>
      </c>
      <c r="CL25">
        <f>ROUND(SUM(CG25:CJ25),0)</f>
        <v/>
      </c>
      <c r="CM25">
        <f>IFERROR(INDEX(CSDA!D$1:D$500,MATCH($CM$2,CSDA!C$1:C$500,0))*INDEX(PIS!V$1:V$500,MATCH(D25,PIS!C$1:C$500))+INDEX(ADJ!$A$1:$BZ$1000,MATCH(PAYROLL!D25,ADJ!A$1:A$500,0),MATCH(PAYROLL!CM$2,ADJ!$2:$2,0)),0)</f>
        <v/>
      </c>
      <c r="CN25">
        <f>IFERROR(INDEX(ADJ!$A$1:$BZ$1000,MATCH(PAYROLL!D25,ADJ!A$1:A$500,0),MATCH(PAYROLL!CN$2,ADJ!$2:$2,0)),0)</f>
        <v/>
      </c>
      <c r="CO25">
        <f>IFERROR(INDEX(ADJ!$A$1:$BZ$1000,MATCH(PAYROLL!D25,ADJ!A$1:A$500,0),MATCH(PAYROLL!CO$2,ADJ!$2:$2,0)),0)</f>
        <v/>
      </c>
      <c r="CP25">
        <f>BO25-CK25-CH25-CL25-CM25-CN25-CO25-CB25</f>
        <v/>
      </c>
      <c r="CQ25">
        <f>IFERROR(IF(RIGHT(INDEX(PIS!O$1:O$500,MATCH(D25,PIS!C$1:C$500,0)),5)="Gross",MIN(U25+V25,VLOOKUP("R700",TSC!B:C,2,0)*VLOOKUP("R101",TSC!B:C,2,0))*(VLOOKUP("T711",TSC!B:C,2,0)+VLOOKUP("T712",TSC!B:C,2,0))%,MIN(T25+V25,VLOOKUP("R700",TSC!B:C,2,0)*VLOOKUP("R101",TSC!B:C,2,0))*(VLOOKUP("T711",TSC!B:C,2,0)+VLOOKUP("T712",TSC!B:C,2,0)+VLOOKUP("R701",TSC!B:C,2,0))%),0)</f>
        <v/>
      </c>
      <c r="CR25">
        <f>IFERROR(IF(RIGHT(INDEX(PIS!O$1:O$500,MATCH(D25,PIS!C$1:C$500,0)),5)="Gross",MIN(U25+V25,VLOOKUP("R700",TSC!B:C,2,0)*VLOOKUP("R101",TSC!B:C,2,0))*(VLOOKUP("T714",TSC!B:C,2,0))%,MIN(T25+V25,VLOOKUP("R700",TSC!B:C,2,0)*VLOOKUP("R101",TSC!B:C,2,0))*(VLOOKUP("T704",TSC!B:C,2,0)+VLOOKUP("T714",TSC!B:C,2,0))%),0)</f>
        <v/>
      </c>
      <c r="CS25">
        <f>IFERROR(IF(RIGHT(INDEX(PIS!O$1:O$500,MATCH(D25,PIS!C$1:C$500,0)),5)="Gross",MIN(U25+V25,VLOOKUP("R700",TSC!B:C,2,0)*VLOOKUP("R101",TSC!B:C,2,0))*VLOOKUP("T705",TSC!B:C,2,0)%,MIN(T25+V25,VLOOKUP("R700",TSC!B:C,2,0)*VLOOKUP("R101",TSC!B:C,2,0))*VLOOKUP("T705",TSC!B:C,2,0)%),0)</f>
        <v/>
      </c>
      <c r="CT25">
        <f>IFERROR(IF(RIGHT(INDEX(PIS!O$1:O$500,MATCH(D25,PIS!C$1:C$500,0)),5)="Gross",MIN(U25+V25,VLOOKUP("R700",TSC!B:C,2,0)*VLOOKUP("R101",TSC!B:C,2,0))*(VLOOKUP("T713",TSC!B:C,2,0))%,MIN(T25+V25,VLOOKUP("R700",TSC!B:C,2,0)*VLOOKUP("R101",TSC!B:C,2,0))*(VLOOKUP("T713",TSC!B:C,2,0))%),0)</f>
        <v/>
      </c>
      <c r="CU25">
        <f>IFERROR(INDEX(ADJ!$A$1:$BZ$1000,MATCH(PAYROLL!D25,ADJ!A$1:A$500,0),MATCH(PAYROLL!CU$2,ADJ!$2:$2,0)),0)</f>
        <v/>
      </c>
      <c r="CV25">
        <f>IFERROR(INDEX(ADJ!$A$1:$BZ$1000,MATCH(PAYROLL!D25,ADJ!A$1:A$500,0),MATCH(PAYROLL!CV$2,ADJ!$2:$2,0)),0)</f>
        <v/>
      </c>
      <c r="CW25">
        <f>SUM(CQ25:CV25)</f>
        <v/>
      </c>
      <c r="CX25">
        <f>ROUND(IF(CQ25&gt;0,T25+V25*VLOOKUP("R202",TSC!$B$1:$C$500,2,0),0),0)</f>
        <v/>
      </c>
      <c r="CY25">
        <f>IFERROR(INDEX(CSDA!D$1:D$500,MATCH($CY$2,CSDA!C$1:C$500,0)),0)</f>
        <v/>
      </c>
      <c r="CZ25">
        <f>ROUND(T25*0.7%,0)</f>
        <v/>
      </c>
      <c r="DA25">
        <f>ROUND(T25/12,0)</f>
        <v/>
      </c>
      <c r="DB25">
        <f ref="DB25" t="array">IFERROR(INDEX(CSDA!D$1:D$500,MATCH("Trích giữ"&amp;PAYROLL!DB$2,CSDA!A$1:A$500&amp;CSDA!C$1:C$500,0)),0)</f>
        <v/>
      </c>
      <c r="DC25">
        <f ref="DC25" t="array">IFERROR(INDEX(CSDA!D$1:D$500,MATCH("Trích giữ"&amp;PAYROLL!DC$2,CSDA!A$1:A$500&amp;CSDA!C$1:C$500,0)),0)</f>
        <v/>
      </c>
      <c r="DD25">
        <f ref="DD25" t="array">IFERROR(INDEX(CSDA!D$1:D$500,MATCH("Trích giữ"&amp;PAYROLL!DD$2,CSDA!A$1:A$500&amp;CSDA!C$1:C$500,0)),0)</f>
        <v/>
      </c>
      <c r="DE25">
        <f>IFERROR(INDEX(CSDA!D$1:D$500,MATCH(PAYROLL!DE$2,CSDA!C$1:C$500,0)),0)</f>
        <v/>
      </c>
      <c r="DF25">
        <f ref="DF25" t="array">IFERROR(INDEX(CSDA!D$1:D$500,MATCH("Trích giữ"&amp;PAYROLL!DF$2,CSDA!A$1:A$500&amp;CSDA!C$1:C$500,0)),0)</f>
        <v/>
      </c>
      <c r="DG25">
        <f>ROUND(T25/26,0)</f>
        <v/>
      </c>
      <c r="DH25">
        <f ref="DH25" t="array">IFERROR(INDEX(CSDA!D$1:D$500,MATCH("Trích giữ"&amp;PAYROLL!DH$2,CSDA!A$1:A$500&amp;CSDA!C$1:C$500,0)),0)</f>
        <v/>
      </c>
      <c r="DI25">
        <f>IF(U25=0,T25*21.5%-BK25,0)</f>
        <v/>
      </c>
      <c r="DK25">
        <f ref="DK25" t="array">IFERROR(INDEX(CSDA!D$1:D$500,MATCH("Trích giữ"&amp;PAYROLL!DK$2,CSDA!A$1:A$500&amp;CSDA!C$1:C$500,0)),0)</f>
        <v/>
      </c>
      <c r="DL25">
        <f>IFERROR(INDEX(CSDA!D$1:D$500,MATCH(PAYROLL!DL$2,CSDA!C$1:C$500,0))/12,0)</f>
        <v/>
      </c>
      <c r="DM25">
        <f>SUM(DA25:DL25)</f>
        <v/>
      </c>
      <c r="DN25">
        <f>IFERROR(INDEX(ADJ!$A$1:$BZ$1000,MATCH(PAYROLL!D25,ADJ!A$1:A$500,0),MATCH(PAYROLL!DN$2,ADJ!$2:$2,0)),0)</f>
        <v/>
      </c>
      <c r="DO25">
        <f>IFERROR(SUM(BO25,DM25:DN25,CW25:CZ25)-DT25,0)</f>
        <v/>
      </c>
      <c r="DP25">
        <f ref="DP25" t="array">SUM(BV25*IFERROR(INDEX(CSDA!D$1:D$500,MATCH(BV$2,CSDA!C$1:C$500,0)),0)%,CW25*IFERROR(INDEX(CSDA!D$1:D$500,MATCH(CW$2,CSDA!C$1:C$500,0)),0)%,CZ25*IFERROR(INDEX(CSDA!D$1:D$500,MATCH(CZ$2,CSDA!C$1:C$500,0)),0)%,DA25*IFERROR(INDEX(CSDA!D$1:D$500,MATCH(DA$2,CSDA!C$1:C$500,0)),0)%,DE25*IFERROR(INDEX(CSDA!D$1:D$500,MATCH("Phí dịch vụ"&amp;PAYROLL!DE$2,CSDA!A$1:A$500&amp;CSDA!C$1:C$500,0)),0)%,DB25*IFERROR(INDEX(CSDA!D$1:D$500,MATCH("Phí dịch vụ"&amp;PAYROLL!DB$2,CSDA!A$1:A$500&amp;CSDA!C$1:C$500,0)),0)%,DG25*IFERROR(INDEX(CSDA!D$1:D$500,MATCH("Phí dịch vụ"&amp;PAYROLL!DG$2,CSDA!A$1:A$500&amp;CSDA!C$1:C$500,0)),0)%,DI25*IFERROR(INDEX(CSDA!D$1:D$500,MATCH("Phí dịch vụ"&amp;PAYROLL!DI$2,CSDA!A$1:A$500&amp;CSDA!C$1:C$500,0)),0)%,BM25*IFERROR(INDEX(CSDA!D$1:D$500,MATCH(BM$2,CSDA!C$1:C$500,0)),0)%)-BM25*7%</f>
        <v/>
      </c>
      <c r="DQ25">
        <f>IFERROR(INDEX(ADJ!$A$1:$BZ$1000,MATCH(PAYROLL!D25,ADJ!A$1:A$500,0),MATCH(PAYROLL!DQ$2,ADJ!$2:$2,0)),0)</f>
        <v/>
      </c>
      <c r="DR25">
        <f>IFERROR(INDEX(ADJ!$A$1:$BZ$1000,MATCH(PAYROLL!D25,ADJ!A$1:A$500,0),MATCH(PAYROLL!DR$2,ADJ!$2:$2,0)),0)</f>
        <v/>
      </c>
      <c r="DS25">
        <f>SUM(DP25:DR25)</f>
        <v/>
      </c>
      <c r="DT25">
        <f>EK25</f>
        <v/>
      </c>
      <c r="DU25">
        <f>SUM(DO25:DR25)</f>
        <v/>
      </c>
      <c r="DV25">
        <f>ROUND(DU25*0.1,0)</f>
        <v/>
      </c>
      <c r="DW25">
        <f>DU25+DV25</f>
        <v/>
      </c>
      <c r="DZ25">
        <f>IFERROR(INDEX(ADJ!$A$1:$BZ$1000,MATCH(PAYROLL!$D25,ADJ!A$1:A$500,0),MATCH(PAYROLL!DZ$2,ADJ!$2:$2,0)),0)</f>
        <v/>
      </c>
      <c r="EA25">
        <f>IFERROR(INDEX(ADJ!$A$1:$BZ$1000,MATCH(PAYROLL!$D25,ADJ!A$1:A$500,0),MATCH(PAYROLL!EA$2,ADJ!$2:$2,0)),0)</f>
        <v/>
      </c>
      <c r="EB25">
        <f>IFERROR(INDEX(ADJ!$A$1:$BZ$1000,MATCH(PAYROLL!$D25,ADJ!A$1:A$500,0),MATCH(PAYROLL!EB$2,ADJ!$2:$2,0)),0)</f>
        <v/>
      </c>
      <c r="EC25">
        <f>IFERROR(INDEX(ADJ!$A$1:$BZ$1000,MATCH(PAYROLL!$D25,ADJ!A$1:A$500,0),MATCH(PAYROLL!EC$2,ADJ!$2:$2,0)),0)</f>
        <v/>
      </c>
      <c r="ED25">
        <f>IFERROR(INDEX(ADJ!$A$1:$BZ$1000,MATCH(PAYROLL!$D25,ADJ!A$1:A$500,0),MATCH(PAYROLL!ED$2,ADJ!$2:$2,0)),0)</f>
        <v/>
      </c>
      <c r="EE25">
        <f>IFERROR(INDEX(ADJ!$A$1:$BZ$1000,MATCH(PAYROLL!$D25,ADJ!A$1:A$500,0),MATCH(PAYROLL!EE$2,ADJ!$2:$2,0)),0)</f>
        <v/>
      </c>
      <c r="EF25">
        <f>IFERROR(INDEX(ADJ!$A$1:$BZ$1000,MATCH(PAYROLL!$D25,ADJ!A$1:A$500,0),MATCH(PAYROLL!EF$2,ADJ!$2:$2,0)),0)</f>
        <v/>
      </c>
      <c r="EG25">
        <f>IFERROR(INDEX(ADJ!$A$1:$BZ$1000,MATCH(PAYROLL!$D25,ADJ!A$1:A$500,0),MATCH(PAYROLL!EG$2,ADJ!$2:$2,0)),0)</f>
        <v/>
      </c>
      <c r="EH25">
        <f>IFERROR(INDEX(ADJ!$A$1:$BZ$1000,MATCH(PAYROLL!$D25,ADJ!A$1:A$500,0),MATCH(PAYROLL!EH$2,ADJ!$2:$2,0)),0)</f>
        <v/>
      </c>
      <c r="EI25">
        <f>IFERROR(INDEX(ADJ!$A$1:$BZ$1000,MATCH(PAYROLL!D25,ADJ!A$1:A$500,0),MATCH(PAYROLL!EI$2,ADJ!$2:$2,0)),0)</f>
        <v/>
      </c>
      <c r="EJ25">
        <f>IFERROR(INDEX(ADJ!$A$1:$BZ$1000,MATCH(PAYROLL!$D25,ADJ!A$1:A$500,0),MATCH(PAYROLL!EJ$2,ADJ!$2:$2,0)),0)</f>
        <v/>
      </c>
      <c r="EK25">
        <f>SUM(DZ25:EJ25)</f>
        <v/>
      </c>
    </row>
    <row r="26">
      <c r="A26" t="n">
        <v>24</v>
      </c>
      <c r="B26" t="inlineStr">
        <is>
          <t>Phan Văn Trang</t>
        </is>
      </c>
      <c r="D26" t="inlineStr">
        <is>
          <t>157315-01</t>
        </is>
      </c>
      <c r="S26">
        <f>IFERROR(INDEX(PIS!$A$1:$BZ$1000,MATCH($D26,PIS!C$1:C$500,0),MATCH("Lương CB tháng trước",PIS!$1:$1,0)),0)</f>
        <v/>
      </c>
      <c r="T26">
        <f>IFERROR(INDEX(PIS!$A$1:$BZ$1000,MATCH($D26,PIS!C$1:C$500,0),MATCH("Lương CB hiện tại",PIS!$1:$1,0)),0)</f>
        <v/>
      </c>
      <c r="U26">
        <f>IFERROR(INDEX(PIS!$A$1:$BZ$1000,MATCH($D26,PIS!C$1:C$500,0),MATCH("Lương đóng BHBB",PIS!$1:$1,0)),0)</f>
        <v/>
      </c>
      <c r="V26">
        <f>IFERROR(INDEX(PIS!$A$1:$BZ$1000,MATCH($D26,PIS!C$1:C$500,0),MATCH(V$2,PIS!$2:$2,0)),0)</f>
        <v/>
      </c>
      <c r="W26">
        <f>IFERROR(INDEX(PIS!$A$1:$BZ$1000,MATCH($D26,PIS!C$1:C$500,0),MATCH(W$2,PIS!$2:$2,0)),0)</f>
        <v/>
      </c>
      <c r="X26">
        <f>IFERROR(INDEX(PIS!$A$1:$BZ$1000,MATCH($D26,PIS!C$1:C$500,0),MATCH(X$2,PIS!$2:$2,0)),0)</f>
        <v/>
      </c>
      <c r="Y26">
        <f>IFERROR(INDEX(PIS!$A$1:$BZ$1000,MATCH($D26,PIS!C$1:C$500,0),MATCH(Y$2,PIS!$2:$2,0)),0)</f>
        <v/>
      </c>
      <c r="Z26">
        <f>IFERROR(INDEX(PIS!$A$1:$BZ$1000,MATCH($D26,PIS!C$1:C$500,0),MATCH(Z$2,PIS!$2:$2,0)),0)</f>
        <v/>
      </c>
      <c r="AA26">
        <f>IFERROR(INDEX(PIS!$A$1:$BZ$1000,MATCH($D26,PIS!C$1:C$500,0),MATCH(AA$2,PIS!$2:$2,0)),0)</f>
        <v/>
      </c>
      <c r="AB26">
        <f>IFERROR(INDEX(PIS!$A$1:$BZ$1000,MATCH($D26,PIS!C$1:C$500,0),MATCH(AB$2,PIS!$2:$2,0)),0)</f>
        <v/>
      </c>
      <c r="AC26">
        <f>SUM(V26:AB26)</f>
        <v/>
      </c>
      <c r="AD26">
        <f>IFERROR(INDEX(TIMESHEET!$A$1:$AI$5000,MATCH($D26,TIMESHEET!A$1:A$500,0),MATCH("T100",TIMESHEET!$2:$2,0)),0)</f>
        <v/>
      </c>
      <c r="AE26">
        <f>IFERROR(INDEX(TIMESHEET!$A$1:$AI$5000,MATCH($D26,TIMESHEET!A$1:A$500,0),MATCH("T202",TIMESHEET!$2:$2,0)),0)</f>
        <v/>
      </c>
      <c r="AF26">
        <f>IFERROR(INDEX(TIMESHEET!$A$1:$AI$5000,MATCH($D26,TIMESHEET!A$1:A$500,0),MATCH("T302",TIMESHEET!$2:$2,0)),0)</f>
        <v/>
      </c>
      <c r="AG26">
        <f>IFERROR(INDEX(TIMESHEET!$A$1:$AI$5000,MATCH($D26,TIMESHEET!A$1:A$500,0),MATCH("T406",TIMESHEET!$2:$2,0)),0)</f>
        <v/>
      </c>
      <c r="AH26">
        <f>IF(SUM(AE26:AG26)&gt;=26,26,SUM(AE26:AG26))</f>
        <v/>
      </c>
      <c r="AI26">
        <f>IFERROR(INDEX(TIMESHEET!$A$1:$AI$5000,MATCH($D26,TIMESHEET!A$1:A$500,0),MATCH("T701",TIMESHEET!$2:$2,0)),0)</f>
        <v/>
      </c>
      <c r="AJ26">
        <f>IFERROR(IF(INDEX(PIS!N$1:N$500,MATCH(D26,PIS!C$1:C$500,0))="LC4",(T26*0.85)/AD26*AH26,ROUND(T26/AD26*AH26,0)),0)</f>
        <v/>
      </c>
      <c r="AK26">
        <f>IFERROR(INDEX(ADJ!$A$1:$BZ$1000,MATCH(PAYROLL!D26,ADJ!A$1:A$500,0),MATCH(PAYROLL!AK$2,ADJ!$2:$2,0)),0)</f>
        <v/>
      </c>
      <c r="AL26">
        <f>SUM(AJ26:AK26)</f>
        <v/>
      </c>
      <c r="AM26">
        <f>IF(AH26&gt;13,V26,ROUND(V26/AD26*AH26,0))</f>
        <v/>
      </c>
      <c r="AN26">
        <f>IF(AD26=0,0,ROUND(W26/AD26*AI26,0))</f>
        <v/>
      </c>
      <c r="AO26">
        <f>ROUND(X26*AH26,0)</f>
        <v/>
      </c>
      <c r="AP26">
        <f>IF(AD26=0,0,ROUND(Y26/AD26*AH26,0))</f>
        <v/>
      </c>
      <c r="AQ26">
        <f>IFERROR(IF((AE26+AF26+AG26)&gt;13,Z26,ROUND(Z26/AD26*AH26,0)),0)</f>
        <v/>
      </c>
      <c r="AR26">
        <f>IF(AD26=0,0,ROUND(AA55/AD26*AH26,0))</f>
        <v/>
      </c>
      <c r="AS26">
        <f>IFERROR(IF((AE26+AF26+AG26)&gt;13,AB26,ROUND(AB26/AD26*AH26,0)),0)</f>
        <v/>
      </c>
      <c r="AT26">
        <f>IFERROR(INDEX(ADJ!$A$1:$BZ$1000,MATCH(PAYROLL!D26,ADJ!A$1:A$500,0),MATCH(PAYROLL!AT$2,ADJ!$2:$2,0)),0)</f>
        <v/>
      </c>
      <c r="AU26">
        <f>ROUND(SUM(AM26:AT26),0)</f>
        <v/>
      </c>
      <c r="AV26">
        <f>IFERROR(INDEX(TIMESHEET!$A$1:$AI$5000,MATCH(PAYROLL!D26,TIMESHEET!A$1:A$500,0),MATCH("T620",TIMESHEET!$2:$2,0)),0)</f>
        <v/>
      </c>
      <c r="AW26">
        <f>IFERROR(INDEX(TIMESHEET!$A$1:$AI$5000,MATCH(PAYROLL!D26,TIMESHEET!A$1:A$500,0),MATCH("T601",TIMESHEET!$2:$2,0)),0)</f>
        <v/>
      </c>
      <c r="AX26">
        <f>IFERROR(INDEX(TIMESHEET!$A$1:$AI$5000,MATCH(PAYROLL!D26,TIMESHEET!A$1:A$500,0),MATCH("T602",TIMESHEET!$2:$2,0)),0)</f>
        <v/>
      </c>
      <c r="AY26">
        <f>IFERROR(INDEX(TIMESHEET!$A$1:$AI$5000,MATCH(PAYROLL!D26,TIMESHEET!A$1:A$500,0),MATCH("T603",TIMESHEET!$2:$2,0)),0)</f>
        <v/>
      </c>
      <c r="AZ26">
        <f>IFERROR(INDEX(TIMESHEET!$A$1:$AI$5000,MATCH(PAYROLL!D26,TIMESHEET!A$1:A$500,0),MATCH("T611",TIMESHEET!$2:$2,0)),0)</f>
        <v/>
      </c>
      <c r="BA26">
        <f>IFERROR(INDEX(TIMESHEET!$A$1:$AI$5000,MATCH(PAYROLL!D26,TIMESHEET!A$1:A$500,0),MATCH("T612",TIMESHEET!$2:$2,0)),0)</f>
        <v/>
      </c>
      <c r="BB26">
        <f>IFERROR(INDEX(TIMESHEET!$A$1:$AI$5000,MATCH(PAYROLL!D26,TIMESHEET!A$1:A$500,0),MATCH("T613",TIMESHEET!$2:$2,0)),0)</f>
        <v/>
      </c>
      <c r="BC26">
        <f>IFERROR(INDEX(TIMESHEET!$A$1:$AI$5000,MATCH(PAYROLL!D26,TIMESHEET!A$1:A$500,0),MATCH("T500",TIMESHEET!$2:$2,0)),0)</f>
        <v/>
      </c>
      <c r="BD26">
        <f>IFERROR((T26+V26)/AD26/8*(AV26+AW26*1.5+AX26*2+AY26*3+AZ26*2.1+BA26*2.7+BB26*3.9+BC26*0.3),0)</f>
        <v/>
      </c>
      <c r="BE26">
        <f>IFERROR(INDEX(ADJ!$A$1:$BZ$1000,MATCH(PAYROLL!$D26,ADJ!A$1:A$500,0),MATCH(PAYROLL!BE$2,ADJ!$2:$2,0)),0)</f>
        <v/>
      </c>
      <c r="BF26">
        <f>IFERROR(INDEX(ADJ!$A$1:$BZ$1000,MATCH(PAYROLL!D26,ADJ!A$1:A$500,0),MATCH(PAYROLL!BF$2,ADJ!$2:$2,0)),0)</f>
        <v/>
      </c>
      <c r="BG26">
        <f>IFERROR(INDEX(ADJ!$A$1:$BZ$1000,MATCH(PAYROLL!D26,ADJ!A$1:A$500,0),MATCH(PAYROLL!BG$2,ADJ!$2:$2,0)),0)</f>
        <v/>
      </c>
      <c r="BH26">
        <f>IFERROR(INDEX(ADJ!$A$1:$BZ$1000,MATCH(PAYROLL!D26,ADJ!A$1:A$500,0),MATCH(PAYROLL!BH$2,ADJ!$2:$2,0)),0)</f>
        <v/>
      </c>
      <c r="BI26">
        <f>IFERROR(INDEX(ADJ!$A$1:$BZ$1000,MATCH(PAYROLL!D26,ADJ!A$1:A$500,0),MATCH(PAYROLL!BI$2,ADJ!$2:$2,0)),0)</f>
        <v/>
      </c>
      <c r="BJ26">
        <f>SUM(BE26:BI26)</f>
        <v/>
      </c>
      <c r="BK26">
        <f>IFERROR(IF(INDEX(PIS!N$1:N$500,MATCH(D26,PIS!C$1:C$500))="LC12",(T26*21.5%)/AD26*AH26,0),0)</f>
        <v/>
      </c>
      <c r="BL26">
        <f>IFERROR(INDEX(ADJ!$A$1:$BZ$1000,MATCH(PAYROLL!D26,ADJ!A$1:A$500,0),MATCH(PAYROLL!BL$2,ADJ!$2:$2,0)),0)</f>
        <v/>
      </c>
      <c r="BM26">
        <f>IFERROR(INDEX(ADJ!$A$1:$BZ$1000,MATCH(PAYROLL!D26,ADJ!A$1:A$500,0),MATCH(PAYROLL!BM$2,ADJ!$2:$2,0)),0)</f>
        <v/>
      </c>
      <c r="BN26">
        <f>IFERROR(INDEX(ADJ!$A$1:$BZ$1000,MATCH(PAYROLL!D26,ADJ!A$1:A$500,0),MATCH(PAYROLL!BN$2,ADJ!$2:$2,0)),0)</f>
        <v/>
      </c>
      <c r="BO26">
        <f>SUM(AL26,AU26,BD26,BJ26,BK26:BN26)</f>
        <v/>
      </c>
      <c r="BP26">
        <f>BN26+AP26</f>
        <v/>
      </c>
      <c r="BQ26">
        <f>IFERROR(ROUND(IF(LEFT(INDEX(PIS!O$1:O$500,MATCH(D26,PIS!C$1:C$500)),1)="D",T26/8*(BC26*0.3),IF(LEFT(INDEX(PIS!O$1:O$500,MATCH(D26,PIS!C$1:C$500)),1)="H",T26*($BC26*0.3),T26/$AD26/8*($BC26*0.3))),0),0)</f>
        <v/>
      </c>
      <c r="BR26">
        <f>IF(AO26&lt;1,0,MIN(AO26,730000))</f>
        <v/>
      </c>
      <c r="BS26">
        <f>IFERROR(ROUND((BD26-SUM(AV26:BB26)*T26/AD26/8),0)-BQ26,0)</f>
        <v/>
      </c>
      <c r="BT26">
        <f>AN26</f>
        <v/>
      </c>
      <c r="BU26">
        <f>SUM(BP26:BT26)</f>
        <v/>
      </c>
      <c r="BV26">
        <f>BO26-BU26</f>
        <v/>
      </c>
      <c r="BW26">
        <f>IFERROR(IF(RIGHT(INDEX(PIS!O$1:O$500,MATCH(D26,PIS!C$1:C$500)),5)="Gross",MIN(U26+V26,VLOOKUP("R700",TSC!B:C,2,0)*VLOOKUP("R101",TSC!B:C,2,0))*VLOOKUP("R701",TSC!B:C,2,0)%,0),0)</f>
        <v/>
      </c>
      <c r="BX26">
        <f>IFERROR(IF(RIGHT(INDEX(PIS!O$1:O$500,MATCH(D26,PIS!C$1:C$500)),5)="Gross",MIN(U26+V26,VLOOKUP("R700",TSC!B:C,2,0)*VLOOKUP("R101",TSC!B:C,2,0))*VLOOKUP("T704",TSC!B:C,2,0)%,0),0)</f>
        <v/>
      </c>
      <c r="BY26">
        <f>IFERROR(IF(RIGHT(INDEX(PIS!O$1:O$500,MATCH(D26,PIS!C$1:C$500)),5)="Gross",MIN(U26+V26,VLOOKUP("R700",TSC!B:C,2,0)*VLOOKUP("1",TSC!F:G,2,0))*VLOOKUP("T705",TSC!B:C,2,0)%,0),0)</f>
        <v/>
      </c>
      <c r="BZ26">
        <f>IFERROR(INDEX(ADJ!$A$1:$BZ$1000,MATCH(PAYROLL!D26,ADJ!A$1:A$500,0),MATCH(PAYROLL!BZ$2,ADJ!$2:$2,0)),0)</f>
        <v/>
      </c>
      <c r="CA26">
        <f>IFERROR(INDEX(ADJ!$A$1:$BZ$1000,MATCH(PAYROLL!D26,ADJ!A$1:A$500,0),MATCH(PAYROLL!CA$2,ADJ!$2:$2,0)),0)</f>
        <v/>
      </c>
      <c r="CB26">
        <f>SUM(BW26:CA26)</f>
        <v/>
      </c>
      <c r="CC26">
        <f>IFERROR(INDEX(PIS!$A$1:$BZ$1000,MATCH(PAYROLL!D26,PIS!C$1:C$500,0),MATCH(PAYROLL!CC$1,PIS!$1:$1,0)),0)</f>
        <v/>
      </c>
      <c r="CD26">
        <f>IFERROR(IF(OR(INDEX(PIS!P$1:P$500,MATCH(D26,PIS!C$1:C$500,0))="LT2",INDEX(PIS!P$1:P$500,MATCH(D26,PIS!C$1:C$500,0))="P10"),0,SUM(CB26,CC26*VLOOKUP("R601",TSC!B:C,2,0),VLOOKUP("R602",TSC!B:C,2,0))),0)</f>
        <v/>
      </c>
      <c r="CE26">
        <f>MAX(BV26-CD26,0)</f>
        <v/>
      </c>
      <c r="CF26">
        <f>IFERROR(IF(OR(RIGHT(INDEX(PIS!P$1:P$500,MATCH(D26,PIS!C$1:C$500)),5)="P10",RIGHT(INDEX(PIS!P$1:P$500,MATCH(D26,PIS!C$1:C$500)),5)="CK"),0,IF(CE26&lt;=5000000,CE26*5%,IF(CE26&lt;=10000000,CE26*10%-250000,IF(CE26&lt;=18000000,CE26*15%-750000,IF(CE26&lt;=32000000,CE26*20%-1650000,IF(CE26&lt;=52000000,CE26*25%-3250000,IF(CE26&lt;=80000000,BG26*30%-5850000,CE26*35%-9850000))))))),0)</f>
        <v/>
      </c>
      <c r="CG26">
        <f>IFERROR(IF(OR(INDEX(PIS!P$1:P$500,MATCH(D26,PIS!C$1:C$500))="LT",INDEX(PIS!P$1:P$500,MATCH(D26,PIS!C$1:C$500))="CK"),0,IF(CE26&lt;2000000,0,CE26*10%)),0)</f>
        <v/>
      </c>
      <c r="CH26">
        <f>IFERROR(INDEX(ADJ!$A$1:$BZ$1000,MATCH(PAYROLL!D26,ADJ!A$1:A$500,0),MATCH(PAYROLL!CH$2,ADJ!$2:$2,0)),0)</f>
        <v/>
      </c>
      <c r="CI26">
        <f>IFERROR(INDEX(ADJ!$A$1:$BZ$1000,MATCH(PAYROLL!D26,ADJ!A$1:A$500,0),MATCH(PAYROLL!CI$2,ADJ!$2:$2,0)),0)</f>
        <v/>
      </c>
      <c r="CJ26">
        <f>IFERROR(INDEX(ADJ!$A$1:$BZ$1000,MATCH(PAYROLL!D26,ADJ!A$1:A$500,0),MATCH(PAYROLL!CJ$2,ADJ!$2:$2,0)),0)</f>
        <v/>
      </c>
      <c r="CK26">
        <f>SUM(CF26:CJ26)</f>
        <v/>
      </c>
      <c r="CL26">
        <f>ROUND(SUM(CG26:CJ26),0)</f>
        <v/>
      </c>
      <c r="CM26">
        <f>IFERROR(INDEX(CSDA!D$1:D$500,MATCH($CM$2,CSDA!C$1:C$500,0))*INDEX(PIS!V$1:V$500,MATCH(D26,PIS!C$1:C$500))+INDEX(ADJ!$A$1:$BZ$1000,MATCH(PAYROLL!D26,ADJ!A$1:A$500,0),MATCH(PAYROLL!CM$2,ADJ!$2:$2,0)),0)</f>
        <v/>
      </c>
      <c r="CN26">
        <f>IFERROR(INDEX(ADJ!$A$1:$BZ$1000,MATCH(PAYROLL!D26,ADJ!A$1:A$500,0),MATCH(PAYROLL!CN$2,ADJ!$2:$2,0)),0)</f>
        <v/>
      </c>
      <c r="CO26">
        <f>IFERROR(INDEX(ADJ!$A$1:$BZ$1000,MATCH(PAYROLL!D26,ADJ!A$1:A$500,0),MATCH(PAYROLL!CO$2,ADJ!$2:$2,0)),0)</f>
        <v/>
      </c>
      <c r="CP26">
        <f>BO26-CK26-CH26-CL26-CM26-CN26-CO26-CB26</f>
        <v/>
      </c>
      <c r="CQ26">
        <f>IFERROR(IF(RIGHT(INDEX(PIS!O$1:O$500,MATCH(D26,PIS!C$1:C$500,0)),5)="Gross",MIN(U26+V26,VLOOKUP("R700",TSC!B:C,2,0)*VLOOKUP("R101",TSC!B:C,2,0))*(VLOOKUP("T711",TSC!B:C,2,0)+VLOOKUP("T712",TSC!B:C,2,0))%,MIN(T26+V26,VLOOKUP("R700",TSC!B:C,2,0)*VLOOKUP("R101",TSC!B:C,2,0))*(VLOOKUP("T711",TSC!B:C,2,0)+VLOOKUP("T712",TSC!B:C,2,0)+VLOOKUP("R701",TSC!B:C,2,0))%),0)</f>
        <v/>
      </c>
      <c r="CR26">
        <f>IFERROR(IF(RIGHT(INDEX(PIS!O$1:O$500,MATCH(D26,PIS!C$1:C$500,0)),5)="Gross",MIN(U26+V26,VLOOKUP("R700",TSC!B:C,2,0)*VLOOKUP("R101",TSC!B:C,2,0))*(VLOOKUP("T714",TSC!B:C,2,0))%,MIN(T26+V26,VLOOKUP("R700",TSC!B:C,2,0)*VLOOKUP("R101",TSC!B:C,2,0))*(VLOOKUP("T704",TSC!B:C,2,0)+VLOOKUP("T714",TSC!B:C,2,0))%),0)</f>
        <v/>
      </c>
      <c r="CS26">
        <f>IFERROR(IF(RIGHT(INDEX(PIS!O$1:O$500,MATCH(D26,PIS!C$1:C$500,0)),5)="Gross",MIN(U26+V26,VLOOKUP("R700",TSC!B:C,2,0)*VLOOKUP("R101",TSC!B:C,2,0))*VLOOKUP("T705",TSC!B:C,2,0)%,MIN(T26+V26,VLOOKUP("R700",TSC!B:C,2,0)*VLOOKUP("R101",TSC!B:C,2,0))*VLOOKUP("T705",TSC!B:C,2,0)%),0)</f>
        <v/>
      </c>
      <c r="CT26">
        <f>IFERROR(IF(RIGHT(INDEX(PIS!O$1:O$500,MATCH(D26,PIS!C$1:C$500,0)),5)="Gross",MIN(U26+V26,VLOOKUP("R700",TSC!B:C,2,0)*VLOOKUP("R101",TSC!B:C,2,0))*(VLOOKUP("T713",TSC!B:C,2,0))%,MIN(T26+V26,VLOOKUP("R700",TSC!B:C,2,0)*VLOOKUP("R101",TSC!B:C,2,0))*(VLOOKUP("T713",TSC!B:C,2,0))%),0)</f>
        <v/>
      </c>
      <c r="CU26">
        <f>IFERROR(INDEX(ADJ!$A$1:$BZ$1000,MATCH(PAYROLL!D26,ADJ!A$1:A$500,0),MATCH(PAYROLL!CU$2,ADJ!$2:$2,0)),0)</f>
        <v/>
      </c>
      <c r="CV26">
        <f>IFERROR(INDEX(ADJ!$A$1:$BZ$1000,MATCH(PAYROLL!D26,ADJ!A$1:A$500,0),MATCH(PAYROLL!CV$2,ADJ!$2:$2,0)),0)</f>
        <v/>
      </c>
      <c r="CW26">
        <f>SUM(CQ26:CV26)</f>
        <v/>
      </c>
      <c r="CX26">
        <f>ROUND(IF(CQ26&gt;0,T26+V26*VLOOKUP("R202",TSC!$B$1:$C$500,2,0),0),0)</f>
        <v/>
      </c>
      <c r="CY26">
        <f>IFERROR(INDEX(CSDA!D$1:D$500,MATCH($CY$2,CSDA!C$1:C$500,0)),0)</f>
        <v/>
      </c>
      <c r="CZ26">
        <f>ROUND(T26*0.7%,0)</f>
        <v/>
      </c>
      <c r="DA26">
        <f>ROUND(T26/12,0)</f>
        <v/>
      </c>
      <c r="DB26">
        <f ref="DB26" t="array">IFERROR(INDEX(CSDA!D$1:D$500,MATCH("Trích giữ"&amp;PAYROLL!DB$2,CSDA!A$1:A$500&amp;CSDA!C$1:C$500,0)),0)</f>
        <v/>
      </c>
      <c r="DC26">
        <f ref="DC26" t="array">IFERROR(INDEX(CSDA!D$1:D$500,MATCH("Trích giữ"&amp;PAYROLL!DC$2,CSDA!A$1:A$500&amp;CSDA!C$1:C$500,0)),0)</f>
        <v/>
      </c>
      <c r="DD26">
        <f ref="DD26" t="array">IFERROR(INDEX(CSDA!D$1:D$500,MATCH("Trích giữ"&amp;PAYROLL!DD$2,CSDA!A$1:A$500&amp;CSDA!C$1:C$500,0)),0)</f>
        <v/>
      </c>
      <c r="DE26">
        <f>IFERROR(INDEX(CSDA!D$1:D$500,MATCH(PAYROLL!DE$2,CSDA!C$1:C$500,0)),0)</f>
        <v/>
      </c>
      <c r="DF26">
        <f ref="DF26" t="array">IFERROR(INDEX(CSDA!D$1:D$500,MATCH("Trích giữ"&amp;PAYROLL!DF$2,CSDA!A$1:A$500&amp;CSDA!C$1:C$500,0)),0)</f>
        <v/>
      </c>
      <c r="DG26">
        <f>ROUND(T26/26,0)</f>
        <v/>
      </c>
      <c r="DH26">
        <f ref="DH26" t="array">IFERROR(INDEX(CSDA!D$1:D$500,MATCH("Trích giữ"&amp;PAYROLL!DH$2,CSDA!A$1:A$500&amp;CSDA!C$1:C$500,0)),0)</f>
        <v/>
      </c>
      <c r="DI26">
        <f>IF(U26=0,T26*21.5%-BK26,0)</f>
        <v/>
      </c>
      <c r="DK26">
        <f ref="DK26" t="array">IFERROR(INDEX(CSDA!D$1:D$500,MATCH("Trích giữ"&amp;PAYROLL!DK$2,CSDA!A$1:A$500&amp;CSDA!C$1:C$500,0)),0)</f>
        <v/>
      </c>
      <c r="DL26">
        <f>IFERROR(INDEX(CSDA!D$1:D$500,MATCH(PAYROLL!DL$2,CSDA!C$1:C$500,0))/12,0)</f>
        <v/>
      </c>
      <c r="DM26">
        <f>SUM(DA26:DL26)</f>
        <v/>
      </c>
      <c r="DN26">
        <f>IFERROR(INDEX(ADJ!$A$1:$BZ$1000,MATCH(PAYROLL!D26,ADJ!A$1:A$500,0),MATCH(PAYROLL!DN$2,ADJ!$2:$2,0)),0)</f>
        <v/>
      </c>
      <c r="DO26">
        <f>IFERROR(SUM(BO26,DM26:DN26,CW26:CZ26)-DT26,0)</f>
        <v/>
      </c>
      <c r="DP26">
        <f ref="DP26" t="array">SUM(BV26*IFERROR(INDEX(CSDA!D$1:D$500,MATCH(BV$2,CSDA!C$1:C$500,0)),0)%,CW26*IFERROR(INDEX(CSDA!D$1:D$500,MATCH(CW$2,CSDA!C$1:C$500,0)),0)%,CZ26*IFERROR(INDEX(CSDA!D$1:D$500,MATCH(CZ$2,CSDA!C$1:C$500,0)),0)%,DA26*IFERROR(INDEX(CSDA!D$1:D$500,MATCH(DA$2,CSDA!C$1:C$500,0)),0)%,DE26*IFERROR(INDEX(CSDA!D$1:D$500,MATCH("Phí dịch vụ"&amp;PAYROLL!DE$2,CSDA!A$1:A$500&amp;CSDA!C$1:C$500,0)),0)%,DB26*IFERROR(INDEX(CSDA!D$1:D$500,MATCH("Phí dịch vụ"&amp;PAYROLL!DB$2,CSDA!A$1:A$500&amp;CSDA!C$1:C$500,0)),0)%,DG26*IFERROR(INDEX(CSDA!D$1:D$500,MATCH("Phí dịch vụ"&amp;PAYROLL!DG$2,CSDA!A$1:A$500&amp;CSDA!C$1:C$500,0)),0)%,DI26*IFERROR(INDEX(CSDA!D$1:D$500,MATCH("Phí dịch vụ"&amp;PAYROLL!DI$2,CSDA!A$1:A$500&amp;CSDA!C$1:C$500,0)),0)%,BM26*IFERROR(INDEX(CSDA!D$1:D$500,MATCH(BM$2,CSDA!C$1:C$500,0)),0)%)-BM26*7%</f>
        <v/>
      </c>
      <c r="DQ26">
        <f>IFERROR(INDEX(ADJ!$A$1:$BZ$1000,MATCH(PAYROLL!D26,ADJ!A$1:A$500,0),MATCH(PAYROLL!DQ$2,ADJ!$2:$2,0)),0)</f>
        <v/>
      </c>
      <c r="DR26">
        <f>IFERROR(INDEX(ADJ!$A$1:$BZ$1000,MATCH(PAYROLL!D26,ADJ!A$1:A$500,0),MATCH(PAYROLL!DR$2,ADJ!$2:$2,0)),0)</f>
        <v/>
      </c>
      <c r="DS26">
        <f>SUM(DP26:DR26)</f>
        <v/>
      </c>
      <c r="DT26">
        <f>EK26</f>
        <v/>
      </c>
      <c r="DU26">
        <f>SUM(DO26:DR26)</f>
        <v/>
      </c>
      <c r="DV26">
        <f>ROUND(DU26*0.1,0)</f>
        <v/>
      </c>
      <c r="DW26">
        <f>DU26+DV26</f>
        <v/>
      </c>
      <c r="DZ26">
        <f>IFERROR(INDEX(ADJ!$A$1:$BZ$1000,MATCH(PAYROLL!$D26,ADJ!A$1:A$500,0),MATCH(PAYROLL!DZ$2,ADJ!$2:$2,0)),0)</f>
        <v/>
      </c>
      <c r="EA26">
        <f>IFERROR(INDEX(ADJ!$A$1:$BZ$1000,MATCH(PAYROLL!$D26,ADJ!A$1:A$500,0),MATCH(PAYROLL!EA$2,ADJ!$2:$2,0)),0)</f>
        <v/>
      </c>
      <c r="EB26">
        <f>IFERROR(INDEX(ADJ!$A$1:$BZ$1000,MATCH(PAYROLL!$D26,ADJ!A$1:A$500,0),MATCH(PAYROLL!EB$2,ADJ!$2:$2,0)),0)</f>
        <v/>
      </c>
      <c r="EC26">
        <f>IFERROR(INDEX(ADJ!$A$1:$BZ$1000,MATCH(PAYROLL!$D26,ADJ!A$1:A$500,0),MATCH(PAYROLL!EC$2,ADJ!$2:$2,0)),0)</f>
        <v/>
      </c>
      <c r="ED26">
        <f>IFERROR(INDEX(ADJ!$A$1:$BZ$1000,MATCH(PAYROLL!$D26,ADJ!A$1:A$500,0),MATCH(PAYROLL!ED$2,ADJ!$2:$2,0)),0)</f>
        <v/>
      </c>
      <c r="EE26">
        <f>IFERROR(INDEX(ADJ!$A$1:$BZ$1000,MATCH(PAYROLL!$D26,ADJ!A$1:A$500,0),MATCH(PAYROLL!EE$2,ADJ!$2:$2,0)),0)</f>
        <v/>
      </c>
      <c r="EF26">
        <f>IFERROR(INDEX(ADJ!$A$1:$BZ$1000,MATCH(PAYROLL!$D26,ADJ!A$1:A$500,0),MATCH(PAYROLL!EF$2,ADJ!$2:$2,0)),0)</f>
        <v/>
      </c>
      <c r="EG26">
        <f>IFERROR(INDEX(ADJ!$A$1:$BZ$1000,MATCH(PAYROLL!$D26,ADJ!A$1:A$500,0),MATCH(PAYROLL!EG$2,ADJ!$2:$2,0)),0)</f>
        <v/>
      </c>
      <c r="EH26">
        <f>IFERROR(INDEX(ADJ!$A$1:$BZ$1000,MATCH(PAYROLL!$D26,ADJ!A$1:A$500,0),MATCH(PAYROLL!EH$2,ADJ!$2:$2,0)),0)</f>
        <v/>
      </c>
      <c r="EI26">
        <f>IFERROR(INDEX(ADJ!$A$1:$BZ$1000,MATCH(PAYROLL!D26,ADJ!A$1:A$500,0),MATCH(PAYROLL!EI$2,ADJ!$2:$2,0)),0)</f>
        <v/>
      </c>
      <c r="EJ26">
        <f>IFERROR(INDEX(ADJ!$A$1:$BZ$1000,MATCH(PAYROLL!$D26,ADJ!A$1:A$500,0),MATCH(PAYROLL!EJ$2,ADJ!$2:$2,0)),0)</f>
        <v/>
      </c>
      <c r="EK26">
        <f>SUM(DZ26:EJ26)</f>
        <v/>
      </c>
    </row>
    <row r="27">
      <c r="A27" t="n">
        <v>25</v>
      </c>
      <c r="B27" t="inlineStr">
        <is>
          <t>Vũ Văn Cương</t>
        </is>
      </c>
      <c r="D27" t="inlineStr">
        <is>
          <t>157751-01</t>
        </is>
      </c>
      <c r="S27">
        <f>IFERROR(INDEX(PIS!$A$1:$BZ$1000,MATCH($D27,PIS!C$1:C$500,0),MATCH("Lương CB tháng trước",PIS!$1:$1,0)),0)</f>
        <v/>
      </c>
      <c r="T27">
        <f>IFERROR(INDEX(PIS!$A$1:$BZ$1000,MATCH($D27,PIS!C$1:C$500,0),MATCH("Lương CB hiện tại",PIS!$1:$1,0)),0)</f>
        <v/>
      </c>
      <c r="U27">
        <f>IFERROR(INDEX(PIS!$A$1:$BZ$1000,MATCH($D27,PIS!C$1:C$500,0),MATCH("Lương đóng BHBB",PIS!$1:$1,0)),0)</f>
        <v/>
      </c>
      <c r="V27">
        <f>IFERROR(INDEX(PIS!$A$1:$BZ$1000,MATCH($D27,PIS!C$1:C$500,0),MATCH(V$2,PIS!$2:$2,0)),0)</f>
        <v/>
      </c>
      <c r="W27">
        <f>IFERROR(INDEX(PIS!$A$1:$BZ$1000,MATCH($D27,PIS!C$1:C$500,0),MATCH(W$2,PIS!$2:$2,0)),0)</f>
        <v/>
      </c>
      <c r="X27">
        <f>IFERROR(INDEX(PIS!$A$1:$BZ$1000,MATCH($D27,PIS!C$1:C$500,0),MATCH(X$2,PIS!$2:$2,0)),0)</f>
        <v/>
      </c>
      <c r="Y27">
        <f>IFERROR(INDEX(PIS!$A$1:$BZ$1000,MATCH($D27,PIS!C$1:C$500,0),MATCH(Y$2,PIS!$2:$2,0)),0)</f>
        <v/>
      </c>
      <c r="Z27">
        <f>IFERROR(INDEX(PIS!$A$1:$BZ$1000,MATCH($D27,PIS!C$1:C$500,0),MATCH(Z$2,PIS!$2:$2,0)),0)</f>
        <v/>
      </c>
      <c r="AA27">
        <f>IFERROR(INDEX(PIS!$A$1:$BZ$1000,MATCH($D27,PIS!C$1:C$500,0),MATCH(AA$2,PIS!$2:$2,0)),0)</f>
        <v/>
      </c>
      <c r="AB27">
        <f>IFERROR(INDEX(PIS!$A$1:$BZ$1000,MATCH($D27,PIS!C$1:C$500,0),MATCH(AB$2,PIS!$2:$2,0)),0)</f>
        <v/>
      </c>
      <c r="AC27">
        <f>SUM(V27:AB27)</f>
        <v/>
      </c>
      <c r="AD27">
        <f>IFERROR(INDEX(TIMESHEET!$A$1:$AI$5000,MATCH($D27,TIMESHEET!A$1:A$500,0),MATCH("T100",TIMESHEET!$2:$2,0)),0)</f>
        <v/>
      </c>
      <c r="AE27">
        <f>IFERROR(INDEX(TIMESHEET!$A$1:$AI$5000,MATCH($D27,TIMESHEET!A$1:A$500,0),MATCH("T202",TIMESHEET!$2:$2,0)),0)</f>
        <v/>
      </c>
      <c r="AF27">
        <f>IFERROR(INDEX(TIMESHEET!$A$1:$AI$5000,MATCH($D27,TIMESHEET!A$1:A$500,0),MATCH("T302",TIMESHEET!$2:$2,0)),0)</f>
        <v/>
      </c>
      <c r="AG27">
        <f>IFERROR(INDEX(TIMESHEET!$A$1:$AI$5000,MATCH($D27,TIMESHEET!A$1:A$500,0),MATCH("T406",TIMESHEET!$2:$2,0)),0)</f>
        <v/>
      </c>
      <c r="AH27">
        <f>IF(SUM(AE27:AG27)&gt;=26,26,SUM(AE27:AG27))</f>
        <v/>
      </c>
      <c r="AI27">
        <f>IFERROR(INDEX(TIMESHEET!$A$1:$AI$5000,MATCH($D27,TIMESHEET!A$1:A$500,0),MATCH("T701",TIMESHEET!$2:$2,0)),0)</f>
        <v/>
      </c>
      <c r="AJ27">
        <f>IFERROR(IF(INDEX(PIS!N$1:N$500,MATCH(D27,PIS!C$1:C$500,0))="LC4",(T27*0.85)/AD27*AH27,ROUND(T27/AD27*AH27,0)),0)</f>
        <v/>
      </c>
      <c r="AK27">
        <f>IFERROR(INDEX(ADJ!$A$1:$BZ$1000,MATCH(PAYROLL!D27,ADJ!A$1:A$500,0),MATCH(PAYROLL!AK$2,ADJ!$2:$2,0)),0)</f>
        <v/>
      </c>
      <c r="AL27">
        <f>SUM(AJ27:AK27)</f>
        <v/>
      </c>
      <c r="AM27">
        <f>IF(AH27&gt;13,V27,ROUND(V27/AD27*AH27,0))</f>
        <v/>
      </c>
      <c r="AN27">
        <f>IF(AD27=0,0,ROUND(W27/AD27*AI27,0))</f>
        <v/>
      </c>
      <c r="AO27">
        <f>ROUND(X27*AH27,0)</f>
        <v/>
      </c>
      <c r="AP27">
        <f>IF(AD27=0,0,ROUND(Y27/AD27*AH27,0))</f>
        <v/>
      </c>
      <c r="AQ27">
        <f>IFERROR(IF((AE27+AF27+AG27)&gt;13,Z27,ROUND(Z27/AD27*AH27,0)),0)</f>
        <v/>
      </c>
      <c r="AR27">
        <f>IF(AD27=0,0,ROUND(AA56/AD27*AH27,0))</f>
        <v/>
      </c>
      <c r="AS27">
        <f>IFERROR(IF((AE27+AF27+AG27)&gt;13,AB27,ROUND(AB27/AD27*AH27,0)),0)</f>
        <v/>
      </c>
      <c r="AT27">
        <f>IFERROR(INDEX(ADJ!$A$1:$BZ$1000,MATCH(PAYROLL!D27,ADJ!A$1:A$500,0),MATCH(PAYROLL!AT$2,ADJ!$2:$2,0)),0)</f>
        <v/>
      </c>
      <c r="AU27">
        <f>ROUND(SUM(AM27:AT27),0)</f>
        <v/>
      </c>
      <c r="AV27">
        <f>IFERROR(INDEX(TIMESHEET!$A$1:$AI$5000,MATCH(PAYROLL!D27,TIMESHEET!A$1:A$500,0),MATCH("T620",TIMESHEET!$2:$2,0)),0)</f>
        <v/>
      </c>
      <c r="AW27">
        <f>IFERROR(INDEX(TIMESHEET!$A$1:$AI$5000,MATCH(PAYROLL!D27,TIMESHEET!A$1:A$500,0),MATCH("T601",TIMESHEET!$2:$2,0)),0)</f>
        <v/>
      </c>
      <c r="AX27">
        <f>IFERROR(INDEX(TIMESHEET!$A$1:$AI$5000,MATCH(PAYROLL!D27,TIMESHEET!A$1:A$500,0),MATCH("T602",TIMESHEET!$2:$2,0)),0)</f>
        <v/>
      </c>
      <c r="AY27">
        <f>IFERROR(INDEX(TIMESHEET!$A$1:$AI$5000,MATCH(PAYROLL!D27,TIMESHEET!A$1:A$500,0),MATCH("T603",TIMESHEET!$2:$2,0)),0)</f>
        <v/>
      </c>
      <c r="AZ27">
        <f>IFERROR(INDEX(TIMESHEET!$A$1:$AI$5000,MATCH(PAYROLL!D27,TIMESHEET!A$1:A$500,0),MATCH("T611",TIMESHEET!$2:$2,0)),0)</f>
        <v/>
      </c>
      <c r="BA27">
        <f>IFERROR(INDEX(TIMESHEET!$A$1:$AI$5000,MATCH(PAYROLL!D27,TIMESHEET!A$1:A$500,0),MATCH("T612",TIMESHEET!$2:$2,0)),0)</f>
        <v/>
      </c>
      <c r="BB27">
        <f>IFERROR(INDEX(TIMESHEET!$A$1:$AI$5000,MATCH(PAYROLL!D27,TIMESHEET!A$1:A$500,0),MATCH("T613",TIMESHEET!$2:$2,0)),0)</f>
        <v/>
      </c>
      <c r="BC27">
        <f>IFERROR(INDEX(TIMESHEET!$A$1:$AI$5000,MATCH(PAYROLL!D27,TIMESHEET!A$1:A$500,0),MATCH("T500",TIMESHEET!$2:$2,0)),0)</f>
        <v/>
      </c>
      <c r="BD27">
        <f>IFERROR((T27+V27)/AD27/8*(AV27+AW27*1.5+AX27*2+AY27*3+AZ27*2.1+BA27*2.7+BB27*3.9+BC27*0.3),0)</f>
        <v/>
      </c>
      <c r="BE27">
        <f>IFERROR(INDEX(ADJ!$A$1:$BZ$1000,MATCH(PAYROLL!$D27,ADJ!A$1:A$500,0),MATCH(PAYROLL!BE$2,ADJ!$2:$2,0)),0)</f>
        <v/>
      </c>
      <c r="BF27">
        <f>IFERROR(INDEX(ADJ!$A$1:$BZ$1000,MATCH(PAYROLL!D27,ADJ!A$1:A$500,0),MATCH(PAYROLL!BF$2,ADJ!$2:$2,0)),0)</f>
        <v/>
      </c>
      <c r="BG27">
        <f>IFERROR(INDEX(ADJ!$A$1:$BZ$1000,MATCH(PAYROLL!D27,ADJ!A$1:A$500,0),MATCH(PAYROLL!BG$2,ADJ!$2:$2,0)),0)</f>
        <v/>
      </c>
      <c r="BH27">
        <f>IFERROR(INDEX(ADJ!$A$1:$BZ$1000,MATCH(PAYROLL!D27,ADJ!A$1:A$500,0),MATCH(PAYROLL!BH$2,ADJ!$2:$2,0)),0)</f>
        <v/>
      </c>
      <c r="BI27">
        <f>IFERROR(INDEX(ADJ!$A$1:$BZ$1000,MATCH(PAYROLL!D27,ADJ!A$1:A$500,0),MATCH(PAYROLL!BI$2,ADJ!$2:$2,0)),0)</f>
        <v/>
      </c>
      <c r="BJ27">
        <f>SUM(BE27:BI27)</f>
        <v/>
      </c>
      <c r="BK27">
        <f>IFERROR(IF(INDEX(PIS!N$1:N$500,MATCH(D27,PIS!C$1:C$500))="LC12",(T27*21.5%)/AD27*AH27,0),0)</f>
        <v/>
      </c>
      <c r="BL27">
        <f>IFERROR(INDEX(ADJ!$A$1:$BZ$1000,MATCH(PAYROLL!D27,ADJ!A$1:A$500,0),MATCH(PAYROLL!BL$2,ADJ!$2:$2,0)),0)</f>
        <v/>
      </c>
      <c r="BM27">
        <f>IFERROR(INDEX(ADJ!$A$1:$BZ$1000,MATCH(PAYROLL!D27,ADJ!A$1:A$500,0),MATCH(PAYROLL!BM$2,ADJ!$2:$2,0)),0)</f>
        <v/>
      </c>
      <c r="BN27">
        <f>IFERROR(INDEX(ADJ!$A$1:$BZ$1000,MATCH(PAYROLL!D27,ADJ!A$1:A$500,0),MATCH(PAYROLL!BN$2,ADJ!$2:$2,0)),0)</f>
        <v/>
      </c>
      <c r="BO27">
        <f>SUM(AL27,AU27,BD27,BJ27,BK27:BN27)</f>
        <v/>
      </c>
      <c r="BP27">
        <f>BN27+AP27</f>
        <v/>
      </c>
      <c r="BQ27">
        <f>IFERROR(ROUND(IF(LEFT(INDEX(PIS!O$1:O$500,MATCH(D27,PIS!C$1:C$500)),1)="D",T27/8*(BC27*0.3),IF(LEFT(INDEX(PIS!O$1:O$500,MATCH(D27,PIS!C$1:C$500)),1)="H",T27*($BC27*0.3),T27/$AD27/8*($BC27*0.3))),0),0)</f>
        <v/>
      </c>
      <c r="BR27">
        <f>IF(AO27&lt;1,0,MIN(AO27,730000))</f>
        <v/>
      </c>
      <c r="BS27">
        <f>IFERROR(ROUND((BD27-SUM(AV27:BB27)*T27/AD27/8),0)-BQ27,0)</f>
        <v/>
      </c>
      <c r="BT27">
        <f>AN27</f>
        <v/>
      </c>
      <c r="BU27">
        <f>SUM(BP27:BT27)</f>
        <v/>
      </c>
      <c r="BV27">
        <f>BO27-BU27</f>
        <v/>
      </c>
      <c r="BW27">
        <f>IFERROR(IF(RIGHT(INDEX(PIS!O$1:O$500,MATCH(D27,PIS!C$1:C$500)),5)="Gross",MIN(U27+V27,VLOOKUP("R700",TSC!B:C,2,0)*VLOOKUP("R101",TSC!B:C,2,0))*VLOOKUP("R701",TSC!B:C,2,0)%,0),0)</f>
        <v/>
      </c>
      <c r="BX27">
        <f>IFERROR(IF(RIGHT(INDEX(PIS!O$1:O$500,MATCH(D27,PIS!C$1:C$500)),5)="Gross",MIN(U27+V27,VLOOKUP("R700",TSC!B:C,2,0)*VLOOKUP("R101",TSC!B:C,2,0))*VLOOKUP("T704",TSC!B:C,2,0)%,0),0)</f>
        <v/>
      </c>
      <c r="BY27">
        <f>IFERROR(IF(RIGHT(INDEX(PIS!O$1:O$500,MATCH(D27,PIS!C$1:C$500)),5)="Gross",MIN(U27+V27,VLOOKUP("R700",TSC!B:C,2,0)*VLOOKUP("1",TSC!F:G,2,0))*VLOOKUP("T705",TSC!B:C,2,0)%,0),0)</f>
        <v/>
      </c>
      <c r="BZ27">
        <f>IFERROR(INDEX(ADJ!$A$1:$BZ$1000,MATCH(PAYROLL!D27,ADJ!A$1:A$500,0),MATCH(PAYROLL!BZ$2,ADJ!$2:$2,0)),0)</f>
        <v/>
      </c>
      <c r="CA27">
        <f>IFERROR(INDEX(ADJ!$A$1:$BZ$1000,MATCH(PAYROLL!D27,ADJ!A$1:A$500,0),MATCH(PAYROLL!CA$2,ADJ!$2:$2,0)),0)</f>
        <v/>
      </c>
      <c r="CB27">
        <f>SUM(BW27:CA27)</f>
        <v/>
      </c>
      <c r="CC27">
        <f>IFERROR(INDEX(PIS!$A$1:$BZ$1000,MATCH(PAYROLL!D27,PIS!C$1:C$500,0),MATCH(PAYROLL!CC$1,PIS!$1:$1,0)),0)</f>
        <v/>
      </c>
      <c r="CD27">
        <f>IFERROR(IF(OR(INDEX(PIS!P$1:P$500,MATCH(D27,PIS!C$1:C$500,0))="LT2",INDEX(PIS!P$1:P$500,MATCH(D27,PIS!C$1:C$500,0))="P10"),0,SUM(CB27,CC27*VLOOKUP("R601",TSC!B:C,2,0),VLOOKUP("R602",TSC!B:C,2,0))),0)</f>
        <v/>
      </c>
      <c r="CE27">
        <f>MAX(BV27-CD27,0)</f>
        <v/>
      </c>
      <c r="CF27">
        <f>IFERROR(IF(OR(RIGHT(INDEX(PIS!P$1:P$500,MATCH(D27,PIS!C$1:C$500)),5)="P10",RIGHT(INDEX(PIS!P$1:P$500,MATCH(D27,PIS!C$1:C$500)),5)="CK"),0,IF(CE27&lt;=5000000,CE27*5%,IF(CE27&lt;=10000000,CE27*10%-250000,IF(CE27&lt;=18000000,CE27*15%-750000,IF(CE27&lt;=32000000,CE27*20%-1650000,IF(CE27&lt;=52000000,CE27*25%-3250000,IF(CE27&lt;=80000000,BG27*30%-5850000,CE27*35%-9850000))))))),0)</f>
        <v/>
      </c>
      <c r="CG27">
        <f>IFERROR(IF(OR(INDEX(PIS!P$1:P$500,MATCH(D27,PIS!C$1:C$500))="LT",INDEX(PIS!P$1:P$500,MATCH(D27,PIS!C$1:C$500))="CK"),0,IF(CE27&lt;2000000,0,CE27*10%)),0)</f>
        <v/>
      </c>
      <c r="CH27">
        <f>IFERROR(INDEX(ADJ!$A$1:$BZ$1000,MATCH(PAYROLL!D27,ADJ!A$1:A$500,0),MATCH(PAYROLL!CH$2,ADJ!$2:$2,0)),0)</f>
        <v/>
      </c>
      <c r="CI27">
        <f>IFERROR(INDEX(ADJ!$A$1:$BZ$1000,MATCH(PAYROLL!D27,ADJ!A$1:A$500,0),MATCH(PAYROLL!CI$2,ADJ!$2:$2,0)),0)</f>
        <v/>
      </c>
      <c r="CJ27">
        <f>IFERROR(INDEX(ADJ!$A$1:$BZ$1000,MATCH(PAYROLL!D27,ADJ!A$1:A$500,0),MATCH(PAYROLL!CJ$2,ADJ!$2:$2,0)),0)</f>
        <v/>
      </c>
      <c r="CK27">
        <f>SUM(CF27:CJ27)</f>
        <v/>
      </c>
      <c r="CL27">
        <f>ROUND(SUM(CG27:CJ27),0)</f>
        <v/>
      </c>
      <c r="CM27">
        <f>IFERROR(INDEX(CSDA!D$1:D$500,MATCH($CM$2,CSDA!C$1:C$500,0))*INDEX(PIS!V$1:V$500,MATCH(D27,PIS!C$1:C$500))+INDEX(ADJ!$A$1:$BZ$1000,MATCH(PAYROLL!D27,ADJ!A$1:A$500,0),MATCH(PAYROLL!CM$2,ADJ!$2:$2,0)),0)</f>
        <v/>
      </c>
      <c r="CN27">
        <f>IFERROR(INDEX(ADJ!$A$1:$BZ$1000,MATCH(PAYROLL!D27,ADJ!A$1:A$500,0),MATCH(PAYROLL!CN$2,ADJ!$2:$2,0)),0)</f>
        <v/>
      </c>
      <c r="CO27">
        <f>IFERROR(INDEX(ADJ!$A$1:$BZ$1000,MATCH(PAYROLL!D27,ADJ!A$1:A$500,0),MATCH(PAYROLL!CO$2,ADJ!$2:$2,0)),0)</f>
        <v/>
      </c>
      <c r="CP27">
        <f>BO27-CK27-CH27-CL27-CM27-CN27-CO27-CB27</f>
        <v/>
      </c>
      <c r="CQ27">
        <f>IFERROR(IF(RIGHT(INDEX(PIS!O$1:O$500,MATCH(D27,PIS!C$1:C$500,0)),5)="Gross",MIN(U27+V27,VLOOKUP("R700",TSC!B:C,2,0)*VLOOKUP("R101",TSC!B:C,2,0))*(VLOOKUP("T711",TSC!B:C,2,0)+VLOOKUP("T712",TSC!B:C,2,0))%,MIN(T27+V27,VLOOKUP("R700",TSC!B:C,2,0)*VLOOKUP("R101",TSC!B:C,2,0))*(VLOOKUP("T711",TSC!B:C,2,0)+VLOOKUP("T712",TSC!B:C,2,0)+VLOOKUP("R701",TSC!B:C,2,0))%),0)</f>
        <v/>
      </c>
      <c r="CR27">
        <f>IFERROR(IF(RIGHT(INDEX(PIS!O$1:O$500,MATCH(D27,PIS!C$1:C$500,0)),5)="Gross",MIN(U27+V27,VLOOKUP("R700",TSC!B:C,2,0)*VLOOKUP("R101",TSC!B:C,2,0))*(VLOOKUP("T714",TSC!B:C,2,0))%,MIN(T27+V27,VLOOKUP("R700",TSC!B:C,2,0)*VLOOKUP("R101",TSC!B:C,2,0))*(VLOOKUP("T704",TSC!B:C,2,0)+VLOOKUP("T714",TSC!B:C,2,0))%),0)</f>
        <v/>
      </c>
      <c r="CS27">
        <f>IFERROR(IF(RIGHT(INDEX(PIS!O$1:O$500,MATCH(D27,PIS!C$1:C$500,0)),5)="Gross",MIN(U27+V27,VLOOKUP("R700",TSC!B:C,2,0)*VLOOKUP("R101",TSC!B:C,2,0))*VLOOKUP("T705",TSC!B:C,2,0)%,MIN(T27+V27,VLOOKUP("R700",TSC!B:C,2,0)*VLOOKUP("R101",TSC!B:C,2,0))*VLOOKUP("T705",TSC!B:C,2,0)%),0)</f>
        <v/>
      </c>
      <c r="CT27">
        <f>IFERROR(IF(RIGHT(INDEX(PIS!O$1:O$500,MATCH(D27,PIS!C$1:C$500,0)),5)="Gross",MIN(U27+V27,VLOOKUP("R700",TSC!B:C,2,0)*VLOOKUP("R101",TSC!B:C,2,0))*(VLOOKUP("T713",TSC!B:C,2,0))%,MIN(T27+V27,VLOOKUP("R700",TSC!B:C,2,0)*VLOOKUP("R101",TSC!B:C,2,0))*(VLOOKUP("T713",TSC!B:C,2,0))%),0)</f>
        <v/>
      </c>
      <c r="CU27">
        <f>IFERROR(INDEX(ADJ!$A$1:$BZ$1000,MATCH(PAYROLL!D27,ADJ!A$1:A$500,0),MATCH(PAYROLL!CU$2,ADJ!$2:$2,0)),0)</f>
        <v/>
      </c>
      <c r="CV27">
        <f>IFERROR(INDEX(ADJ!$A$1:$BZ$1000,MATCH(PAYROLL!D27,ADJ!A$1:A$500,0),MATCH(PAYROLL!CV$2,ADJ!$2:$2,0)),0)</f>
        <v/>
      </c>
      <c r="CW27">
        <f>SUM(CQ27:CV27)</f>
        <v/>
      </c>
      <c r="CX27">
        <f>ROUND(IF(CQ27&gt;0,T27+V27*VLOOKUP("R202",TSC!$B$1:$C$500,2,0),0),0)</f>
        <v/>
      </c>
      <c r="CY27">
        <f>IFERROR(INDEX(CSDA!D$1:D$500,MATCH($CY$2,CSDA!C$1:C$500,0)),0)</f>
        <v/>
      </c>
      <c r="CZ27">
        <f>ROUND(T27*0.7%,0)</f>
        <v/>
      </c>
      <c r="DA27">
        <f>ROUND(T27/12,0)</f>
        <v/>
      </c>
      <c r="DB27">
        <f ref="DB27" t="array">IFERROR(INDEX(CSDA!D$1:D$500,MATCH("Trích giữ"&amp;PAYROLL!DB$2,CSDA!A$1:A$500&amp;CSDA!C$1:C$500,0)),0)</f>
        <v/>
      </c>
      <c r="DC27">
        <f ref="DC27" t="array">IFERROR(INDEX(CSDA!D$1:D$500,MATCH("Trích giữ"&amp;PAYROLL!DC$2,CSDA!A$1:A$500&amp;CSDA!C$1:C$500,0)),0)</f>
        <v/>
      </c>
      <c r="DD27">
        <f ref="DD27" t="array">IFERROR(INDEX(CSDA!D$1:D$500,MATCH("Trích giữ"&amp;PAYROLL!DD$2,CSDA!A$1:A$500&amp;CSDA!C$1:C$500,0)),0)</f>
        <v/>
      </c>
      <c r="DE27">
        <f>IFERROR(INDEX(CSDA!D$1:D$500,MATCH(PAYROLL!DE$2,CSDA!C$1:C$500,0)),0)</f>
        <v/>
      </c>
      <c r="DF27">
        <f ref="DF27" t="array">IFERROR(INDEX(CSDA!D$1:D$500,MATCH("Trích giữ"&amp;PAYROLL!DF$2,CSDA!A$1:A$500&amp;CSDA!C$1:C$500,0)),0)</f>
        <v/>
      </c>
      <c r="DG27">
        <f>ROUND(T27/26,0)</f>
        <v/>
      </c>
      <c r="DH27">
        <f ref="DH27" t="array">IFERROR(INDEX(CSDA!D$1:D$500,MATCH("Trích giữ"&amp;PAYROLL!DH$2,CSDA!A$1:A$500&amp;CSDA!C$1:C$500,0)),0)</f>
        <v/>
      </c>
      <c r="DI27">
        <f>IF(U27=0,T27*21.5%-BK27,0)</f>
        <v/>
      </c>
      <c r="DK27">
        <f ref="DK27" t="array">IFERROR(INDEX(CSDA!D$1:D$500,MATCH("Trích giữ"&amp;PAYROLL!DK$2,CSDA!A$1:A$500&amp;CSDA!C$1:C$500,0)),0)</f>
        <v/>
      </c>
      <c r="DL27">
        <f>IFERROR(INDEX(CSDA!D$1:D$500,MATCH(PAYROLL!DL$2,CSDA!C$1:C$500,0))/12,0)</f>
        <v/>
      </c>
      <c r="DM27">
        <f>SUM(DA27:DL27)</f>
        <v/>
      </c>
      <c r="DN27">
        <f>IFERROR(INDEX(ADJ!$A$1:$BZ$1000,MATCH(PAYROLL!D27,ADJ!A$1:A$500,0),MATCH(PAYROLL!DN$2,ADJ!$2:$2,0)),0)</f>
        <v/>
      </c>
      <c r="DO27">
        <f>IFERROR(SUM(BO27,DM27:DN27,CW27:CZ27)-DT27,0)</f>
        <v/>
      </c>
      <c r="DP27">
        <f ref="DP27" t="array">SUM(BV27*IFERROR(INDEX(CSDA!D$1:D$500,MATCH(BV$2,CSDA!C$1:C$500,0)),0)%,CW27*IFERROR(INDEX(CSDA!D$1:D$500,MATCH(CW$2,CSDA!C$1:C$500,0)),0)%,CZ27*IFERROR(INDEX(CSDA!D$1:D$500,MATCH(CZ$2,CSDA!C$1:C$500,0)),0)%,DA27*IFERROR(INDEX(CSDA!D$1:D$500,MATCH(DA$2,CSDA!C$1:C$500,0)),0)%,DE27*IFERROR(INDEX(CSDA!D$1:D$500,MATCH("Phí dịch vụ"&amp;PAYROLL!DE$2,CSDA!A$1:A$500&amp;CSDA!C$1:C$500,0)),0)%,DB27*IFERROR(INDEX(CSDA!D$1:D$500,MATCH("Phí dịch vụ"&amp;PAYROLL!DB$2,CSDA!A$1:A$500&amp;CSDA!C$1:C$500,0)),0)%,DG27*IFERROR(INDEX(CSDA!D$1:D$500,MATCH("Phí dịch vụ"&amp;PAYROLL!DG$2,CSDA!A$1:A$500&amp;CSDA!C$1:C$500,0)),0)%,DI27*IFERROR(INDEX(CSDA!D$1:D$500,MATCH("Phí dịch vụ"&amp;PAYROLL!DI$2,CSDA!A$1:A$500&amp;CSDA!C$1:C$500,0)),0)%,BM27*IFERROR(INDEX(CSDA!D$1:D$500,MATCH(BM$2,CSDA!C$1:C$500,0)),0)%)-BM27*7%</f>
        <v/>
      </c>
      <c r="DQ27">
        <f>IFERROR(INDEX(ADJ!$A$1:$BZ$1000,MATCH(PAYROLL!D27,ADJ!A$1:A$500,0),MATCH(PAYROLL!DQ$2,ADJ!$2:$2,0)),0)</f>
        <v/>
      </c>
      <c r="DR27">
        <f>IFERROR(INDEX(ADJ!$A$1:$BZ$1000,MATCH(PAYROLL!D27,ADJ!A$1:A$500,0),MATCH(PAYROLL!DR$2,ADJ!$2:$2,0)),0)</f>
        <v/>
      </c>
      <c r="DS27">
        <f>SUM(DP27:DR27)</f>
        <v/>
      </c>
      <c r="DT27">
        <f>EK27</f>
        <v/>
      </c>
      <c r="DU27">
        <f>SUM(DO27:DR27)</f>
        <v/>
      </c>
      <c r="DV27">
        <f>ROUND(DU27*0.1,0)</f>
        <v/>
      </c>
      <c r="DW27">
        <f>DU27+DV27</f>
        <v/>
      </c>
      <c r="DZ27">
        <f>IFERROR(INDEX(ADJ!$A$1:$BZ$1000,MATCH(PAYROLL!$D27,ADJ!A$1:A$500,0),MATCH(PAYROLL!DZ$2,ADJ!$2:$2,0)),0)</f>
        <v/>
      </c>
      <c r="EA27">
        <f>IFERROR(INDEX(ADJ!$A$1:$BZ$1000,MATCH(PAYROLL!$D27,ADJ!A$1:A$500,0),MATCH(PAYROLL!EA$2,ADJ!$2:$2,0)),0)</f>
        <v/>
      </c>
      <c r="EB27">
        <f>IFERROR(INDEX(ADJ!$A$1:$BZ$1000,MATCH(PAYROLL!$D27,ADJ!A$1:A$500,0),MATCH(PAYROLL!EB$2,ADJ!$2:$2,0)),0)</f>
        <v/>
      </c>
      <c r="EC27">
        <f>IFERROR(INDEX(ADJ!$A$1:$BZ$1000,MATCH(PAYROLL!$D27,ADJ!A$1:A$500,0),MATCH(PAYROLL!EC$2,ADJ!$2:$2,0)),0)</f>
        <v/>
      </c>
      <c r="ED27">
        <f>IFERROR(INDEX(ADJ!$A$1:$BZ$1000,MATCH(PAYROLL!$D27,ADJ!A$1:A$500,0),MATCH(PAYROLL!ED$2,ADJ!$2:$2,0)),0)</f>
        <v/>
      </c>
      <c r="EE27">
        <f>IFERROR(INDEX(ADJ!$A$1:$BZ$1000,MATCH(PAYROLL!$D27,ADJ!A$1:A$500,0),MATCH(PAYROLL!EE$2,ADJ!$2:$2,0)),0)</f>
        <v/>
      </c>
      <c r="EF27">
        <f>IFERROR(INDEX(ADJ!$A$1:$BZ$1000,MATCH(PAYROLL!$D27,ADJ!A$1:A$500,0),MATCH(PAYROLL!EF$2,ADJ!$2:$2,0)),0)</f>
        <v/>
      </c>
      <c r="EG27">
        <f>IFERROR(INDEX(ADJ!$A$1:$BZ$1000,MATCH(PAYROLL!$D27,ADJ!A$1:A$500,0),MATCH(PAYROLL!EG$2,ADJ!$2:$2,0)),0)</f>
        <v/>
      </c>
      <c r="EH27">
        <f>IFERROR(INDEX(ADJ!$A$1:$BZ$1000,MATCH(PAYROLL!$D27,ADJ!A$1:A$500,0),MATCH(PAYROLL!EH$2,ADJ!$2:$2,0)),0)</f>
        <v/>
      </c>
      <c r="EI27">
        <f>IFERROR(INDEX(ADJ!$A$1:$BZ$1000,MATCH(PAYROLL!D27,ADJ!A$1:A$500,0),MATCH(PAYROLL!EI$2,ADJ!$2:$2,0)),0)</f>
        <v/>
      </c>
      <c r="EJ27">
        <f>IFERROR(INDEX(ADJ!$A$1:$BZ$1000,MATCH(PAYROLL!$D27,ADJ!A$1:A$500,0),MATCH(PAYROLL!EJ$2,ADJ!$2:$2,0)),0)</f>
        <v/>
      </c>
      <c r="EK27">
        <f>SUM(DZ27:EJ27)</f>
        <v/>
      </c>
    </row>
    <row r="28">
      <c r="A28" t="n">
        <v>26</v>
      </c>
      <c r="B28" t="inlineStr">
        <is>
          <t>Phạm Duy Anh</t>
        </is>
      </c>
      <c r="D28" t="inlineStr">
        <is>
          <t>158041-01</t>
        </is>
      </c>
      <c r="S28">
        <f>IFERROR(INDEX(PIS!$A$1:$BZ$1000,MATCH($D28,PIS!C$1:C$500,0),MATCH("Lương CB tháng trước",PIS!$1:$1,0)),0)</f>
        <v/>
      </c>
      <c r="T28">
        <f>IFERROR(INDEX(PIS!$A$1:$BZ$1000,MATCH($D28,PIS!C$1:C$500,0),MATCH("Lương CB hiện tại",PIS!$1:$1,0)),0)</f>
        <v/>
      </c>
      <c r="U28">
        <f>IFERROR(INDEX(PIS!$A$1:$BZ$1000,MATCH($D28,PIS!C$1:C$500,0),MATCH("Lương đóng BHBB",PIS!$1:$1,0)),0)</f>
        <v/>
      </c>
      <c r="V28">
        <f>IFERROR(INDEX(PIS!$A$1:$BZ$1000,MATCH($D28,PIS!C$1:C$500,0),MATCH(V$2,PIS!$2:$2,0)),0)</f>
        <v/>
      </c>
      <c r="W28">
        <f>IFERROR(INDEX(PIS!$A$1:$BZ$1000,MATCH($D28,PIS!C$1:C$500,0),MATCH(W$2,PIS!$2:$2,0)),0)</f>
        <v/>
      </c>
      <c r="X28">
        <f>IFERROR(INDEX(PIS!$A$1:$BZ$1000,MATCH($D28,PIS!C$1:C$500,0),MATCH(X$2,PIS!$2:$2,0)),0)</f>
        <v/>
      </c>
      <c r="Y28">
        <f>IFERROR(INDEX(PIS!$A$1:$BZ$1000,MATCH($D28,PIS!C$1:C$500,0),MATCH(Y$2,PIS!$2:$2,0)),0)</f>
        <v/>
      </c>
      <c r="Z28">
        <f>IFERROR(INDEX(PIS!$A$1:$BZ$1000,MATCH($D28,PIS!C$1:C$500,0),MATCH(Z$2,PIS!$2:$2,0)),0)</f>
        <v/>
      </c>
      <c r="AA28">
        <f>IFERROR(INDEX(PIS!$A$1:$BZ$1000,MATCH($D28,PIS!C$1:C$500,0),MATCH(AA$2,PIS!$2:$2,0)),0)</f>
        <v/>
      </c>
      <c r="AB28">
        <f>IFERROR(INDEX(PIS!$A$1:$BZ$1000,MATCH($D28,PIS!C$1:C$500,0),MATCH(AB$2,PIS!$2:$2,0)),0)</f>
        <v/>
      </c>
      <c r="AC28">
        <f>SUM(V28:AB28)</f>
        <v/>
      </c>
      <c r="AD28">
        <f>IFERROR(INDEX(TIMESHEET!$A$1:$AI$5000,MATCH($D28,TIMESHEET!A$1:A$500,0),MATCH("T100",TIMESHEET!$2:$2,0)),0)</f>
        <v/>
      </c>
      <c r="AE28">
        <f>IFERROR(INDEX(TIMESHEET!$A$1:$AI$5000,MATCH($D28,TIMESHEET!A$1:A$500,0),MATCH("T202",TIMESHEET!$2:$2,0)),0)</f>
        <v/>
      </c>
      <c r="AF28">
        <f>IFERROR(INDEX(TIMESHEET!$A$1:$AI$5000,MATCH($D28,TIMESHEET!A$1:A$500,0),MATCH("T302",TIMESHEET!$2:$2,0)),0)</f>
        <v/>
      </c>
      <c r="AG28">
        <f>IFERROR(INDEX(TIMESHEET!$A$1:$AI$5000,MATCH($D28,TIMESHEET!A$1:A$500,0),MATCH("T406",TIMESHEET!$2:$2,0)),0)</f>
        <v/>
      </c>
      <c r="AH28">
        <f>IF(SUM(AE28:AG28)&gt;=26,26,SUM(AE28:AG28))</f>
        <v/>
      </c>
      <c r="AI28">
        <f>IFERROR(INDEX(TIMESHEET!$A$1:$AI$5000,MATCH($D28,TIMESHEET!A$1:A$500,0),MATCH("T701",TIMESHEET!$2:$2,0)),0)</f>
        <v/>
      </c>
      <c r="AJ28">
        <f>IFERROR(IF(INDEX(PIS!N$1:N$500,MATCH(D28,PIS!C$1:C$500,0))="LC4",(T28*0.85)/AD28*AH28,ROUND(T28/AD28*AH28,0)),0)</f>
        <v/>
      </c>
      <c r="AK28">
        <f>IFERROR(INDEX(ADJ!$A$1:$BZ$1000,MATCH(PAYROLL!D28,ADJ!A$1:A$500,0),MATCH(PAYROLL!AK$2,ADJ!$2:$2,0)),0)</f>
        <v/>
      </c>
      <c r="AL28">
        <f>SUM(AJ28:AK28)</f>
        <v/>
      </c>
      <c r="AM28">
        <f>IF(AH28&gt;13,V28,ROUND(V28/AD28*AH28,0))</f>
        <v/>
      </c>
      <c r="AN28">
        <f>IF(AD28=0,0,ROUND(W28/AD28*AI28,0))</f>
        <v/>
      </c>
      <c r="AO28">
        <f>ROUND(X28*AH28,0)</f>
        <v/>
      </c>
      <c r="AP28">
        <f>IF(AD28=0,0,ROUND(Y28/AD28*AH28,0))</f>
        <v/>
      </c>
      <c r="AQ28">
        <f>IFERROR(IF((AE28+AF28+AG28)&gt;13,Z28,ROUND(Z28/AD28*AH28,0)),0)</f>
        <v/>
      </c>
      <c r="AR28">
        <f>IF(AD28=0,0,ROUND(AA57/AD28*AH28,0))</f>
        <v/>
      </c>
      <c r="AS28">
        <f>IFERROR(IF((AE28+AF28+AG28)&gt;13,AB28,ROUND(AB28/AD28*AH28,0)),0)</f>
        <v/>
      </c>
      <c r="AT28">
        <f>IFERROR(INDEX(ADJ!$A$1:$BZ$1000,MATCH(PAYROLL!D28,ADJ!A$1:A$500,0),MATCH(PAYROLL!AT$2,ADJ!$2:$2,0)),0)</f>
        <v/>
      </c>
      <c r="AU28">
        <f>ROUND(SUM(AM28:AT28),0)</f>
        <v/>
      </c>
      <c r="AV28">
        <f>IFERROR(INDEX(TIMESHEET!$A$1:$AI$5000,MATCH(PAYROLL!D28,TIMESHEET!A$1:A$500,0),MATCH("T620",TIMESHEET!$2:$2,0)),0)</f>
        <v/>
      </c>
      <c r="AW28">
        <f>IFERROR(INDEX(TIMESHEET!$A$1:$AI$5000,MATCH(PAYROLL!D28,TIMESHEET!A$1:A$500,0),MATCH("T601",TIMESHEET!$2:$2,0)),0)</f>
        <v/>
      </c>
      <c r="AX28">
        <f>IFERROR(INDEX(TIMESHEET!$A$1:$AI$5000,MATCH(PAYROLL!D28,TIMESHEET!A$1:A$500,0),MATCH("T602",TIMESHEET!$2:$2,0)),0)</f>
        <v/>
      </c>
      <c r="AY28">
        <f>IFERROR(INDEX(TIMESHEET!$A$1:$AI$5000,MATCH(PAYROLL!D28,TIMESHEET!A$1:A$500,0),MATCH("T603",TIMESHEET!$2:$2,0)),0)</f>
        <v/>
      </c>
      <c r="AZ28">
        <f>IFERROR(INDEX(TIMESHEET!$A$1:$AI$5000,MATCH(PAYROLL!D28,TIMESHEET!A$1:A$500,0),MATCH("T611",TIMESHEET!$2:$2,0)),0)</f>
        <v/>
      </c>
      <c r="BA28">
        <f>IFERROR(INDEX(TIMESHEET!$A$1:$AI$5000,MATCH(PAYROLL!D28,TIMESHEET!A$1:A$500,0),MATCH("T612",TIMESHEET!$2:$2,0)),0)</f>
        <v/>
      </c>
      <c r="BB28">
        <f>IFERROR(INDEX(TIMESHEET!$A$1:$AI$5000,MATCH(PAYROLL!D28,TIMESHEET!A$1:A$500,0),MATCH("T613",TIMESHEET!$2:$2,0)),0)</f>
        <v/>
      </c>
      <c r="BC28">
        <f>IFERROR(INDEX(TIMESHEET!$A$1:$AI$5000,MATCH(PAYROLL!D28,TIMESHEET!A$1:A$500,0),MATCH("T500",TIMESHEET!$2:$2,0)),0)</f>
        <v/>
      </c>
      <c r="BD28">
        <f>IFERROR((T28+V28)/AD28/8*(AV28+AW28*1.5+AX28*2+AY28*3+AZ28*2.1+BA28*2.7+BB28*3.9+BC28*0.3),0)</f>
        <v/>
      </c>
      <c r="BE28">
        <f>IFERROR(INDEX(ADJ!$A$1:$BZ$1000,MATCH(PAYROLL!$D28,ADJ!A$1:A$500,0),MATCH(PAYROLL!BE$2,ADJ!$2:$2,0)),0)</f>
        <v/>
      </c>
      <c r="BF28">
        <f>IFERROR(INDEX(ADJ!$A$1:$BZ$1000,MATCH(PAYROLL!D28,ADJ!A$1:A$500,0),MATCH(PAYROLL!BF$2,ADJ!$2:$2,0)),0)</f>
        <v/>
      </c>
      <c r="BG28">
        <f>IFERROR(INDEX(ADJ!$A$1:$BZ$1000,MATCH(PAYROLL!D28,ADJ!A$1:A$500,0),MATCH(PAYROLL!BG$2,ADJ!$2:$2,0)),0)</f>
        <v/>
      </c>
      <c r="BH28">
        <f>IFERROR(INDEX(ADJ!$A$1:$BZ$1000,MATCH(PAYROLL!D28,ADJ!A$1:A$500,0),MATCH(PAYROLL!BH$2,ADJ!$2:$2,0)),0)</f>
        <v/>
      </c>
      <c r="BI28">
        <f>IFERROR(INDEX(ADJ!$A$1:$BZ$1000,MATCH(PAYROLL!D28,ADJ!A$1:A$500,0),MATCH(PAYROLL!BI$2,ADJ!$2:$2,0)),0)</f>
        <v/>
      </c>
      <c r="BJ28">
        <f>SUM(BE28:BI28)</f>
        <v/>
      </c>
      <c r="BK28">
        <f>IFERROR(IF(INDEX(PIS!N$1:N$500,MATCH(D28,PIS!C$1:C$500))="LC12",(T28*21.5%)/AD28*AH28,0),0)</f>
        <v/>
      </c>
      <c r="BL28">
        <f>IFERROR(INDEX(ADJ!$A$1:$BZ$1000,MATCH(PAYROLL!D28,ADJ!A$1:A$500,0),MATCH(PAYROLL!BL$2,ADJ!$2:$2,0)),0)</f>
        <v/>
      </c>
      <c r="BM28">
        <f>IFERROR(INDEX(ADJ!$A$1:$BZ$1000,MATCH(PAYROLL!D28,ADJ!A$1:A$500,0),MATCH(PAYROLL!BM$2,ADJ!$2:$2,0)),0)</f>
        <v/>
      </c>
      <c r="BN28">
        <f>IFERROR(INDEX(ADJ!$A$1:$BZ$1000,MATCH(PAYROLL!D28,ADJ!A$1:A$500,0),MATCH(PAYROLL!BN$2,ADJ!$2:$2,0)),0)</f>
        <v/>
      </c>
      <c r="BO28">
        <f>SUM(AL28,AU28,BD28,BJ28,BK28:BN28)</f>
        <v/>
      </c>
      <c r="BP28">
        <f>BN28+AP28</f>
        <v/>
      </c>
      <c r="BQ28">
        <f>IFERROR(ROUND(IF(LEFT(INDEX(PIS!O$1:O$500,MATCH(D28,PIS!C$1:C$500)),1)="D",T28/8*(BC28*0.3),IF(LEFT(INDEX(PIS!O$1:O$500,MATCH(D28,PIS!C$1:C$500)),1)="H",T28*($BC28*0.3),T28/$AD28/8*($BC28*0.3))),0),0)</f>
        <v/>
      </c>
      <c r="BR28">
        <f>IF(AO28&lt;1,0,MIN(AO28,730000))</f>
        <v/>
      </c>
      <c r="BS28">
        <f>IFERROR(ROUND((BD28-SUM(AV28:BB28)*T28/AD28/8),0)-BQ28,0)</f>
        <v/>
      </c>
      <c r="BT28">
        <f>AN28</f>
        <v/>
      </c>
      <c r="BU28">
        <f>SUM(BP28:BT28)</f>
        <v/>
      </c>
      <c r="BV28">
        <f>BO28-BU28</f>
        <v/>
      </c>
      <c r="BW28">
        <f>IFERROR(IF(RIGHT(INDEX(PIS!O$1:O$500,MATCH(D28,PIS!C$1:C$500)),5)="Gross",MIN(U28+V28,VLOOKUP("R700",TSC!B:C,2,0)*VLOOKUP("R101",TSC!B:C,2,0))*VLOOKUP("R701",TSC!B:C,2,0)%,0),0)</f>
        <v/>
      </c>
      <c r="BX28">
        <f>IFERROR(IF(RIGHT(INDEX(PIS!O$1:O$500,MATCH(D28,PIS!C$1:C$500)),5)="Gross",MIN(U28+V28,VLOOKUP("R700",TSC!B:C,2,0)*VLOOKUP("R101",TSC!B:C,2,0))*VLOOKUP("T704",TSC!B:C,2,0)%,0),0)</f>
        <v/>
      </c>
      <c r="BY28">
        <f>IFERROR(IF(RIGHT(INDEX(PIS!O$1:O$500,MATCH(D28,PIS!C$1:C$500)),5)="Gross",MIN(U28+V28,VLOOKUP("R700",TSC!B:C,2,0)*VLOOKUP("1",TSC!F:G,2,0))*VLOOKUP("T705",TSC!B:C,2,0)%,0),0)</f>
        <v/>
      </c>
      <c r="BZ28">
        <f>IFERROR(INDEX(ADJ!$A$1:$BZ$1000,MATCH(PAYROLL!D28,ADJ!A$1:A$500,0),MATCH(PAYROLL!BZ$2,ADJ!$2:$2,0)),0)</f>
        <v/>
      </c>
      <c r="CA28">
        <f>IFERROR(INDEX(ADJ!$A$1:$BZ$1000,MATCH(PAYROLL!D28,ADJ!A$1:A$500,0),MATCH(PAYROLL!CA$2,ADJ!$2:$2,0)),0)</f>
        <v/>
      </c>
      <c r="CB28">
        <f>SUM(BW28:CA28)</f>
        <v/>
      </c>
      <c r="CC28">
        <f>IFERROR(INDEX(PIS!$A$1:$BZ$1000,MATCH(PAYROLL!D28,PIS!C$1:C$500,0),MATCH(PAYROLL!CC$1,PIS!$1:$1,0)),0)</f>
        <v/>
      </c>
      <c r="CD28">
        <f>IFERROR(IF(OR(INDEX(PIS!P$1:P$500,MATCH(D28,PIS!C$1:C$500,0))="LT2",INDEX(PIS!P$1:P$500,MATCH(D28,PIS!C$1:C$500,0))="P10"),0,SUM(CB28,CC28*VLOOKUP("R601",TSC!B:C,2,0),VLOOKUP("R602",TSC!B:C,2,0))),0)</f>
        <v/>
      </c>
      <c r="CE28">
        <f>MAX(BV28-CD28,0)</f>
        <v/>
      </c>
      <c r="CF28">
        <f>IFERROR(IF(OR(RIGHT(INDEX(PIS!P$1:P$500,MATCH(D28,PIS!C$1:C$500)),5)="P10",RIGHT(INDEX(PIS!P$1:P$500,MATCH(D28,PIS!C$1:C$500)),5)="CK"),0,IF(CE28&lt;=5000000,CE28*5%,IF(CE28&lt;=10000000,CE28*10%-250000,IF(CE28&lt;=18000000,CE28*15%-750000,IF(CE28&lt;=32000000,CE28*20%-1650000,IF(CE28&lt;=52000000,CE28*25%-3250000,IF(CE28&lt;=80000000,BG28*30%-5850000,CE28*35%-9850000))))))),0)</f>
        <v/>
      </c>
      <c r="CG28">
        <f>IFERROR(IF(OR(INDEX(PIS!P$1:P$500,MATCH(D28,PIS!C$1:C$500))="LT",INDEX(PIS!P$1:P$500,MATCH(D28,PIS!C$1:C$500))="CK"),0,IF(CE28&lt;2000000,0,CE28*10%)),0)</f>
        <v/>
      </c>
      <c r="CH28">
        <f>IFERROR(INDEX(ADJ!$A$1:$BZ$1000,MATCH(PAYROLL!D28,ADJ!A$1:A$500,0),MATCH(PAYROLL!CH$2,ADJ!$2:$2,0)),0)</f>
        <v/>
      </c>
      <c r="CI28">
        <f>IFERROR(INDEX(ADJ!$A$1:$BZ$1000,MATCH(PAYROLL!D28,ADJ!A$1:A$500,0),MATCH(PAYROLL!CI$2,ADJ!$2:$2,0)),0)</f>
        <v/>
      </c>
      <c r="CJ28">
        <f>IFERROR(INDEX(ADJ!$A$1:$BZ$1000,MATCH(PAYROLL!D28,ADJ!A$1:A$500,0),MATCH(PAYROLL!CJ$2,ADJ!$2:$2,0)),0)</f>
        <v/>
      </c>
      <c r="CK28">
        <f>SUM(CF28:CJ28)</f>
        <v/>
      </c>
      <c r="CL28">
        <f>ROUND(SUM(CG28:CJ28),0)</f>
        <v/>
      </c>
      <c r="CM28">
        <f>IFERROR(INDEX(CSDA!D$1:D$500,MATCH($CM$2,CSDA!C$1:C$500,0))*INDEX(PIS!V$1:V$500,MATCH(D28,PIS!C$1:C$500))+INDEX(ADJ!$A$1:$BZ$1000,MATCH(PAYROLL!D28,ADJ!A$1:A$500,0),MATCH(PAYROLL!CM$2,ADJ!$2:$2,0)),0)</f>
        <v/>
      </c>
      <c r="CN28">
        <f>IFERROR(INDEX(ADJ!$A$1:$BZ$1000,MATCH(PAYROLL!D28,ADJ!A$1:A$500,0),MATCH(PAYROLL!CN$2,ADJ!$2:$2,0)),0)</f>
        <v/>
      </c>
      <c r="CO28">
        <f>IFERROR(INDEX(ADJ!$A$1:$BZ$1000,MATCH(PAYROLL!D28,ADJ!A$1:A$500,0),MATCH(PAYROLL!CO$2,ADJ!$2:$2,0)),0)</f>
        <v/>
      </c>
      <c r="CP28">
        <f>BO28-CK28-CH28-CL28-CM28-CN28-CO28-CB28</f>
        <v/>
      </c>
      <c r="CQ28">
        <f>IFERROR(IF(RIGHT(INDEX(PIS!O$1:O$500,MATCH(D28,PIS!C$1:C$500,0)),5)="Gross",MIN(U28+V28,VLOOKUP("R700",TSC!B:C,2,0)*VLOOKUP("R101",TSC!B:C,2,0))*(VLOOKUP("T711",TSC!B:C,2,0)+VLOOKUP("T712",TSC!B:C,2,0))%,MIN(T28+V28,VLOOKUP("R700",TSC!B:C,2,0)*VLOOKUP("R101",TSC!B:C,2,0))*(VLOOKUP("T711",TSC!B:C,2,0)+VLOOKUP("T712",TSC!B:C,2,0)+VLOOKUP("R701",TSC!B:C,2,0))%),0)</f>
        <v/>
      </c>
      <c r="CR28">
        <f>IFERROR(IF(RIGHT(INDEX(PIS!O$1:O$500,MATCH(D28,PIS!C$1:C$500,0)),5)="Gross",MIN(U28+V28,VLOOKUP("R700",TSC!B:C,2,0)*VLOOKUP("R101",TSC!B:C,2,0))*(VLOOKUP("T714",TSC!B:C,2,0))%,MIN(T28+V28,VLOOKUP("R700",TSC!B:C,2,0)*VLOOKUP("R101",TSC!B:C,2,0))*(VLOOKUP("T704",TSC!B:C,2,0)+VLOOKUP("T714",TSC!B:C,2,0))%),0)</f>
        <v/>
      </c>
      <c r="CS28">
        <f>IFERROR(IF(RIGHT(INDEX(PIS!O$1:O$500,MATCH(D28,PIS!C$1:C$500,0)),5)="Gross",MIN(U28+V28,VLOOKUP("R700",TSC!B:C,2,0)*VLOOKUP("R101",TSC!B:C,2,0))*VLOOKUP("T705",TSC!B:C,2,0)%,MIN(T28+V28,VLOOKUP("R700",TSC!B:C,2,0)*VLOOKUP("R101",TSC!B:C,2,0))*VLOOKUP("T705",TSC!B:C,2,0)%),0)</f>
        <v/>
      </c>
      <c r="CT28">
        <f>IFERROR(IF(RIGHT(INDEX(PIS!O$1:O$500,MATCH(D28,PIS!C$1:C$500,0)),5)="Gross",MIN(U28+V28,VLOOKUP("R700",TSC!B:C,2,0)*VLOOKUP("R101",TSC!B:C,2,0))*(VLOOKUP("T713",TSC!B:C,2,0))%,MIN(T28+V28,VLOOKUP("R700",TSC!B:C,2,0)*VLOOKUP("R101",TSC!B:C,2,0))*(VLOOKUP("T713",TSC!B:C,2,0))%),0)</f>
        <v/>
      </c>
      <c r="CU28">
        <f>IFERROR(INDEX(ADJ!$A$1:$BZ$1000,MATCH(PAYROLL!D28,ADJ!A$1:A$500,0),MATCH(PAYROLL!CU$2,ADJ!$2:$2,0)),0)</f>
        <v/>
      </c>
      <c r="CV28">
        <f>IFERROR(INDEX(ADJ!$A$1:$BZ$1000,MATCH(PAYROLL!D28,ADJ!A$1:A$500,0),MATCH(PAYROLL!CV$2,ADJ!$2:$2,0)),0)</f>
        <v/>
      </c>
      <c r="CW28">
        <f>SUM(CQ28:CV28)</f>
        <v/>
      </c>
      <c r="CX28">
        <f>ROUND(IF(CQ28&gt;0,T28+V28*VLOOKUP("R202",TSC!$B$1:$C$500,2,0),0),0)</f>
        <v/>
      </c>
      <c r="CY28">
        <f>IFERROR(INDEX(CSDA!D$1:D$500,MATCH($CY$2,CSDA!C$1:C$500,0)),0)</f>
        <v/>
      </c>
      <c r="CZ28">
        <f>ROUND(T28*0.7%,0)</f>
        <v/>
      </c>
      <c r="DA28">
        <f>ROUND(T28/12,0)</f>
        <v/>
      </c>
      <c r="DB28">
        <f ref="DB28" t="array">IFERROR(INDEX(CSDA!D$1:D$500,MATCH("Trích giữ"&amp;PAYROLL!DB$2,CSDA!A$1:A$500&amp;CSDA!C$1:C$500,0)),0)</f>
        <v/>
      </c>
      <c r="DC28">
        <f ref="DC28" t="array">IFERROR(INDEX(CSDA!D$1:D$500,MATCH("Trích giữ"&amp;PAYROLL!DC$2,CSDA!A$1:A$500&amp;CSDA!C$1:C$500,0)),0)</f>
        <v/>
      </c>
      <c r="DD28">
        <f ref="DD28" t="array">IFERROR(INDEX(CSDA!D$1:D$500,MATCH("Trích giữ"&amp;PAYROLL!DD$2,CSDA!A$1:A$500&amp;CSDA!C$1:C$500,0)),0)</f>
        <v/>
      </c>
      <c r="DE28">
        <f>IFERROR(INDEX(CSDA!D$1:D$500,MATCH(PAYROLL!DE$2,CSDA!C$1:C$500,0)),0)</f>
        <v/>
      </c>
      <c r="DF28">
        <f ref="DF28" t="array">IFERROR(INDEX(CSDA!D$1:D$500,MATCH("Trích giữ"&amp;PAYROLL!DF$2,CSDA!A$1:A$500&amp;CSDA!C$1:C$500,0)),0)</f>
        <v/>
      </c>
      <c r="DG28">
        <f>ROUND(T28/26,0)</f>
        <v/>
      </c>
      <c r="DH28">
        <f ref="DH28" t="array">IFERROR(INDEX(CSDA!D$1:D$500,MATCH("Trích giữ"&amp;PAYROLL!DH$2,CSDA!A$1:A$500&amp;CSDA!C$1:C$500,0)),0)</f>
        <v/>
      </c>
      <c r="DI28">
        <f>IF(U28=0,T28*21.5%-BK28,0)</f>
        <v/>
      </c>
      <c r="DK28">
        <f ref="DK28" t="array">IFERROR(INDEX(CSDA!D$1:D$500,MATCH("Trích giữ"&amp;PAYROLL!DK$2,CSDA!A$1:A$500&amp;CSDA!C$1:C$500,0)),0)</f>
        <v/>
      </c>
      <c r="DL28">
        <f>IFERROR(INDEX(CSDA!D$1:D$500,MATCH(PAYROLL!DL$2,CSDA!C$1:C$500,0))/12,0)</f>
        <v/>
      </c>
      <c r="DM28">
        <f>SUM(DA28:DL28)</f>
        <v/>
      </c>
      <c r="DN28">
        <f>IFERROR(INDEX(ADJ!$A$1:$BZ$1000,MATCH(PAYROLL!D28,ADJ!A$1:A$500,0),MATCH(PAYROLL!DN$2,ADJ!$2:$2,0)),0)</f>
        <v/>
      </c>
      <c r="DO28">
        <f>IFERROR(SUM(BO28,DM28:DN28,CW28:CZ28)-DT28,0)</f>
        <v/>
      </c>
      <c r="DP28">
        <f ref="DP28" t="array">SUM(BV28*IFERROR(INDEX(CSDA!D$1:D$500,MATCH(BV$2,CSDA!C$1:C$500,0)),0)%,CW28*IFERROR(INDEX(CSDA!D$1:D$500,MATCH(CW$2,CSDA!C$1:C$500,0)),0)%,CZ28*IFERROR(INDEX(CSDA!D$1:D$500,MATCH(CZ$2,CSDA!C$1:C$500,0)),0)%,DA28*IFERROR(INDEX(CSDA!D$1:D$500,MATCH(DA$2,CSDA!C$1:C$500,0)),0)%,DE28*IFERROR(INDEX(CSDA!D$1:D$500,MATCH("Phí dịch vụ"&amp;PAYROLL!DE$2,CSDA!A$1:A$500&amp;CSDA!C$1:C$500,0)),0)%,DB28*IFERROR(INDEX(CSDA!D$1:D$500,MATCH("Phí dịch vụ"&amp;PAYROLL!DB$2,CSDA!A$1:A$500&amp;CSDA!C$1:C$500,0)),0)%,DG28*IFERROR(INDEX(CSDA!D$1:D$500,MATCH("Phí dịch vụ"&amp;PAYROLL!DG$2,CSDA!A$1:A$500&amp;CSDA!C$1:C$500,0)),0)%,DI28*IFERROR(INDEX(CSDA!D$1:D$500,MATCH("Phí dịch vụ"&amp;PAYROLL!DI$2,CSDA!A$1:A$500&amp;CSDA!C$1:C$500,0)),0)%,BM28*IFERROR(INDEX(CSDA!D$1:D$500,MATCH(BM$2,CSDA!C$1:C$500,0)),0)%)-BM28*7%</f>
        <v/>
      </c>
      <c r="DQ28">
        <f>IFERROR(INDEX(ADJ!$A$1:$BZ$1000,MATCH(PAYROLL!D28,ADJ!A$1:A$500,0),MATCH(PAYROLL!DQ$2,ADJ!$2:$2,0)),0)</f>
        <v/>
      </c>
      <c r="DR28">
        <f>IFERROR(INDEX(ADJ!$A$1:$BZ$1000,MATCH(PAYROLL!D28,ADJ!A$1:A$500,0),MATCH(PAYROLL!DR$2,ADJ!$2:$2,0)),0)</f>
        <v/>
      </c>
      <c r="DS28">
        <f>SUM(DP28:DR28)</f>
        <v/>
      </c>
      <c r="DT28">
        <f>EK28</f>
        <v/>
      </c>
      <c r="DU28">
        <f>SUM(DO28:DR28)</f>
        <v/>
      </c>
      <c r="DV28">
        <f>ROUND(DU28*0.1,0)</f>
        <v/>
      </c>
      <c r="DW28">
        <f>DU28+DV28</f>
        <v/>
      </c>
      <c r="DZ28">
        <f>IFERROR(INDEX(ADJ!$A$1:$BZ$1000,MATCH(PAYROLL!$D28,ADJ!A$1:A$500,0),MATCH(PAYROLL!DZ$2,ADJ!$2:$2,0)),0)</f>
        <v/>
      </c>
      <c r="EA28">
        <f>IFERROR(INDEX(ADJ!$A$1:$BZ$1000,MATCH(PAYROLL!$D28,ADJ!A$1:A$500,0),MATCH(PAYROLL!EA$2,ADJ!$2:$2,0)),0)</f>
        <v/>
      </c>
      <c r="EB28">
        <f>IFERROR(INDEX(ADJ!$A$1:$BZ$1000,MATCH(PAYROLL!$D28,ADJ!A$1:A$500,0),MATCH(PAYROLL!EB$2,ADJ!$2:$2,0)),0)</f>
        <v/>
      </c>
      <c r="EC28">
        <f>IFERROR(INDEX(ADJ!$A$1:$BZ$1000,MATCH(PAYROLL!$D28,ADJ!A$1:A$500,0),MATCH(PAYROLL!EC$2,ADJ!$2:$2,0)),0)</f>
        <v/>
      </c>
      <c r="ED28">
        <f>IFERROR(INDEX(ADJ!$A$1:$BZ$1000,MATCH(PAYROLL!$D28,ADJ!A$1:A$500,0),MATCH(PAYROLL!ED$2,ADJ!$2:$2,0)),0)</f>
        <v/>
      </c>
      <c r="EE28">
        <f>IFERROR(INDEX(ADJ!$A$1:$BZ$1000,MATCH(PAYROLL!$D28,ADJ!A$1:A$500,0),MATCH(PAYROLL!EE$2,ADJ!$2:$2,0)),0)</f>
        <v/>
      </c>
      <c r="EF28">
        <f>IFERROR(INDEX(ADJ!$A$1:$BZ$1000,MATCH(PAYROLL!$D28,ADJ!A$1:A$500,0),MATCH(PAYROLL!EF$2,ADJ!$2:$2,0)),0)</f>
        <v/>
      </c>
      <c r="EG28">
        <f>IFERROR(INDEX(ADJ!$A$1:$BZ$1000,MATCH(PAYROLL!$D28,ADJ!A$1:A$500,0),MATCH(PAYROLL!EG$2,ADJ!$2:$2,0)),0)</f>
        <v/>
      </c>
      <c r="EH28">
        <f>IFERROR(INDEX(ADJ!$A$1:$BZ$1000,MATCH(PAYROLL!$D28,ADJ!A$1:A$500,0),MATCH(PAYROLL!EH$2,ADJ!$2:$2,0)),0)</f>
        <v/>
      </c>
      <c r="EI28">
        <f>IFERROR(INDEX(ADJ!$A$1:$BZ$1000,MATCH(PAYROLL!D28,ADJ!A$1:A$500,0),MATCH(PAYROLL!EI$2,ADJ!$2:$2,0)),0)</f>
        <v/>
      </c>
      <c r="EJ28">
        <f>IFERROR(INDEX(ADJ!$A$1:$BZ$1000,MATCH(PAYROLL!$D28,ADJ!A$1:A$500,0),MATCH(PAYROLL!EJ$2,ADJ!$2:$2,0)),0)</f>
        <v/>
      </c>
      <c r="EK28">
        <f>SUM(DZ28:EJ28)</f>
        <v/>
      </c>
    </row>
    <row r="29">
      <c r="A29" t="n">
        <v>27</v>
      </c>
      <c r="B29" t="inlineStr">
        <is>
          <t>Đặng Văn Duân</t>
        </is>
      </c>
      <c r="D29" t="inlineStr">
        <is>
          <t>158357-01</t>
        </is>
      </c>
      <c r="S29">
        <f>IFERROR(INDEX(PIS!$A$1:$BZ$1000,MATCH($D29,PIS!C$1:C$500,0),MATCH("Lương CB tháng trước",PIS!$1:$1,0)),0)</f>
        <v/>
      </c>
      <c r="T29">
        <f>IFERROR(INDEX(PIS!$A$1:$BZ$1000,MATCH($D29,PIS!C$1:C$500,0),MATCH("Lương CB hiện tại",PIS!$1:$1,0)),0)</f>
        <v/>
      </c>
      <c r="U29">
        <f>IFERROR(INDEX(PIS!$A$1:$BZ$1000,MATCH($D29,PIS!C$1:C$500,0),MATCH("Lương đóng BHBB",PIS!$1:$1,0)),0)</f>
        <v/>
      </c>
      <c r="V29">
        <f>IFERROR(INDEX(PIS!$A$1:$BZ$1000,MATCH($D29,PIS!C$1:C$500,0),MATCH(V$2,PIS!$2:$2,0)),0)</f>
        <v/>
      </c>
      <c r="W29">
        <f>IFERROR(INDEX(PIS!$A$1:$BZ$1000,MATCH($D29,PIS!C$1:C$500,0),MATCH(W$2,PIS!$2:$2,0)),0)</f>
        <v/>
      </c>
      <c r="X29">
        <f>IFERROR(INDEX(PIS!$A$1:$BZ$1000,MATCH($D29,PIS!C$1:C$500,0),MATCH(X$2,PIS!$2:$2,0)),0)</f>
        <v/>
      </c>
      <c r="Y29">
        <f>IFERROR(INDEX(PIS!$A$1:$BZ$1000,MATCH($D29,PIS!C$1:C$500,0),MATCH(Y$2,PIS!$2:$2,0)),0)</f>
        <v/>
      </c>
      <c r="Z29">
        <f>IFERROR(INDEX(PIS!$A$1:$BZ$1000,MATCH($D29,PIS!C$1:C$500,0),MATCH(Z$2,PIS!$2:$2,0)),0)</f>
        <v/>
      </c>
      <c r="AA29">
        <f>IFERROR(INDEX(PIS!$A$1:$BZ$1000,MATCH($D29,PIS!C$1:C$500,0),MATCH(AA$2,PIS!$2:$2,0)),0)</f>
        <v/>
      </c>
      <c r="AB29">
        <f>IFERROR(INDEX(PIS!$A$1:$BZ$1000,MATCH($D29,PIS!C$1:C$500,0),MATCH(AB$2,PIS!$2:$2,0)),0)</f>
        <v/>
      </c>
      <c r="AC29">
        <f>SUM(V29:AB29)</f>
        <v/>
      </c>
      <c r="AD29">
        <f>IFERROR(INDEX(TIMESHEET!$A$1:$AI$5000,MATCH($D29,TIMESHEET!A$1:A$500,0),MATCH("T100",TIMESHEET!$2:$2,0)),0)</f>
        <v/>
      </c>
      <c r="AE29">
        <f>IFERROR(INDEX(TIMESHEET!$A$1:$AI$5000,MATCH($D29,TIMESHEET!A$1:A$500,0),MATCH("T202",TIMESHEET!$2:$2,0)),0)</f>
        <v/>
      </c>
      <c r="AF29">
        <f>IFERROR(INDEX(TIMESHEET!$A$1:$AI$5000,MATCH($D29,TIMESHEET!A$1:A$500,0),MATCH("T302",TIMESHEET!$2:$2,0)),0)</f>
        <v/>
      </c>
      <c r="AG29">
        <f>IFERROR(INDEX(TIMESHEET!$A$1:$AI$5000,MATCH($D29,TIMESHEET!A$1:A$500,0),MATCH("T406",TIMESHEET!$2:$2,0)),0)</f>
        <v/>
      </c>
      <c r="AH29">
        <f>IF(SUM(AE29:AG29)&gt;=26,26,SUM(AE29:AG29))</f>
        <v/>
      </c>
      <c r="AI29">
        <f>IFERROR(INDEX(TIMESHEET!$A$1:$AI$5000,MATCH($D29,TIMESHEET!A$1:A$500,0),MATCH("T701",TIMESHEET!$2:$2,0)),0)</f>
        <v/>
      </c>
      <c r="AJ29">
        <f>IFERROR(IF(INDEX(PIS!N$1:N$500,MATCH(D29,PIS!C$1:C$500,0))="LC4",(T29*0.85)/AD29*AH29,ROUND(T29/AD29*AH29,0)),0)</f>
        <v/>
      </c>
      <c r="AK29">
        <f>IFERROR(INDEX(ADJ!$A$1:$BZ$1000,MATCH(PAYROLL!D29,ADJ!A$1:A$500,0),MATCH(PAYROLL!AK$2,ADJ!$2:$2,0)),0)</f>
        <v/>
      </c>
      <c r="AL29">
        <f>SUM(AJ29:AK29)</f>
        <v/>
      </c>
      <c r="AM29">
        <f>IF(AH29&gt;13,V29,ROUND(V29/AD29*AH29,0))</f>
        <v/>
      </c>
      <c r="AN29">
        <f>IF(AD29=0,0,ROUND(W29/AD29*AI29,0))</f>
        <v/>
      </c>
      <c r="AO29">
        <f>ROUND(X29*AH29,0)</f>
        <v/>
      </c>
      <c r="AP29">
        <f>IF(AD29=0,0,ROUND(Y29/AD29*AH29,0))</f>
        <v/>
      </c>
      <c r="AQ29">
        <f>IFERROR(IF((AE29+AF29+AG29)&gt;13,Z29,ROUND(Z29/AD29*AH29,0)),0)</f>
        <v/>
      </c>
      <c r="AR29">
        <f>IF(AD29=0,0,ROUND(AA58/AD29*AH29,0))</f>
        <v/>
      </c>
      <c r="AS29">
        <f>IFERROR(IF((AE29+AF29+AG29)&gt;13,AB29,ROUND(AB29/AD29*AH29,0)),0)</f>
        <v/>
      </c>
      <c r="AT29">
        <f>IFERROR(INDEX(ADJ!$A$1:$BZ$1000,MATCH(PAYROLL!D29,ADJ!A$1:A$500,0),MATCH(PAYROLL!AT$2,ADJ!$2:$2,0)),0)</f>
        <v/>
      </c>
      <c r="AU29">
        <f>ROUND(SUM(AM29:AT29),0)</f>
        <v/>
      </c>
      <c r="AV29">
        <f>IFERROR(INDEX(TIMESHEET!$A$1:$AI$5000,MATCH(PAYROLL!D29,TIMESHEET!A$1:A$500,0),MATCH("T620",TIMESHEET!$2:$2,0)),0)</f>
        <v/>
      </c>
      <c r="AW29">
        <f>IFERROR(INDEX(TIMESHEET!$A$1:$AI$5000,MATCH(PAYROLL!D29,TIMESHEET!A$1:A$500,0),MATCH("T601",TIMESHEET!$2:$2,0)),0)</f>
        <v/>
      </c>
      <c r="AX29">
        <f>IFERROR(INDEX(TIMESHEET!$A$1:$AI$5000,MATCH(PAYROLL!D29,TIMESHEET!A$1:A$500,0),MATCH("T602",TIMESHEET!$2:$2,0)),0)</f>
        <v/>
      </c>
      <c r="AY29">
        <f>IFERROR(INDEX(TIMESHEET!$A$1:$AI$5000,MATCH(PAYROLL!D29,TIMESHEET!A$1:A$500,0),MATCH("T603",TIMESHEET!$2:$2,0)),0)</f>
        <v/>
      </c>
      <c r="AZ29">
        <f>IFERROR(INDEX(TIMESHEET!$A$1:$AI$5000,MATCH(PAYROLL!D29,TIMESHEET!A$1:A$500,0),MATCH("T611",TIMESHEET!$2:$2,0)),0)</f>
        <v/>
      </c>
      <c r="BA29">
        <f>IFERROR(INDEX(TIMESHEET!$A$1:$AI$5000,MATCH(PAYROLL!D29,TIMESHEET!A$1:A$500,0),MATCH("T612",TIMESHEET!$2:$2,0)),0)</f>
        <v/>
      </c>
      <c r="BB29">
        <f>IFERROR(INDEX(TIMESHEET!$A$1:$AI$5000,MATCH(PAYROLL!D29,TIMESHEET!A$1:A$500,0),MATCH("T613",TIMESHEET!$2:$2,0)),0)</f>
        <v/>
      </c>
      <c r="BC29">
        <f>IFERROR(INDEX(TIMESHEET!$A$1:$AI$5000,MATCH(PAYROLL!D29,TIMESHEET!A$1:A$500,0),MATCH("T500",TIMESHEET!$2:$2,0)),0)</f>
        <v/>
      </c>
      <c r="BD29">
        <f>IFERROR((T29+V29)/AD29/8*(AV29+AW29*1.5+AX29*2+AY29*3+AZ29*2.1+BA29*2.7+BB29*3.9+BC29*0.3),0)</f>
        <v/>
      </c>
      <c r="BE29">
        <f>IFERROR(INDEX(ADJ!$A$1:$BZ$1000,MATCH(PAYROLL!$D29,ADJ!A$1:A$500,0),MATCH(PAYROLL!BE$2,ADJ!$2:$2,0)),0)</f>
        <v/>
      </c>
      <c r="BF29">
        <f>IFERROR(INDEX(ADJ!$A$1:$BZ$1000,MATCH(PAYROLL!D29,ADJ!A$1:A$500,0),MATCH(PAYROLL!BF$2,ADJ!$2:$2,0)),0)</f>
        <v/>
      </c>
      <c r="BG29">
        <f>IFERROR(INDEX(ADJ!$A$1:$BZ$1000,MATCH(PAYROLL!D29,ADJ!A$1:A$500,0),MATCH(PAYROLL!BG$2,ADJ!$2:$2,0)),0)</f>
        <v/>
      </c>
      <c r="BH29">
        <f>IFERROR(INDEX(ADJ!$A$1:$BZ$1000,MATCH(PAYROLL!D29,ADJ!A$1:A$500,0),MATCH(PAYROLL!BH$2,ADJ!$2:$2,0)),0)</f>
        <v/>
      </c>
      <c r="BI29">
        <f>IFERROR(INDEX(ADJ!$A$1:$BZ$1000,MATCH(PAYROLL!D29,ADJ!A$1:A$500,0),MATCH(PAYROLL!BI$2,ADJ!$2:$2,0)),0)</f>
        <v/>
      </c>
      <c r="BJ29">
        <f>SUM(BE29:BI29)</f>
        <v/>
      </c>
      <c r="BK29">
        <f>IFERROR(IF(INDEX(PIS!N$1:N$500,MATCH(D29,PIS!C$1:C$500))="LC12",(T29*21.5%)/AD29*AH29,0),0)</f>
        <v/>
      </c>
      <c r="BL29">
        <f>IFERROR(INDEX(ADJ!$A$1:$BZ$1000,MATCH(PAYROLL!D29,ADJ!A$1:A$500,0),MATCH(PAYROLL!BL$2,ADJ!$2:$2,0)),0)</f>
        <v/>
      </c>
      <c r="BM29">
        <f>IFERROR(INDEX(ADJ!$A$1:$BZ$1000,MATCH(PAYROLL!D29,ADJ!A$1:A$500,0),MATCH(PAYROLL!BM$2,ADJ!$2:$2,0)),0)</f>
        <v/>
      </c>
      <c r="BN29">
        <f>IFERROR(INDEX(ADJ!$A$1:$BZ$1000,MATCH(PAYROLL!D29,ADJ!A$1:A$500,0),MATCH(PAYROLL!BN$2,ADJ!$2:$2,0)),0)</f>
        <v/>
      </c>
      <c r="BO29">
        <f>SUM(AL29,AU29,BD29,BJ29,BK29:BN29)</f>
        <v/>
      </c>
      <c r="BP29">
        <f>BN29+AP29</f>
        <v/>
      </c>
      <c r="BQ29">
        <f>IFERROR(ROUND(IF(LEFT(INDEX(PIS!O$1:O$500,MATCH(D29,PIS!C$1:C$500)),1)="D",T29/8*(BC29*0.3),IF(LEFT(INDEX(PIS!O$1:O$500,MATCH(D29,PIS!C$1:C$500)),1)="H",T29*($BC29*0.3),T29/$AD29/8*($BC29*0.3))),0),0)</f>
        <v/>
      </c>
      <c r="BR29">
        <f>IF(AO29&lt;1,0,MIN(AO29,730000))</f>
        <v/>
      </c>
      <c r="BS29">
        <f>IFERROR(ROUND((BD29-SUM(AV29:BB29)*T29/AD29/8),0)-BQ29,0)</f>
        <v/>
      </c>
      <c r="BT29">
        <f>AN29</f>
        <v/>
      </c>
      <c r="BU29">
        <f>SUM(BP29:BT29)</f>
        <v/>
      </c>
      <c r="BV29">
        <f>BO29-BU29</f>
        <v/>
      </c>
      <c r="BW29">
        <f>IFERROR(IF(RIGHT(INDEX(PIS!O$1:O$500,MATCH(D29,PIS!C$1:C$500)),5)="Gross",MIN(U29+V29,VLOOKUP("R700",TSC!B:C,2,0)*VLOOKUP("R101",TSC!B:C,2,0))*VLOOKUP("R701",TSC!B:C,2,0)%,0),0)</f>
        <v/>
      </c>
      <c r="BX29">
        <f>IFERROR(IF(RIGHT(INDEX(PIS!O$1:O$500,MATCH(D29,PIS!C$1:C$500)),5)="Gross",MIN(U29+V29,VLOOKUP("R700",TSC!B:C,2,0)*VLOOKUP("R101",TSC!B:C,2,0))*VLOOKUP("T704",TSC!B:C,2,0)%,0),0)</f>
        <v/>
      </c>
      <c r="BY29">
        <f>IFERROR(IF(RIGHT(INDEX(PIS!O$1:O$500,MATCH(D29,PIS!C$1:C$500)),5)="Gross",MIN(U29+V29,VLOOKUP("R700",TSC!B:C,2,0)*VLOOKUP("1",TSC!F:G,2,0))*VLOOKUP("T705",TSC!B:C,2,0)%,0),0)</f>
        <v/>
      </c>
      <c r="BZ29">
        <f>IFERROR(INDEX(ADJ!$A$1:$BZ$1000,MATCH(PAYROLL!D29,ADJ!A$1:A$500,0),MATCH(PAYROLL!BZ$2,ADJ!$2:$2,0)),0)</f>
        <v/>
      </c>
      <c r="CA29">
        <f>IFERROR(INDEX(ADJ!$A$1:$BZ$1000,MATCH(PAYROLL!D29,ADJ!A$1:A$500,0),MATCH(PAYROLL!CA$2,ADJ!$2:$2,0)),0)</f>
        <v/>
      </c>
      <c r="CB29">
        <f>SUM(BW29:CA29)</f>
        <v/>
      </c>
      <c r="CC29">
        <f>IFERROR(INDEX(PIS!$A$1:$BZ$1000,MATCH(PAYROLL!D29,PIS!C$1:C$500,0),MATCH(PAYROLL!CC$1,PIS!$1:$1,0)),0)</f>
        <v/>
      </c>
      <c r="CD29">
        <f>IFERROR(IF(OR(INDEX(PIS!P$1:P$500,MATCH(D29,PIS!C$1:C$500,0))="LT2",INDEX(PIS!P$1:P$500,MATCH(D29,PIS!C$1:C$500,0))="P10"),0,SUM(CB29,CC29*VLOOKUP("R601",TSC!B:C,2,0),VLOOKUP("R602",TSC!B:C,2,0))),0)</f>
        <v/>
      </c>
      <c r="CE29">
        <f>MAX(BV29-CD29,0)</f>
        <v/>
      </c>
      <c r="CF29">
        <f>IFERROR(IF(OR(RIGHT(INDEX(PIS!P$1:P$500,MATCH(D29,PIS!C$1:C$500)),5)="P10",RIGHT(INDEX(PIS!P$1:P$500,MATCH(D29,PIS!C$1:C$500)),5)="CK"),0,IF(CE29&lt;=5000000,CE29*5%,IF(CE29&lt;=10000000,CE29*10%-250000,IF(CE29&lt;=18000000,CE29*15%-750000,IF(CE29&lt;=32000000,CE29*20%-1650000,IF(CE29&lt;=52000000,CE29*25%-3250000,IF(CE29&lt;=80000000,BG29*30%-5850000,CE29*35%-9850000))))))),0)</f>
        <v/>
      </c>
      <c r="CG29">
        <f>IFERROR(IF(OR(INDEX(PIS!P$1:P$500,MATCH(D29,PIS!C$1:C$500))="LT",INDEX(PIS!P$1:P$500,MATCH(D29,PIS!C$1:C$500))="CK"),0,IF(CE29&lt;2000000,0,CE29*10%)),0)</f>
        <v/>
      </c>
      <c r="CH29">
        <f>IFERROR(INDEX(ADJ!$A$1:$BZ$1000,MATCH(PAYROLL!D29,ADJ!A$1:A$500,0),MATCH(PAYROLL!CH$2,ADJ!$2:$2,0)),0)</f>
        <v/>
      </c>
      <c r="CI29">
        <f>IFERROR(INDEX(ADJ!$A$1:$BZ$1000,MATCH(PAYROLL!D29,ADJ!A$1:A$500,0),MATCH(PAYROLL!CI$2,ADJ!$2:$2,0)),0)</f>
        <v/>
      </c>
      <c r="CJ29">
        <f>IFERROR(INDEX(ADJ!$A$1:$BZ$1000,MATCH(PAYROLL!D29,ADJ!A$1:A$500,0),MATCH(PAYROLL!CJ$2,ADJ!$2:$2,0)),0)</f>
        <v/>
      </c>
      <c r="CK29">
        <f>SUM(CF29:CJ29)</f>
        <v/>
      </c>
      <c r="CL29">
        <f>ROUND(SUM(CG29:CJ29),0)</f>
        <v/>
      </c>
      <c r="CM29">
        <f>IFERROR(INDEX(CSDA!D$1:D$500,MATCH($CM$2,CSDA!C$1:C$500,0))*INDEX(PIS!V$1:V$500,MATCH(D29,PIS!C$1:C$500))+INDEX(ADJ!$A$1:$BZ$1000,MATCH(PAYROLL!D29,ADJ!A$1:A$500,0),MATCH(PAYROLL!CM$2,ADJ!$2:$2,0)),0)</f>
        <v/>
      </c>
      <c r="CN29">
        <f>IFERROR(INDEX(ADJ!$A$1:$BZ$1000,MATCH(PAYROLL!D29,ADJ!A$1:A$500,0),MATCH(PAYROLL!CN$2,ADJ!$2:$2,0)),0)</f>
        <v/>
      </c>
      <c r="CO29">
        <f>IFERROR(INDEX(ADJ!$A$1:$BZ$1000,MATCH(PAYROLL!D29,ADJ!A$1:A$500,0),MATCH(PAYROLL!CO$2,ADJ!$2:$2,0)),0)</f>
        <v/>
      </c>
      <c r="CP29">
        <f>BO29-CK29-CH29-CL29-CM29-CN29-CO29-CB29</f>
        <v/>
      </c>
      <c r="CQ29">
        <f>IFERROR(IF(RIGHT(INDEX(PIS!O$1:O$500,MATCH(D29,PIS!C$1:C$500,0)),5)="Gross",MIN(U29+V29,VLOOKUP("R700",TSC!B:C,2,0)*VLOOKUP("R101",TSC!B:C,2,0))*(VLOOKUP("T711",TSC!B:C,2,0)+VLOOKUP("T712",TSC!B:C,2,0))%,MIN(T29+V29,VLOOKUP("R700",TSC!B:C,2,0)*VLOOKUP("R101",TSC!B:C,2,0))*(VLOOKUP("T711",TSC!B:C,2,0)+VLOOKUP("T712",TSC!B:C,2,0)+VLOOKUP("R701",TSC!B:C,2,0))%),0)</f>
        <v/>
      </c>
      <c r="CR29">
        <f>IFERROR(IF(RIGHT(INDEX(PIS!O$1:O$500,MATCH(D29,PIS!C$1:C$500,0)),5)="Gross",MIN(U29+V29,VLOOKUP("R700",TSC!B:C,2,0)*VLOOKUP("R101",TSC!B:C,2,0))*(VLOOKUP("T714",TSC!B:C,2,0))%,MIN(T29+V29,VLOOKUP("R700",TSC!B:C,2,0)*VLOOKUP("R101",TSC!B:C,2,0))*(VLOOKUP("T704",TSC!B:C,2,0)+VLOOKUP("T714",TSC!B:C,2,0))%),0)</f>
        <v/>
      </c>
      <c r="CS29">
        <f>IFERROR(IF(RIGHT(INDEX(PIS!O$1:O$500,MATCH(D29,PIS!C$1:C$500,0)),5)="Gross",MIN(U29+V29,VLOOKUP("R700",TSC!B:C,2,0)*VLOOKUP("R101",TSC!B:C,2,0))*VLOOKUP("T705",TSC!B:C,2,0)%,MIN(T29+V29,VLOOKUP("R700",TSC!B:C,2,0)*VLOOKUP("R101",TSC!B:C,2,0))*VLOOKUP("T705",TSC!B:C,2,0)%),0)</f>
        <v/>
      </c>
      <c r="CT29">
        <f>IFERROR(IF(RIGHT(INDEX(PIS!O$1:O$500,MATCH(D29,PIS!C$1:C$500,0)),5)="Gross",MIN(U29+V29,VLOOKUP("R700",TSC!B:C,2,0)*VLOOKUP("R101",TSC!B:C,2,0))*(VLOOKUP("T713",TSC!B:C,2,0))%,MIN(T29+V29,VLOOKUP("R700",TSC!B:C,2,0)*VLOOKUP("R101",TSC!B:C,2,0))*(VLOOKUP("T713",TSC!B:C,2,0))%),0)</f>
        <v/>
      </c>
      <c r="CU29">
        <f>IFERROR(INDEX(ADJ!$A$1:$BZ$1000,MATCH(PAYROLL!D29,ADJ!A$1:A$500,0),MATCH(PAYROLL!CU$2,ADJ!$2:$2,0)),0)</f>
        <v/>
      </c>
      <c r="CV29">
        <f>IFERROR(INDEX(ADJ!$A$1:$BZ$1000,MATCH(PAYROLL!D29,ADJ!A$1:A$500,0),MATCH(PAYROLL!CV$2,ADJ!$2:$2,0)),0)</f>
        <v/>
      </c>
      <c r="CW29">
        <f>SUM(CQ29:CV29)</f>
        <v/>
      </c>
      <c r="CX29">
        <f>ROUND(IF(CQ29&gt;0,T29+V29*VLOOKUP("R202",TSC!$B$1:$C$500,2,0),0),0)</f>
        <v/>
      </c>
      <c r="CY29">
        <f>IFERROR(INDEX(CSDA!D$1:D$500,MATCH($CY$2,CSDA!C$1:C$500,0)),0)</f>
        <v/>
      </c>
      <c r="CZ29">
        <f>ROUND(T29*0.7%,0)</f>
        <v/>
      </c>
      <c r="DA29">
        <f>ROUND(T29/12,0)</f>
        <v/>
      </c>
      <c r="DB29">
        <f ref="DB29" t="array">IFERROR(INDEX(CSDA!D$1:D$500,MATCH("Trích giữ"&amp;PAYROLL!DB$2,CSDA!A$1:A$500&amp;CSDA!C$1:C$500,0)),0)</f>
        <v/>
      </c>
      <c r="DC29">
        <f ref="DC29" t="array">IFERROR(INDEX(CSDA!D$1:D$500,MATCH("Trích giữ"&amp;PAYROLL!DC$2,CSDA!A$1:A$500&amp;CSDA!C$1:C$500,0)),0)</f>
        <v/>
      </c>
      <c r="DD29">
        <f ref="DD29" t="array">IFERROR(INDEX(CSDA!D$1:D$500,MATCH("Trích giữ"&amp;PAYROLL!DD$2,CSDA!A$1:A$500&amp;CSDA!C$1:C$500,0)),0)</f>
        <v/>
      </c>
      <c r="DE29">
        <f>IFERROR(INDEX(CSDA!D$1:D$500,MATCH(PAYROLL!DE$2,CSDA!C$1:C$500,0)),0)</f>
        <v/>
      </c>
      <c r="DF29">
        <f ref="DF29" t="array">IFERROR(INDEX(CSDA!D$1:D$500,MATCH("Trích giữ"&amp;PAYROLL!DF$2,CSDA!A$1:A$500&amp;CSDA!C$1:C$500,0)),0)</f>
        <v/>
      </c>
      <c r="DG29">
        <f>ROUND(T29/26,0)</f>
        <v/>
      </c>
      <c r="DH29">
        <f ref="DH29" t="array">IFERROR(INDEX(CSDA!D$1:D$500,MATCH("Trích giữ"&amp;PAYROLL!DH$2,CSDA!A$1:A$500&amp;CSDA!C$1:C$500,0)),0)</f>
        <v/>
      </c>
      <c r="DI29">
        <f>IF(U29=0,T29*21.5%-BK29,0)</f>
        <v/>
      </c>
      <c r="DK29">
        <f ref="DK29" t="array">IFERROR(INDEX(CSDA!D$1:D$500,MATCH("Trích giữ"&amp;PAYROLL!DK$2,CSDA!A$1:A$500&amp;CSDA!C$1:C$500,0)),0)</f>
        <v/>
      </c>
      <c r="DL29">
        <f>IFERROR(INDEX(CSDA!D$1:D$500,MATCH(PAYROLL!DL$2,CSDA!C$1:C$500,0))/12,0)</f>
        <v/>
      </c>
      <c r="DM29">
        <f>SUM(DA29:DL29)</f>
        <v/>
      </c>
      <c r="DN29">
        <f>IFERROR(INDEX(ADJ!$A$1:$BZ$1000,MATCH(PAYROLL!D29,ADJ!A$1:A$500,0),MATCH(PAYROLL!DN$2,ADJ!$2:$2,0)),0)</f>
        <v/>
      </c>
      <c r="DO29">
        <f>IFERROR(SUM(BO29,DM29:DN29,CW29:CZ29)-DT29,0)</f>
        <v/>
      </c>
      <c r="DP29">
        <f ref="DP29" t="array">SUM(BV29*IFERROR(INDEX(CSDA!D$1:D$500,MATCH(BV$2,CSDA!C$1:C$500,0)),0)%,CW29*IFERROR(INDEX(CSDA!D$1:D$500,MATCH(CW$2,CSDA!C$1:C$500,0)),0)%,CZ29*IFERROR(INDEX(CSDA!D$1:D$500,MATCH(CZ$2,CSDA!C$1:C$500,0)),0)%,DA29*IFERROR(INDEX(CSDA!D$1:D$500,MATCH(DA$2,CSDA!C$1:C$500,0)),0)%,DE29*IFERROR(INDEX(CSDA!D$1:D$500,MATCH("Phí dịch vụ"&amp;PAYROLL!DE$2,CSDA!A$1:A$500&amp;CSDA!C$1:C$500,0)),0)%,DB29*IFERROR(INDEX(CSDA!D$1:D$500,MATCH("Phí dịch vụ"&amp;PAYROLL!DB$2,CSDA!A$1:A$500&amp;CSDA!C$1:C$500,0)),0)%,DG29*IFERROR(INDEX(CSDA!D$1:D$500,MATCH("Phí dịch vụ"&amp;PAYROLL!DG$2,CSDA!A$1:A$500&amp;CSDA!C$1:C$500,0)),0)%,DI29*IFERROR(INDEX(CSDA!D$1:D$500,MATCH("Phí dịch vụ"&amp;PAYROLL!DI$2,CSDA!A$1:A$500&amp;CSDA!C$1:C$500,0)),0)%,BM29*IFERROR(INDEX(CSDA!D$1:D$500,MATCH(BM$2,CSDA!C$1:C$500,0)),0)%)-BM29*7%</f>
        <v/>
      </c>
      <c r="DQ29">
        <f>IFERROR(INDEX(ADJ!$A$1:$BZ$1000,MATCH(PAYROLL!D29,ADJ!A$1:A$500,0),MATCH(PAYROLL!DQ$2,ADJ!$2:$2,0)),0)</f>
        <v/>
      </c>
      <c r="DR29">
        <f>IFERROR(INDEX(ADJ!$A$1:$BZ$1000,MATCH(PAYROLL!D29,ADJ!A$1:A$500,0),MATCH(PAYROLL!DR$2,ADJ!$2:$2,0)),0)</f>
        <v/>
      </c>
      <c r="DS29">
        <f>SUM(DP29:DR29)</f>
        <v/>
      </c>
      <c r="DT29">
        <f>EK29</f>
        <v/>
      </c>
      <c r="DU29">
        <f>SUM(DO29:DR29)</f>
        <v/>
      </c>
      <c r="DV29">
        <f>ROUND(DU29*0.1,0)</f>
        <v/>
      </c>
      <c r="DW29">
        <f>DU29+DV29</f>
        <v/>
      </c>
      <c r="DZ29">
        <f>IFERROR(INDEX(ADJ!$A$1:$BZ$1000,MATCH(PAYROLL!$D29,ADJ!A$1:A$500,0),MATCH(PAYROLL!DZ$2,ADJ!$2:$2,0)),0)</f>
        <v/>
      </c>
      <c r="EA29">
        <f>IFERROR(INDEX(ADJ!$A$1:$BZ$1000,MATCH(PAYROLL!$D29,ADJ!A$1:A$500,0),MATCH(PAYROLL!EA$2,ADJ!$2:$2,0)),0)</f>
        <v/>
      </c>
      <c r="EB29">
        <f>IFERROR(INDEX(ADJ!$A$1:$BZ$1000,MATCH(PAYROLL!$D29,ADJ!A$1:A$500,0),MATCH(PAYROLL!EB$2,ADJ!$2:$2,0)),0)</f>
        <v/>
      </c>
      <c r="EC29">
        <f>IFERROR(INDEX(ADJ!$A$1:$BZ$1000,MATCH(PAYROLL!$D29,ADJ!A$1:A$500,0),MATCH(PAYROLL!EC$2,ADJ!$2:$2,0)),0)</f>
        <v/>
      </c>
      <c r="ED29">
        <f>IFERROR(INDEX(ADJ!$A$1:$BZ$1000,MATCH(PAYROLL!$D29,ADJ!A$1:A$500,0),MATCH(PAYROLL!ED$2,ADJ!$2:$2,0)),0)</f>
        <v/>
      </c>
      <c r="EE29">
        <f>IFERROR(INDEX(ADJ!$A$1:$BZ$1000,MATCH(PAYROLL!$D29,ADJ!A$1:A$500,0),MATCH(PAYROLL!EE$2,ADJ!$2:$2,0)),0)</f>
        <v/>
      </c>
      <c r="EF29">
        <f>IFERROR(INDEX(ADJ!$A$1:$BZ$1000,MATCH(PAYROLL!$D29,ADJ!A$1:A$500,0),MATCH(PAYROLL!EF$2,ADJ!$2:$2,0)),0)</f>
        <v/>
      </c>
      <c r="EG29">
        <f>IFERROR(INDEX(ADJ!$A$1:$BZ$1000,MATCH(PAYROLL!$D29,ADJ!A$1:A$500,0),MATCH(PAYROLL!EG$2,ADJ!$2:$2,0)),0)</f>
        <v/>
      </c>
      <c r="EH29">
        <f>IFERROR(INDEX(ADJ!$A$1:$BZ$1000,MATCH(PAYROLL!$D29,ADJ!A$1:A$500,0),MATCH(PAYROLL!EH$2,ADJ!$2:$2,0)),0)</f>
        <v/>
      </c>
      <c r="EI29">
        <f>IFERROR(INDEX(ADJ!$A$1:$BZ$1000,MATCH(PAYROLL!D29,ADJ!A$1:A$500,0),MATCH(PAYROLL!EI$2,ADJ!$2:$2,0)),0)</f>
        <v/>
      </c>
      <c r="EJ29">
        <f>IFERROR(INDEX(ADJ!$A$1:$BZ$1000,MATCH(PAYROLL!$D29,ADJ!A$1:A$500,0),MATCH(PAYROLL!EJ$2,ADJ!$2:$2,0)),0)</f>
        <v/>
      </c>
      <c r="EK29">
        <f>SUM(DZ29:EJ29)</f>
        <v/>
      </c>
    </row>
    <row r="30">
      <c r="A30" t="n">
        <v>28</v>
      </c>
      <c r="B30" t="inlineStr">
        <is>
          <t>Nguyễn Hoa Đăng</t>
        </is>
      </c>
      <c r="D30" t="inlineStr">
        <is>
          <t>158700-01</t>
        </is>
      </c>
      <c r="S30">
        <f>IFERROR(INDEX(PIS!$A$1:$BZ$1000,MATCH($D30,PIS!C$1:C$500,0),MATCH("Lương CB tháng trước",PIS!$1:$1,0)),0)</f>
        <v/>
      </c>
      <c r="T30">
        <f>IFERROR(INDEX(PIS!$A$1:$BZ$1000,MATCH($D30,PIS!C$1:C$500,0),MATCH("Lương CB hiện tại",PIS!$1:$1,0)),0)</f>
        <v/>
      </c>
      <c r="U30">
        <f>IFERROR(INDEX(PIS!$A$1:$BZ$1000,MATCH($D30,PIS!C$1:C$500,0),MATCH("Lương đóng BHBB",PIS!$1:$1,0)),0)</f>
        <v/>
      </c>
      <c r="V30">
        <f>IFERROR(INDEX(PIS!$A$1:$BZ$1000,MATCH($D30,PIS!C$1:C$500,0),MATCH(V$2,PIS!$2:$2,0)),0)</f>
        <v/>
      </c>
      <c r="W30">
        <f>IFERROR(INDEX(PIS!$A$1:$BZ$1000,MATCH($D30,PIS!C$1:C$500,0),MATCH(W$2,PIS!$2:$2,0)),0)</f>
        <v/>
      </c>
      <c r="X30">
        <f>IFERROR(INDEX(PIS!$A$1:$BZ$1000,MATCH($D30,PIS!C$1:C$500,0),MATCH(X$2,PIS!$2:$2,0)),0)</f>
        <v/>
      </c>
      <c r="Y30">
        <f>IFERROR(INDEX(PIS!$A$1:$BZ$1000,MATCH($D30,PIS!C$1:C$500,0),MATCH(Y$2,PIS!$2:$2,0)),0)</f>
        <v/>
      </c>
      <c r="Z30">
        <f>IFERROR(INDEX(PIS!$A$1:$BZ$1000,MATCH($D30,PIS!C$1:C$500,0),MATCH(Z$2,PIS!$2:$2,0)),0)</f>
        <v/>
      </c>
      <c r="AA30">
        <f>IFERROR(INDEX(PIS!$A$1:$BZ$1000,MATCH($D30,PIS!C$1:C$500,0),MATCH(AA$2,PIS!$2:$2,0)),0)</f>
        <v/>
      </c>
      <c r="AB30">
        <f>IFERROR(INDEX(PIS!$A$1:$BZ$1000,MATCH($D30,PIS!C$1:C$500,0),MATCH(AB$2,PIS!$2:$2,0)),0)</f>
        <v/>
      </c>
      <c r="AC30">
        <f>SUM(V30:AB30)</f>
        <v/>
      </c>
      <c r="AD30">
        <f>IFERROR(INDEX(TIMESHEET!$A$1:$AI$5000,MATCH($D30,TIMESHEET!A$1:A$500,0),MATCH("T100",TIMESHEET!$2:$2,0)),0)</f>
        <v/>
      </c>
      <c r="AE30">
        <f>IFERROR(INDEX(TIMESHEET!$A$1:$AI$5000,MATCH($D30,TIMESHEET!A$1:A$500,0),MATCH("T202",TIMESHEET!$2:$2,0)),0)</f>
        <v/>
      </c>
      <c r="AF30">
        <f>IFERROR(INDEX(TIMESHEET!$A$1:$AI$5000,MATCH($D30,TIMESHEET!A$1:A$500,0),MATCH("T302",TIMESHEET!$2:$2,0)),0)</f>
        <v/>
      </c>
      <c r="AG30">
        <f>IFERROR(INDEX(TIMESHEET!$A$1:$AI$5000,MATCH($D30,TIMESHEET!A$1:A$500,0),MATCH("T406",TIMESHEET!$2:$2,0)),0)</f>
        <v/>
      </c>
      <c r="AH30">
        <f>IF(SUM(AE30:AG30)&gt;=26,26,SUM(AE30:AG30))</f>
        <v/>
      </c>
      <c r="AI30">
        <f>IFERROR(INDEX(TIMESHEET!$A$1:$AI$5000,MATCH($D30,TIMESHEET!A$1:A$500,0),MATCH("T701",TIMESHEET!$2:$2,0)),0)</f>
        <v/>
      </c>
      <c r="AJ30">
        <f>IFERROR(IF(INDEX(PIS!N$1:N$500,MATCH(D30,PIS!C$1:C$500,0))="LC4",(T30*0.85)/AD30*AH30,ROUND(T30/AD30*AH30,0)),0)</f>
        <v/>
      </c>
      <c r="AK30">
        <f>IFERROR(INDEX(ADJ!$A$1:$BZ$1000,MATCH(PAYROLL!D30,ADJ!A$1:A$500,0),MATCH(PAYROLL!AK$2,ADJ!$2:$2,0)),0)</f>
        <v/>
      </c>
      <c r="AL30">
        <f>SUM(AJ30:AK30)</f>
        <v/>
      </c>
      <c r="AM30">
        <f>IF(AH30&gt;13,V30,ROUND(V30/AD30*AH30,0))</f>
        <v/>
      </c>
      <c r="AN30">
        <f>IF(AD30=0,0,ROUND(W30/AD30*AI30,0))</f>
        <v/>
      </c>
      <c r="AO30">
        <f>ROUND(X30*AH30,0)</f>
        <v/>
      </c>
      <c r="AP30">
        <f>IF(AD30=0,0,ROUND(Y30/AD30*AH30,0))</f>
        <v/>
      </c>
      <c r="AQ30">
        <f>IFERROR(IF((AE30+AF30+AG30)&gt;13,Z30,ROUND(Z30/AD30*AH30,0)),0)</f>
        <v/>
      </c>
      <c r="AR30">
        <f>IF(AD30=0,0,ROUND(AA59/AD30*AH30,0))</f>
        <v/>
      </c>
      <c r="AS30">
        <f>IFERROR(IF((AE30+AF30+AG30)&gt;13,AB30,ROUND(AB30/AD30*AH30,0)),0)</f>
        <v/>
      </c>
      <c r="AT30">
        <f>IFERROR(INDEX(ADJ!$A$1:$BZ$1000,MATCH(PAYROLL!D30,ADJ!A$1:A$500,0),MATCH(PAYROLL!AT$2,ADJ!$2:$2,0)),0)</f>
        <v/>
      </c>
      <c r="AU30">
        <f>ROUND(SUM(AM30:AT30),0)</f>
        <v/>
      </c>
      <c r="AV30">
        <f>IFERROR(INDEX(TIMESHEET!$A$1:$AI$5000,MATCH(PAYROLL!D30,TIMESHEET!A$1:A$500,0),MATCH("T620",TIMESHEET!$2:$2,0)),0)</f>
        <v/>
      </c>
      <c r="AW30">
        <f>IFERROR(INDEX(TIMESHEET!$A$1:$AI$5000,MATCH(PAYROLL!D30,TIMESHEET!A$1:A$500,0),MATCH("T601",TIMESHEET!$2:$2,0)),0)</f>
        <v/>
      </c>
      <c r="AX30">
        <f>IFERROR(INDEX(TIMESHEET!$A$1:$AI$5000,MATCH(PAYROLL!D30,TIMESHEET!A$1:A$500,0),MATCH("T602",TIMESHEET!$2:$2,0)),0)</f>
        <v/>
      </c>
      <c r="AY30">
        <f>IFERROR(INDEX(TIMESHEET!$A$1:$AI$5000,MATCH(PAYROLL!D30,TIMESHEET!A$1:A$500,0),MATCH("T603",TIMESHEET!$2:$2,0)),0)</f>
        <v/>
      </c>
      <c r="AZ30">
        <f>IFERROR(INDEX(TIMESHEET!$A$1:$AI$5000,MATCH(PAYROLL!D30,TIMESHEET!A$1:A$500,0),MATCH("T611",TIMESHEET!$2:$2,0)),0)</f>
        <v/>
      </c>
      <c r="BA30">
        <f>IFERROR(INDEX(TIMESHEET!$A$1:$AI$5000,MATCH(PAYROLL!D30,TIMESHEET!A$1:A$500,0),MATCH("T612",TIMESHEET!$2:$2,0)),0)</f>
        <v/>
      </c>
      <c r="BB30">
        <f>IFERROR(INDEX(TIMESHEET!$A$1:$AI$5000,MATCH(PAYROLL!D30,TIMESHEET!A$1:A$500,0),MATCH("T613",TIMESHEET!$2:$2,0)),0)</f>
        <v/>
      </c>
      <c r="BC30">
        <f>IFERROR(INDEX(TIMESHEET!$A$1:$AI$5000,MATCH(PAYROLL!D30,TIMESHEET!A$1:A$500,0),MATCH("T500",TIMESHEET!$2:$2,0)),0)</f>
        <v/>
      </c>
      <c r="BD30">
        <f>IFERROR((T30+V30)/AD30/8*(AV30+AW30*1.5+AX30*2+AY30*3+AZ30*2.1+BA30*2.7+BB30*3.9+BC30*0.3),0)</f>
        <v/>
      </c>
      <c r="BE30">
        <f>IFERROR(INDEX(ADJ!$A$1:$BZ$1000,MATCH(PAYROLL!$D30,ADJ!A$1:A$500,0),MATCH(PAYROLL!BE$2,ADJ!$2:$2,0)),0)</f>
        <v/>
      </c>
      <c r="BF30">
        <f>IFERROR(INDEX(ADJ!$A$1:$BZ$1000,MATCH(PAYROLL!D30,ADJ!A$1:A$500,0),MATCH(PAYROLL!BF$2,ADJ!$2:$2,0)),0)</f>
        <v/>
      </c>
      <c r="BG30">
        <f>IFERROR(INDEX(ADJ!$A$1:$BZ$1000,MATCH(PAYROLL!D30,ADJ!A$1:A$500,0),MATCH(PAYROLL!BG$2,ADJ!$2:$2,0)),0)</f>
        <v/>
      </c>
      <c r="BH30">
        <f>IFERROR(INDEX(ADJ!$A$1:$BZ$1000,MATCH(PAYROLL!D30,ADJ!A$1:A$500,0),MATCH(PAYROLL!BH$2,ADJ!$2:$2,0)),0)</f>
        <v/>
      </c>
      <c r="BI30">
        <f>IFERROR(INDEX(ADJ!$A$1:$BZ$1000,MATCH(PAYROLL!D30,ADJ!A$1:A$500,0),MATCH(PAYROLL!BI$2,ADJ!$2:$2,0)),0)</f>
        <v/>
      </c>
      <c r="BJ30">
        <f>SUM(BE30:BI30)</f>
        <v/>
      </c>
      <c r="BK30">
        <f>IFERROR(IF(INDEX(PIS!N$1:N$500,MATCH(D30,PIS!C$1:C$500))="LC12",(T30*21.5%)/AD30*AH30,0),0)</f>
        <v/>
      </c>
      <c r="BL30">
        <f>IFERROR(INDEX(ADJ!$A$1:$BZ$1000,MATCH(PAYROLL!D30,ADJ!A$1:A$500,0),MATCH(PAYROLL!BL$2,ADJ!$2:$2,0)),0)</f>
        <v/>
      </c>
      <c r="BM30">
        <f>IFERROR(INDEX(ADJ!$A$1:$BZ$1000,MATCH(PAYROLL!D30,ADJ!A$1:A$500,0),MATCH(PAYROLL!BM$2,ADJ!$2:$2,0)),0)</f>
        <v/>
      </c>
      <c r="BN30">
        <f>IFERROR(INDEX(ADJ!$A$1:$BZ$1000,MATCH(PAYROLL!D30,ADJ!A$1:A$500,0),MATCH(PAYROLL!BN$2,ADJ!$2:$2,0)),0)</f>
        <v/>
      </c>
      <c r="BO30">
        <f>SUM(AL30,AU30,BD30,BJ30,BK30:BN30)</f>
        <v/>
      </c>
      <c r="BP30">
        <f>BN30+AP30</f>
        <v/>
      </c>
      <c r="BQ30">
        <f>IFERROR(ROUND(IF(LEFT(INDEX(PIS!O$1:O$500,MATCH(D30,PIS!C$1:C$500)),1)="D",T30/8*(BC30*0.3),IF(LEFT(INDEX(PIS!O$1:O$500,MATCH(D30,PIS!C$1:C$500)),1)="H",T30*($BC30*0.3),T30/$AD30/8*($BC30*0.3))),0),0)</f>
        <v/>
      </c>
      <c r="BR30">
        <f>IF(AO30&lt;1,0,MIN(AO30,730000))</f>
        <v/>
      </c>
      <c r="BS30">
        <f>IFERROR(ROUND((BD30-SUM(AV30:BB30)*T30/AD30/8),0)-BQ30,0)</f>
        <v/>
      </c>
      <c r="BT30">
        <f>AN30</f>
        <v/>
      </c>
      <c r="BU30">
        <f>SUM(BP30:BT30)</f>
        <v/>
      </c>
      <c r="BV30">
        <f>BO30-BU30</f>
        <v/>
      </c>
      <c r="BW30">
        <f>IFERROR(IF(RIGHT(INDEX(PIS!O$1:O$500,MATCH(D30,PIS!C$1:C$500)),5)="Gross",MIN(U30+V30,VLOOKUP("R700",TSC!B:C,2,0)*VLOOKUP("R101",TSC!B:C,2,0))*VLOOKUP("R701",TSC!B:C,2,0)%,0),0)</f>
        <v/>
      </c>
      <c r="BX30">
        <f>IFERROR(IF(RIGHT(INDEX(PIS!O$1:O$500,MATCH(D30,PIS!C$1:C$500)),5)="Gross",MIN(U30+V30,VLOOKUP("R700",TSC!B:C,2,0)*VLOOKUP("R101",TSC!B:C,2,0))*VLOOKUP("T704",TSC!B:C,2,0)%,0),0)</f>
        <v/>
      </c>
      <c r="BY30">
        <f>IFERROR(IF(RIGHT(INDEX(PIS!O$1:O$500,MATCH(D30,PIS!C$1:C$500)),5)="Gross",MIN(U30+V30,VLOOKUP("R700",TSC!B:C,2,0)*VLOOKUP("1",TSC!F:G,2,0))*VLOOKUP("T705",TSC!B:C,2,0)%,0),0)</f>
        <v/>
      </c>
      <c r="BZ30">
        <f>IFERROR(INDEX(ADJ!$A$1:$BZ$1000,MATCH(PAYROLL!D30,ADJ!A$1:A$500,0),MATCH(PAYROLL!BZ$2,ADJ!$2:$2,0)),0)</f>
        <v/>
      </c>
      <c r="CA30">
        <f>IFERROR(INDEX(ADJ!$A$1:$BZ$1000,MATCH(PAYROLL!D30,ADJ!A$1:A$500,0),MATCH(PAYROLL!CA$2,ADJ!$2:$2,0)),0)</f>
        <v/>
      </c>
      <c r="CB30">
        <f>SUM(BW30:CA30)</f>
        <v/>
      </c>
      <c r="CC30">
        <f>IFERROR(INDEX(PIS!$A$1:$BZ$1000,MATCH(PAYROLL!D30,PIS!C$1:C$500,0),MATCH(PAYROLL!CC$1,PIS!$1:$1,0)),0)</f>
        <v/>
      </c>
      <c r="CD30">
        <f>IFERROR(IF(OR(INDEX(PIS!P$1:P$500,MATCH(D30,PIS!C$1:C$500,0))="LT2",INDEX(PIS!P$1:P$500,MATCH(D30,PIS!C$1:C$500,0))="P10"),0,SUM(CB30,CC30*VLOOKUP("R601",TSC!B:C,2,0),VLOOKUP("R602",TSC!B:C,2,0))),0)</f>
        <v/>
      </c>
      <c r="CE30">
        <f>MAX(BV30-CD30,0)</f>
        <v/>
      </c>
      <c r="CF30">
        <f>IFERROR(IF(OR(RIGHT(INDEX(PIS!P$1:P$500,MATCH(D30,PIS!C$1:C$500)),5)="P10",RIGHT(INDEX(PIS!P$1:P$500,MATCH(D30,PIS!C$1:C$500)),5)="CK"),0,IF(CE30&lt;=5000000,CE30*5%,IF(CE30&lt;=10000000,CE30*10%-250000,IF(CE30&lt;=18000000,CE30*15%-750000,IF(CE30&lt;=32000000,CE30*20%-1650000,IF(CE30&lt;=52000000,CE30*25%-3250000,IF(CE30&lt;=80000000,BG30*30%-5850000,CE30*35%-9850000))))))),0)</f>
        <v/>
      </c>
      <c r="CG30">
        <f>IFERROR(IF(OR(INDEX(PIS!P$1:P$500,MATCH(D30,PIS!C$1:C$500))="LT",INDEX(PIS!P$1:P$500,MATCH(D30,PIS!C$1:C$500))="CK"),0,IF(CE30&lt;2000000,0,CE30*10%)),0)</f>
        <v/>
      </c>
      <c r="CH30">
        <f>IFERROR(INDEX(ADJ!$A$1:$BZ$1000,MATCH(PAYROLL!D30,ADJ!A$1:A$500,0),MATCH(PAYROLL!CH$2,ADJ!$2:$2,0)),0)</f>
        <v/>
      </c>
      <c r="CI30">
        <f>IFERROR(INDEX(ADJ!$A$1:$BZ$1000,MATCH(PAYROLL!D30,ADJ!A$1:A$500,0),MATCH(PAYROLL!CI$2,ADJ!$2:$2,0)),0)</f>
        <v/>
      </c>
      <c r="CJ30">
        <f>IFERROR(INDEX(ADJ!$A$1:$BZ$1000,MATCH(PAYROLL!D30,ADJ!A$1:A$500,0),MATCH(PAYROLL!CJ$2,ADJ!$2:$2,0)),0)</f>
        <v/>
      </c>
      <c r="CK30">
        <f>SUM(CF30:CJ30)</f>
        <v/>
      </c>
      <c r="CL30">
        <f>ROUND(SUM(CG30:CJ30),0)</f>
        <v/>
      </c>
      <c r="CM30">
        <f>IFERROR(INDEX(CSDA!D$1:D$500,MATCH($CM$2,CSDA!C$1:C$500,0))*INDEX(PIS!V$1:V$500,MATCH(D30,PIS!C$1:C$500))+INDEX(ADJ!$A$1:$BZ$1000,MATCH(PAYROLL!D30,ADJ!A$1:A$500,0),MATCH(PAYROLL!CM$2,ADJ!$2:$2,0)),0)</f>
        <v/>
      </c>
      <c r="CN30">
        <f>IFERROR(INDEX(ADJ!$A$1:$BZ$1000,MATCH(PAYROLL!D30,ADJ!A$1:A$500,0),MATCH(PAYROLL!CN$2,ADJ!$2:$2,0)),0)</f>
        <v/>
      </c>
      <c r="CO30">
        <f>IFERROR(INDEX(ADJ!$A$1:$BZ$1000,MATCH(PAYROLL!D30,ADJ!A$1:A$500,0),MATCH(PAYROLL!CO$2,ADJ!$2:$2,0)),0)</f>
        <v/>
      </c>
      <c r="CP30">
        <f>BO30-CK30-CH30-CL30-CM30-CN30-CO30-CB30</f>
        <v/>
      </c>
      <c r="CQ30">
        <f>IFERROR(IF(RIGHT(INDEX(PIS!O$1:O$500,MATCH(D30,PIS!C$1:C$500,0)),5)="Gross",MIN(U30+V30,VLOOKUP("R700",TSC!B:C,2,0)*VLOOKUP("R101",TSC!B:C,2,0))*(VLOOKUP("T711",TSC!B:C,2,0)+VLOOKUP("T712",TSC!B:C,2,0))%,MIN(T30+V30,VLOOKUP("R700",TSC!B:C,2,0)*VLOOKUP("R101",TSC!B:C,2,0))*(VLOOKUP("T711",TSC!B:C,2,0)+VLOOKUP("T712",TSC!B:C,2,0)+VLOOKUP("R701",TSC!B:C,2,0))%),0)</f>
        <v/>
      </c>
      <c r="CR30">
        <f>IFERROR(IF(RIGHT(INDEX(PIS!O$1:O$500,MATCH(D30,PIS!C$1:C$500,0)),5)="Gross",MIN(U30+V30,VLOOKUP("R700",TSC!B:C,2,0)*VLOOKUP("R101",TSC!B:C,2,0))*(VLOOKUP("T714",TSC!B:C,2,0))%,MIN(T30+V30,VLOOKUP("R700",TSC!B:C,2,0)*VLOOKUP("R101",TSC!B:C,2,0))*(VLOOKUP("T704",TSC!B:C,2,0)+VLOOKUP("T714",TSC!B:C,2,0))%),0)</f>
        <v/>
      </c>
      <c r="CS30">
        <f>IFERROR(IF(RIGHT(INDEX(PIS!O$1:O$500,MATCH(D30,PIS!C$1:C$500,0)),5)="Gross",MIN(U30+V30,VLOOKUP("R700",TSC!B:C,2,0)*VLOOKUP("R101",TSC!B:C,2,0))*VLOOKUP("T705",TSC!B:C,2,0)%,MIN(T30+V30,VLOOKUP("R700",TSC!B:C,2,0)*VLOOKUP("R101",TSC!B:C,2,0))*VLOOKUP("T705",TSC!B:C,2,0)%),0)</f>
        <v/>
      </c>
      <c r="CT30">
        <f>IFERROR(IF(RIGHT(INDEX(PIS!O$1:O$500,MATCH(D30,PIS!C$1:C$500,0)),5)="Gross",MIN(U30+V30,VLOOKUP("R700",TSC!B:C,2,0)*VLOOKUP("R101",TSC!B:C,2,0))*(VLOOKUP("T713",TSC!B:C,2,0))%,MIN(T30+V30,VLOOKUP("R700",TSC!B:C,2,0)*VLOOKUP("R101",TSC!B:C,2,0))*(VLOOKUP("T713",TSC!B:C,2,0))%),0)</f>
        <v/>
      </c>
      <c r="CU30">
        <f>IFERROR(INDEX(ADJ!$A$1:$BZ$1000,MATCH(PAYROLL!D30,ADJ!A$1:A$500,0),MATCH(PAYROLL!CU$2,ADJ!$2:$2,0)),0)</f>
        <v/>
      </c>
      <c r="CV30">
        <f>IFERROR(INDEX(ADJ!$A$1:$BZ$1000,MATCH(PAYROLL!D30,ADJ!A$1:A$500,0),MATCH(PAYROLL!CV$2,ADJ!$2:$2,0)),0)</f>
        <v/>
      </c>
      <c r="CW30">
        <f>SUM(CQ30:CV30)</f>
        <v/>
      </c>
      <c r="CX30">
        <f>ROUND(IF(CQ30&gt;0,T30+V30*VLOOKUP("R202",TSC!$B$1:$C$500,2,0),0),0)</f>
        <v/>
      </c>
      <c r="CY30">
        <f>IFERROR(INDEX(CSDA!D$1:D$500,MATCH($CY$2,CSDA!C$1:C$500,0)),0)</f>
        <v/>
      </c>
      <c r="CZ30">
        <f>ROUND(T30*0.7%,0)</f>
        <v/>
      </c>
      <c r="DA30">
        <f>ROUND(T30/12,0)</f>
        <v/>
      </c>
      <c r="DB30">
        <f ref="DB30" t="array">IFERROR(INDEX(CSDA!D$1:D$500,MATCH("Trích giữ"&amp;PAYROLL!DB$2,CSDA!A$1:A$500&amp;CSDA!C$1:C$500,0)),0)</f>
        <v/>
      </c>
      <c r="DC30">
        <f ref="DC30" t="array">IFERROR(INDEX(CSDA!D$1:D$500,MATCH("Trích giữ"&amp;PAYROLL!DC$2,CSDA!A$1:A$500&amp;CSDA!C$1:C$500,0)),0)</f>
        <v/>
      </c>
      <c r="DD30">
        <f ref="DD30" t="array">IFERROR(INDEX(CSDA!D$1:D$500,MATCH("Trích giữ"&amp;PAYROLL!DD$2,CSDA!A$1:A$500&amp;CSDA!C$1:C$500,0)),0)</f>
        <v/>
      </c>
      <c r="DE30">
        <f>IFERROR(INDEX(CSDA!D$1:D$500,MATCH(PAYROLL!DE$2,CSDA!C$1:C$500,0)),0)</f>
        <v/>
      </c>
      <c r="DF30">
        <f ref="DF30" t="array">IFERROR(INDEX(CSDA!D$1:D$500,MATCH("Trích giữ"&amp;PAYROLL!DF$2,CSDA!A$1:A$500&amp;CSDA!C$1:C$500,0)),0)</f>
        <v/>
      </c>
      <c r="DG30">
        <f>ROUND(T30/26,0)</f>
        <v/>
      </c>
      <c r="DH30">
        <f ref="DH30" t="array">IFERROR(INDEX(CSDA!D$1:D$500,MATCH("Trích giữ"&amp;PAYROLL!DH$2,CSDA!A$1:A$500&amp;CSDA!C$1:C$500,0)),0)</f>
        <v/>
      </c>
      <c r="DI30">
        <f>IF(U30=0,T30*21.5%-BK30,0)</f>
        <v/>
      </c>
      <c r="DK30">
        <f ref="DK30" t="array">IFERROR(INDEX(CSDA!D$1:D$500,MATCH("Trích giữ"&amp;PAYROLL!DK$2,CSDA!A$1:A$500&amp;CSDA!C$1:C$500,0)),0)</f>
        <v/>
      </c>
      <c r="DL30">
        <f>IFERROR(INDEX(CSDA!D$1:D$500,MATCH(PAYROLL!DL$2,CSDA!C$1:C$500,0))/12,0)</f>
        <v/>
      </c>
      <c r="DM30">
        <f>SUM(DA30:DL30)</f>
        <v/>
      </c>
      <c r="DN30">
        <f>IFERROR(INDEX(ADJ!$A$1:$BZ$1000,MATCH(PAYROLL!D30,ADJ!A$1:A$500,0),MATCH(PAYROLL!DN$2,ADJ!$2:$2,0)),0)</f>
        <v/>
      </c>
      <c r="DO30">
        <f>IFERROR(SUM(BO30,DM30:DN30,CW30:CZ30)-DT30,0)</f>
        <v/>
      </c>
      <c r="DP30">
        <f ref="DP30" t="array">SUM(BV30*IFERROR(INDEX(CSDA!D$1:D$500,MATCH(BV$2,CSDA!C$1:C$500,0)),0)%,CW30*IFERROR(INDEX(CSDA!D$1:D$500,MATCH(CW$2,CSDA!C$1:C$500,0)),0)%,CZ30*IFERROR(INDEX(CSDA!D$1:D$500,MATCH(CZ$2,CSDA!C$1:C$500,0)),0)%,DA30*IFERROR(INDEX(CSDA!D$1:D$500,MATCH(DA$2,CSDA!C$1:C$500,0)),0)%,DE30*IFERROR(INDEX(CSDA!D$1:D$500,MATCH("Phí dịch vụ"&amp;PAYROLL!DE$2,CSDA!A$1:A$500&amp;CSDA!C$1:C$500,0)),0)%,DB30*IFERROR(INDEX(CSDA!D$1:D$500,MATCH("Phí dịch vụ"&amp;PAYROLL!DB$2,CSDA!A$1:A$500&amp;CSDA!C$1:C$500,0)),0)%,DG30*IFERROR(INDEX(CSDA!D$1:D$500,MATCH("Phí dịch vụ"&amp;PAYROLL!DG$2,CSDA!A$1:A$500&amp;CSDA!C$1:C$500,0)),0)%,DI30*IFERROR(INDEX(CSDA!D$1:D$500,MATCH("Phí dịch vụ"&amp;PAYROLL!DI$2,CSDA!A$1:A$500&amp;CSDA!C$1:C$500,0)),0)%,BM30*IFERROR(INDEX(CSDA!D$1:D$500,MATCH(BM$2,CSDA!C$1:C$500,0)),0)%)-BM30*7%</f>
        <v/>
      </c>
      <c r="DQ30">
        <f>IFERROR(INDEX(ADJ!$A$1:$BZ$1000,MATCH(PAYROLL!D30,ADJ!A$1:A$500,0),MATCH(PAYROLL!DQ$2,ADJ!$2:$2,0)),0)</f>
        <v/>
      </c>
      <c r="DR30">
        <f>IFERROR(INDEX(ADJ!$A$1:$BZ$1000,MATCH(PAYROLL!D30,ADJ!A$1:A$500,0),MATCH(PAYROLL!DR$2,ADJ!$2:$2,0)),0)</f>
        <v/>
      </c>
      <c r="DS30">
        <f>SUM(DP30:DR30)</f>
        <v/>
      </c>
      <c r="DT30">
        <f>EK30</f>
        <v/>
      </c>
      <c r="DU30">
        <f>SUM(DO30:DR30)</f>
        <v/>
      </c>
      <c r="DV30">
        <f>ROUND(DU30*0.1,0)</f>
        <v/>
      </c>
      <c r="DW30">
        <f>DU30+DV30</f>
        <v/>
      </c>
      <c r="DZ30">
        <f>IFERROR(INDEX(ADJ!$A$1:$BZ$1000,MATCH(PAYROLL!$D30,ADJ!A$1:A$500,0),MATCH(PAYROLL!DZ$2,ADJ!$2:$2,0)),0)</f>
        <v/>
      </c>
      <c r="EA30">
        <f>IFERROR(INDEX(ADJ!$A$1:$BZ$1000,MATCH(PAYROLL!$D30,ADJ!A$1:A$500,0),MATCH(PAYROLL!EA$2,ADJ!$2:$2,0)),0)</f>
        <v/>
      </c>
      <c r="EB30">
        <f>IFERROR(INDEX(ADJ!$A$1:$BZ$1000,MATCH(PAYROLL!$D30,ADJ!A$1:A$500,0),MATCH(PAYROLL!EB$2,ADJ!$2:$2,0)),0)</f>
        <v/>
      </c>
      <c r="EC30">
        <f>IFERROR(INDEX(ADJ!$A$1:$BZ$1000,MATCH(PAYROLL!$D30,ADJ!A$1:A$500,0),MATCH(PAYROLL!EC$2,ADJ!$2:$2,0)),0)</f>
        <v/>
      </c>
      <c r="ED30">
        <f>IFERROR(INDEX(ADJ!$A$1:$BZ$1000,MATCH(PAYROLL!$D30,ADJ!A$1:A$500,0),MATCH(PAYROLL!ED$2,ADJ!$2:$2,0)),0)</f>
        <v/>
      </c>
      <c r="EE30">
        <f>IFERROR(INDEX(ADJ!$A$1:$BZ$1000,MATCH(PAYROLL!$D30,ADJ!A$1:A$500,0),MATCH(PAYROLL!EE$2,ADJ!$2:$2,0)),0)</f>
        <v/>
      </c>
      <c r="EF30">
        <f>IFERROR(INDEX(ADJ!$A$1:$BZ$1000,MATCH(PAYROLL!$D30,ADJ!A$1:A$500,0),MATCH(PAYROLL!EF$2,ADJ!$2:$2,0)),0)</f>
        <v/>
      </c>
      <c r="EG30">
        <f>IFERROR(INDEX(ADJ!$A$1:$BZ$1000,MATCH(PAYROLL!$D30,ADJ!A$1:A$500,0),MATCH(PAYROLL!EG$2,ADJ!$2:$2,0)),0)</f>
        <v/>
      </c>
      <c r="EH30">
        <f>IFERROR(INDEX(ADJ!$A$1:$BZ$1000,MATCH(PAYROLL!$D30,ADJ!A$1:A$500,0),MATCH(PAYROLL!EH$2,ADJ!$2:$2,0)),0)</f>
        <v/>
      </c>
      <c r="EI30">
        <f>IFERROR(INDEX(ADJ!$A$1:$BZ$1000,MATCH(PAYROLL!D30,ADJ!A$1:A$500,0),MATCH(PAYROLL!EI$2,ADJ!$2:$2,0)),0)</f>
        <v/>
      </c>
      <c r="EJ30">
        <f>IFERROR(INDEX(ADJ!$A$1:$BZ$1000,MATCH(PAYROLL!$D30,ADJ!A$1:A$500,0),MATCH(PAYROLL!EJ$2,ADJ!$2:$2,0)),0)</f>
        <v/>
      </c>
      <c r="EK30">
        <f>SUM(DZ30:EJ30)</f>
        <v/>
      </c>
    </row>
    <row r="31">
      <c r="A31" t="n">
        <v>29</v>
      </c>
      <c r="B31" t="inlineStr">
        <is>
          <t>Phạm Lăng Thắng</t>
        </is>
      </c>
      <c r="D31" t="inlineStr">
        <is>
          <t>158198-01</t>
        </is>
      </c>
      <c r="S31">
        <f>IFERROR(INDEX(PIS!$A$1:$BZ$1000,MATCH($D31,PIS!C$1:C$500,0),MATCH("Lương CB tháng trước",PIS!$1:$1,0)),0)</f>
        <v/>
      </c>
      <c r="T31">
        <f>IFERROR(INDEX(PIS!$A$1:$BZ$1000,MATCH($D31,PIS!C$1:C$500,0),MATCH("Lương CB hiện tại",PIS!$1:$1,0)),0)</f>
        <v/>
      </c>
      <c r="U31">
        <f>IFERROR(INDEX(PIS!$A$1:$BZ$1000,MATCH($D31,PIS!C$1:C$500,0),MATCH("Lương đóng BHBB",PIS!$1:$1,0)),0)</f>
        <v/>
      </c>
      <c r="V31">
        <f>IFERROR(INDEX(PIS!$A$1:$BZ$1000,MATCH($D31,PIS!C$1:C$500,0),MATCH(V$2,PIS!$2:$2,0)),0)</f>
        <v/>
      </c>
      <c r="W31">
        <f>IFERROR(INDEX(PIS!$A$1:$BZ$1000,MATCH($D31,PIS!C$1:C$500,0),MATCH(W$2,PIS!$2:$2,0)),0)</f>
        <v/>
      </c>
      <c r="X31">
        <f>IFERROR(INDEX(PIS!$A$1:$BZ$1000,MATCH($D31,PIS!C$1:C$500,0),MATCH(X$2,PIS!$2:$2,0)),0)</f>
        <v/>
      </c>
      <c r="Y31">
        <f>IFERROR(INDEX(PIS!$A$1:$BZ$1000,MATCH($D31,PIS!C$1:C$500,0),MATCH(Y$2,PIS!$2:$2,0)),0)</f>
        <v/>
      </c>
      <c r="Z31">
        <f>IFERROR(INDEX(PIS!$A$1:$BZ$1000,MATCH($D31,PIS!C$1:C$500,0),MATCH(Z$2,PIS!$2:$2,0)),0)</f>
        <v/>
      </c>
      <c r="AA31">
        <f>IFERROR(INDEX(PIS!$A$1:$BZ$1000,MATCH($D31,PIS!C$1:C$500,0),MATCH(AA$2,PIS!$2:$2,0)),0)</f>
        <v/>
      </c>
      <c r="AB31">
        <f>IFERROR(INDEX(PIS!$A$1:$BZ$1000,MATCH($D31,PIS!C$1:C$500,0),MATCH(AB$2,PIS!$2:$2,0)),0)</f>
        <v/>
      </c>
      <c r="AC31">
        <f>SUM(V31:AB31)</f>
        <v/>
      </c>
      <c r="AD31">
        <f>IFERROR(INDEX(TIMESHEET!$A$1:$AI$5000,MATCH($D31,TIMESHEET!A$1:A$500,0),MATCH("T100",TIMESHEET!$2:$2,0)),0)</f>
        <v/>
      </c>
      <c r="AE31">
        <f>IFERROR(INDEX(TIMESHEET!$A$1:$AI$5000,MATCH($D31,TIMESHEET!A$1:A$500,0),MATCH("T202",TIMESHEET!$2:$2,0)),0)</f>
        <v/>
      </c>
      <c r="AF31">
        <f>IFERROR(INDEX(TIMESHEET!$A$1:$AI$5000,MATCH($D31,TIMESHEET!A$1:A$500,0),MATCH("T302",TIMESHEET!$2:$2,0)),0)</f>
        <v/>
      </c>
      <c r="AG31">
        <f>IFERROR(INDEX(TIMESHEET!$A$1:$AI$5000,MATCH($D31,TIMESHEET!A$1:A$500,0),MATCH("T406",TIMESHEET!$2:$2,0)),0)</f>
        <v/>
      </c>
      <c r="AH31">
        <f>IF(SUM(AE31:AG31)&gt;=26,26,SUM(AE31:AG31))</f>
        <v/>
      </c>
      <c r="AI31">
        <f>IFERROR(INDEX(TIMESHEET!$A$1:$AI$5000,MATCH($D31,TIMESHEET!A$1:A$500,0),MATCH("T701",TIMESHEET!$2:$2,0)),0)</f>
        <v/>
      </c>
      <c r="AJ31">
        <f>IFERROR(IF(INDEX(PIS!N$1:N$500,MATCH(D31,PIS!C$1:C$500,0))="LC4",(T31*0.85)/AD31*AH31,ROUND(T31/AD31*AH31,0)),0)</f>
        <v/>
      </c>
      <c r="AK31">
        <f>IFERROR(INDEX(ADJ!$A$1:$BZ$1000,MATCH(PAYROLL!D31,ADJ!A$1:A$500,0),MATCH(PAYROLL!AK$2,ADJ!$2:$2,0)),0)</f>
        <v/>
      </c>
      <c r="AL31">
        <f>SUM(AJ31:AK31)</f>
        <v/>
      </c>
      <c r="AM31">
        <f>IF(AH31&gt;13,V31,ROUND(V31/AD31*AH31,0))</f>
        <v/>
      </c>
      <c r="AN31">
        <f>IF(AD31=0,0,ROUND(W31/AD31*AI31,0))</f>
        <v/>
      </c>
      <c r="AO31">
        <f>ROUND(X31*AH31,0)</f>
        <v/>
      </c>
      <c r="AP31">
        <f>IF(AD31=0,0,ROUND(Y31/AD31*AH31,0))</f>
        <v/>
      </c>
      <c r="AQ31">
        <f>IFERROR(IF((AE31+AF31+AG31)&gt;13,Z31,ROUND(Z31/AD31*AH31,0)),0)</f>
        <v/>
      </c>
      <c r="AR31">
        <f>IF(AD31=0,0,ROUND(AA60/AD31*AH31,0))</f>
        <v/>
      </c>
      <c r="AS31">
        <f>IFERROR(IF((AE31+AF31+AG31)&gt;13,AB31,ROUND(AB31/AD31*AH31,0)),0)</f>
        <v/>
      </c>
      <c r="AT31">
        <f>IFERROR(INDEX(ADJ!$A$1:$BZ$1000,MATCH(PAYROLL!D31,ADJ!A$1:A$500,0),MATCH(PAYROLL!AT$2,ADJ!$2:$2,0)),0)</f>
        <v/>
      </c>
      <c r="AU31">
        <f>ROUND(SUM(AM31:AT31),0)</f>
        <v/>
      </c>
      <c r="AV31">
        <f>IFERROR(INDEX(TIMESHEET!$A$1:$AI$5000,MATCH(PAYROLL!D31,TIMESHEET!A$1:A$500,0),MATCH("T620",TIMESHEET!$2:$2,0)),0)</f>
        <v/>
      </c>
      <c r="AW31">
        <f>IFERROR(INDEX(TIMESHEET!$A$1:$AI$5000,MATCH(PAYROLL!D31,TIMESHEET!A$1:A$500,0),MATCH("T601",TIMESHEET!$2:$2,0)),0)</f>
        <v/>
      </c>
      <c r="AX31">
        <f>IFERROR(INDEX(TIMESHEET!$A$1:$AI$5000,MATCH(PAYROLL!D31,TIMESHEET!A$1:A$500,0),MATCH("T602",TIMESHEET!$2:$2,0)),0)</f>
        <v/>
      </c>
      <c r="AY31">
        <f>IFERROR(INDEX(TIMESHEET!$A$1:$AI$5000,MATCH(PAYROLL!D31,TIMESHEET!A$1:A$500,0),MATCH("T603",TIMESHEET!$2:$2,0)),0)</f>
        <v/>
      </c>
      <c r="AZ31">
        <f>IFERROR(INDEX(TIMESHEET!$A$1:$AI$5000,MATCH(PAYROLL!D31,TIMESHEET!A$1:A$500,0),MATCH("T611",TIMESHEET!$2:$2,0)),0)</f>
        <v/>
      </c>
      <c r="BA31">
        <f>IFERROR(INDEX(TIMESHEET!$A$1:$AI$5000,MATCH(PAYROLL!D31,TIMESHEET!A$1:A$500,0),MATCH("T612",TIMESHEET!$2:$2,0)),0)</f>
        <v/>
      </c>
      <c r="BB31">
        <f>IFERROR(INDEX(TIMESHEET!$A$1:$AI$5000,MATCH(PAYROLL!D31,TIMESHEET!A$1:A$500,0),MATCH("T613",TIMESHEET!$2:$2,0)),0)</f>
        <v/>
      </c>
      <c r="BC31">
        <f>IFERROR(INDEX(TIMESHEET!$A$1:$AI$5000,MATCH(PAYROLL!D31,TIMESHEET!A$1:A$500,0),MATCH("T500",TIMESHEET!$2:$2,0)),0)</f>
        <v/>
      </c>
      <c r="BD31">
        <f>IFERROR((T31+V31)/AD31/8*(AV31+AW31*1.5+AX31*2+AY31*3+AZ31*2.1+BA31*2.7+BB31*3.9+BC31*0.3),0)</f>
        <v/>
      </c>
      <c r="BE31">
        <f>IFERROR(INDEX(ADJ!$A$1:$BZ$1000,MATCH(PAYROLL!$D31,ADJ!A$1:A$500,0),MATCH(PAYROLL!BE$2,ADJ!$2:$2,0)),0)</f>
        <v/>
      </c>
      <c r="BF31">
        <f>IFERROR(INDEX(ADJ!$A$1:$BZ$1000,MATCH(PAYROLL!D31,ADJ!A$1:A$500,0),MATCH(PAYROLL!BF$2,ADJ!$2:$2,0)),0)</f>
        <v/>
      </c>
      <c r="BG31">
        <f>IFERROR(INDEX(ADJ!$A$1:$BZ$1000,MATCH(PAYROLL!D31,ADJ!A$1:A$500,0),MATCH(PAYROLL!BG$2,ADJ!$2:$2,0)),0)</f>
        <v/>
      </c>
      <c r="BH31">
        <f>IFERROR(INDEX(ADJ!$A$1:$BZ$1000,MATCH(PAYROLL!D31,ADJ!A$1:A$500,0),MATCH(PAYROLL!BH$2,ADJ!$2:$2,0)),0)</f>
        <v/>
      </c>
      <c r="BI31">
        <f>IFERROR(INDEX(ADJ!$A$1:$BZ$1000,MATCH(PAYROLL!D31,ADJ!A$1:A$500,0),MATCH(PAYROLL!BI$2,ADJ!$2:$2,0)),0)</f>
        <v/>
      </c>
      <c r="BJ31">
        <f>SUM(BE31:BI31)</f>
        <v/>
      </c>
      <c r="BK31">
        <f>IFERROR(IF(INDEX(PIS!N$1:N$500,MATCH(D31,PIS!C$1:C$500))="LC12",(T31*21.5%)/AD31*AH31,0),0)</f>
        <v/>
      </c>
      <c r="BL31">
        <f>IFERROR(INDEX(ADJ!$A$1:$BZ$1000,MATCH(PAYROLL!D31,ADJ!A$1:A$500,0),MATCH(PAYROLL!BL$2,ADJ!$2:$2,0)),0)</f>
        <v/>
      </c>
      <c r="BM31">
        <f>IFERROR(INDEX(ADJ!$A$1:$BZ$1000,MATCH(PAYROLL!D31,ADJ!A$1:A$500,0),MATCH(PAYROLL!BM$2,ADJ!$2:$2,0)),0)</f>
        <v/>
      </c>
      <c r="BN31">
        <f>IFERROR(INDEX(ADJ!$A$1:$BZ$1000,MATCH(PAYROLL!D31,ADJ!A$1:A$500,0),MATCH(PAYROLL!BN$2,ADJ!$2:$2,0)),0)</f>
        <v/>
      </c>
      <c r="BO31">
        <f>SUM(AL31,AU31,BD31,BJ31,BK31:BN31)</f>
        <v/>
      </c>
      <c r="BP31">
        <f>BN31+AP31</f>
        <v/>
      </c>
      <c r="BQ31">
        <f>IFERROR(ROUND(IF(LEFT(INDEX(PIS!O$1:O$500,MATCH(D31,PIS!C$1:C$500)),1)="D",T31/8*(BC31*0.3),IF(LEFT(INDEX(PIS!O$1:O$500,MATCH(D31,PIS!C$1:C$500)),1)="H",T31*($BC31*0.3),T31/$AD31/8*($BC31*0.3))),0),0)</f>
        <v/>
      </c>
      <c r="BR31">
        <f>IF(AO31&lt;1,0,MIN(AO31,730000))</f>
        <v/>
      </c>
      <c r="BS31">
        <f>IFERROR(ROUND((BD31-SUM(AV31:BB31)*T31/AD31/8),0)-BQ31,0)</f>
        <v/>
      </c>
      <c r="BT31">
        <f>AN31</f>
        <v/>
      </c>
      <c r="BU31">
        <f>SUM(BP31:BT31)</f>
        <v/>
      </c>
      <c r="BV31">
        <f>BO31-BU31</f>
        <v/>
      </c>
      <c r="BW31">
        <f>IFERROR(IF(RIGHT(INDEX(PIS!O$1:O$500,MATCH(D31,PIS!C$1:C$500)),5)="Gross",MIN(U31+V31,VLOOKUP("R700",TSC!B:C,2,0)*VLOOKUP("R101",TSC!B:C,2,0))*VLOOKUP("R701",TSC!B:C,2,0)%,0),0)</f>
        <v/>
      </c>
      <c r="BX31">
        <f>IFERROR(IF(RIGHT(INDEX(PIS!O$1:O$500,MATCH(D31,PIS!C$1:C$500)),5)="Gross",MIN(U31+V31,VLOOKUP("R700",TSC!B:C,2,0)*VLOOKUP("R101",TSC!B:C,2,0))*VLOOKUP("T704",TSC!B:C,2,0)%,0),0)</f>
        <v/>
      </c>
      <c r="BY31">
        <f>IFERROR(IF(RIGHT(INDEX(PIS!O$1:O$500,MATCH(D31,PIS!C$1:C$500)),5)="Gross",MIN(U31+V31,VLOOKUP("R700",TSC!B:C,2,0)*VLOOKUP("1",TSC!F:G,2,0))*VLOOKUP("T705",TSC!B:C,2,0)%,0),0)</f>
        <v/>
      </c>
      <c r="BZ31">
        <f>IFERROR(INDEX(ADJ!$A$1:$BZ$1000,MATCH(PAYROLL!D31,ADJ!A$1:A$500,0),MATCH(PAYROLL!BZ$2,ADJ!$2:$2,0)),0)</f>
        <v/>
      </c>
      <c r="CA31">
        <f>IFERROR(INDEX(ADJ!$A$1:$BZ$1000,MATCH(PAYROLL!D31,ADJ!A$1:A$500,0),MATCH(PAYROLL!CA$2,ADJ!$2:$2,0)),0)</f>
        <v/>
      </c>
      <c r="CB31">
        <f>SUM(BW31:CA31)</f>
        <v/>
      </c>
      <c r="CC31">
        <f>IFERROR(INDEX(PIS!$A$1:$BZ$1000,MATCH(PAYROLL!D31,PIS!C$1:C$500,0),MATCH(PAYROLL!CC$1,PIS!$1:$1,0)),0)</f>
        <v/>
      </c>
      <c r="CD31">
        <f>IFERROR(IF(OR(INDEX(PIS!P$1:P$500,MATCH(D31,PIS!C$1:C$500,0))="LT2",INDEX(PIS!P$1:P$500,MATCH(D31,PIS!C$1:C$500,0))="P10"),0,SUM(CB31,CC31*VLOOKUP("R601",TSC!B:C,2,0),VLOOKUP("R602",TSC!B:C,2,0))),0)</f>
        <v/>
      </c>
      <c r="CE31">
        <f>MAX(BV31-CD31,0)</f>
        <v/>
      </c>
      <c r="CF31">
        <f>IFERROR(IF(OR(RIGHT(INDEX(PIS!P$1:P$500,MATCH(D31,PIS!C$1:C$500)),5)="P10",RIGHT(INDEX(PIS!P$1:P$500,MATCH(D31,PIS!C$1:C$500)),5)="CK"),0,IF(CE31&lt;=5000000,CE31*5%,IF(CE31&lt;=10000000,CE31*10%-250000,IF(CE31&lt;=18000000,CE31*15%-750000,IF(CE31&lt;=32000000,CE31*20%-1650000,IF(CE31&lt;=52000000,CE31*25%-3250000,IF(CE31&lt;=80000000,BG31*30%-5850000,CE31*35%-9850000))))))),0)</f>
        <v/>
      </c>
      <c r="CG31">
        <f>IFERROR(IF(OR(INDEX(PIS!P$1:P$500,MATCH(D31,PIS!C$1:C$500))="LT",INDEX(PIS!P$1:P$500,MATCH(D31,PIS!C$1:C$500))="CK"),0,IF(CE31&lt;2000000,0,CE31*10%)),0)</f>
        <v/>
      </c>
      <c r="CH31">
        <f>IFERROR(INDEX(ADJ!$A$1:$BZ$1000,MATCH(PAYROLL!D31,ADJ!A$1:A$500,0),MATCH(PAYROLL!CH$2,ADJ!$2:$2,0)),0)</f>
        <v/>
      </c>
      <c r="CI31">
        <f>IFERROR(INDEX(ADJ!$A$1:$BZ$1000,MATCH(PAYROLL!D31,ADJ!A$1:A$500,0),MATCH(PAYROLL!CI$2,ADJ!$2:$2,0)),0)</f>
        <v/>
      </c>
      <c r="CJ31">
        <f>IFERROR(INDEX(ADJ!$A$1:$BZ$1000,MATCH(PAYROLL!D31,ADJ!A$1:A$500,0),MATCH(PAYROLL!CJ$2,ADJ!$2:$2,0)),0)</f>
        <v/>
      </c>
      <c r="CK31">
        <f>SUM(CF31:CJ31)</f>
        <v/>
      </c>
      <c r="CL31">
        <f>ROUND(SUM(CG31:CJ31),0)</f>
        <v/>
      </c>
      <c r="CM31">
        <f>IFERROR(INDEX(CSDA!D$1:D$500,MATCH($CM$2,CSDA!C$1:C$500,0))*INDEX(PIS!V$1:V$500,MATCH(D31,PIS!C$1:C$500))+INDEX(ADJ!$A$1:$BZ$1000,MATCH(PAYROLL!D31,ADJ!A$1:A$500,0),MATCH(PAYROLL!CM$2,ADJ!$2:$2,0)),0)</f>
        <v/>
      </c>
      <c r="CN31">
        <f>IFERROR(INDEX(ADJ!$A$1:$BZ$1000,MATCH(PAYROLL!D31,ADJ!A$1:A$500,0),MATCH(PAYROLL!CN$2,ADJ!$2:$2,0)),0)</f>
        <v/>
      </c>
      <c r="CO31">
        <f>IFERROR(INDEX(ADJ!$A$1:$BZ$1000,MATCH(PAYROLL!D31,ADJ!A$1:A$500,0),MATCH(PAYROLL!CO$2,ADJ!$2:$2,0)),0)</f>
        <v/>
      </c>
      <c r="CP31">
        <f>BO31-CK31-CH31-CL31-CM31-CN31-CO31-CB31</f>
        <v/>
      </c>
      <c r="CQ31">
        <f>IFERROR(IF(RIGHT(INDEX(PIS!O$1:O$500,MATCH(D31,PIS!C$1:C$500,0)),5)="Gross",MIN(U31+V31,VLOOKUP("R700",TSC!B:C,2,0)*VLOOKUP("R101",TSC!B:C,2,0))*(VLOOKUP("T711",TSC!B:C,2,0)+VLOOKUP("T712",TSC!B:C,2,0))%,MIN(T31+V31,VLOOKUP("R700",TSC!B:C,2,0)*VLOOKUP("R101",TSC!B:C,2,0))*(VLOOKUP("T711",TSC!B:C,2,0)+VLOOKUP("T712",TSC!B:C,2,0)+VLOOKUP("R701",TSC!B:C,2,0))%),0)</f>
        <v/>
      </c>
      <c r="CR31">
        <f>IFERROR(IF(RIGHT(INDEX(PIS!O$1:O$500,MATCH(D31,PIS!C$1:C$500,0)),5)="Gross",MIN(U31+V31,VLOOKUP("R700",TSC!B:C,2,0)*VLOOKUP("R101",TSC!B:C,2,0))*(VLOOKUP("T714",TSC!B:C,2,0))%,MIN(T31+V31,VLOOKUP("R700",TSC!B:C,2,0)*VLOOKUP("R101",TSC!B:C,2,0))*(VLOOKUP("T704",TSC!B:C,2,0)+VLOOKUP("T714",TSC!B:C,2,0))%),0)</f>
        <v/>
      </c>
      <c r="CS31">
        <f>IFERROR(IF(RIGHT(INDEX(PIS!O$1:O$500,MATCH(D31,PIS!C$1:C$500,0)),5)="Gross",MIN(U31+V31,VLOOKUP("R700",TSC!B:C,2,0)*VLOOKUP("R101",TSC!B:C,2,0))*VLOOKUP("T705",TSC!B:C,2,0)%,MIN(T31+V31,VLOOKUP("R700",TSC!B:C,2,0)*VLOOKUP("R101",TSC!B:C,2,0))*VLOOKUP("T705",TSC!B:C,2,0)%),0)</f>
        <v/>
      </c>
      <c r="CT31">
        <f>IFERROR(IF(RIGHT(INDEX(PIS!O$1:O$500,MATCH(D31,PIS!C$1:C$500,0)),5)="Gross",MIN(U31+V31,VLOOKUP("R700",TSC!B:C,2,0)*VLOOKUP("R101",TSC!B:C,2,0))*(VLOOKUP("T713",TSC!B:C,2,0))%,MIN(T31+V31,VLOOKUP("R700",TSC!B:C,2,0)*VLOOKUP("R101",TSC!B:C,2,0))*(VLOOKUP("T713",TSC!B:C,2,0))%),0)</f>
        <v/>
      </c>
      <c r="CU31">
        <f>IFERROR(INDEX(ADJ!$A$1:$BZ$1000,MATCH(PAYROLL!D31,ADJ!A$1:A$500,0),MATCH(PAYROLL!CU$2,ADJ!$2:$2,0)),0)</f>
        <v/>
      </c>
      <c r="CV31">
        <f>IFERROR(INDEX(ADJ!$A$1:$BZ$1000,MATCH(PAYROLL!D31,ADJ!A$1:A$500,0),MATCH(PAYROLL!CV$2,ADJ!$2:$2,0)),0)</f>
        <v/>
      </c>
      <c r="CW31">
        <f>SUM(CQ31:CV31)</f>
        <v/>
      </c>
      <c r="CX31">
        <f>ROUND(IF(CQ31&gt;0,T31+V31*VLOOKUP("R202",TSC!$B$1:$C$500,2,0),0),0)</f>
        <v/>
      </c>
      <c r="CY31">
        <f>IFERROR(INDEX(CSDA!D$1:D$500,MATCH($CY$2,CSDA!C$1:C$500,0)),0)</f>
        <v/>
      </c>
      <c r="CZ31">
        <f>ROUND(T31*0.7%,0)</f>
        <v/>
      </c>
      <c r="DA31">
        <f>ROUND(T31/12,0)</f>
        <v/>
      </c>
      <c r="DB31">
        <f ref="DB31" t="array">IFERROR(INDEX(CSDA!D$1:D$500,MATCH("Trích giữ"&amp;PAYROLL!DB$2,CSDA!A$1:A$500&amp;CSDA!C$1:C$500,0)),0)</f>
        <v/>
      </c>
      <c r="DC31">
        <f ref="DC31" t="array">IFERROR(INDEX(CSDA!D$1:D$500,MATCH("Trích giữ"&amp;PAYROLL!DC$2,CSDA!A$1:A$500&amp;CSDA!C$1:C$500,0)),0)</f>
        <v/>
      </c>
      <c r="DD31">
        <f ref="DD31" t="array">IFERROR(INDEX(CSDA!D$1:D$500,MATCH("Trích giữ"&amp;PAYROLL!DD$2,CSDA!A$1:A$500&amp;CSDA!C$1:C$500,0)),0)</f>
        <v/>
      </c>
      <c r="DE31">
        <f>IFERROR(INDEX(CSDA!D$1:D$500,MATCH(PAYROLL!DE$2,CSDA!C$1:C$500,0)),0)</f>
        <v/>
      </c>
      <c r="DF31">
        <f ref="DF31" t="array">IFERROR(INDEX(CSDA!D$1:D$500,MATCH("Trích giữ"&amp;PAYROLL!DF$2,CSDA!A$1:A$500&amp;CSDA!C$1:C$500,0)),0)</f>
        <v/>
      </c>
      <c r="DG31">
        <f>ROUND(T31/26,0)</f>
        <v/>
      </c>
      <c r="DH31">
        <f ref="DH31" t="array">IFERROR(INDEX(CSDA!D$1:D$500,MATCH("Trích giữ"&amp;PAYROLL!DH$2,CSDA!A$1:A$500&amp;CSDA!C$1:C$500,0)),0)</f>
        <v/>
      </c>
      <c r="DI31">
        <f>IF(U31=0,T31*21.5%-BK31,0)</f>
        <v/>
      </c>
      <c r="DK31">
        <f ref="DK31" t="array">IFERROR(INDEX(CSDA!D$1:D$500,MATCH("Trích giữ"&amp;PAYROLL!DK$2,CSDA!A$1:A$500&amp;CSDA!C$1:C$500,0)),0)</f>
        <v/>
      </c>
      <c r="DL31">
        <f>IFERROR(INDEX(CSDA!D$1:D$500,MATCH(PAYROLL!DL$2,CSDA!C$1:C$500,0))/12,0)</f>
        <v/>
      </c>
      <c r="DM31">
        <f>SUM(DA31:DL31)</f>
        <v/>
      </c>
      <c r="DN31">
        <f>IFERROR(INDEX(ADJ!$A$1:$BZ$1000,MATCH(PAYROLL!D31,ADJ!A$1:A$500,0),MATCH(PAYROLL!DN$2,ADJ!$2:$2,0)),0)</f>
        <v/>
      </c>
      <c r="DO31">
        <f>IFERROR(SUM(BO31,DM31:DN31,CW31:CZ31)-DT31,0)</f>
        <v/>
      </c>
      <c r="DP31">
        <f ref="DP31" t="array">SUM(BV31*IFERROR(INDEX(CSDA!D$1:D$500,MATCH(BV$2,CSDA!C$1:C$500,0)),0)%,CW31*IFERROR(INDEX(CSDA!D$1:D$500,MATCH(CW$2,CSDA!C$1:C$500,0)),0)%,CZ31*IFERROR(INDEX(CSDA!D$1:D$500,MATCH(CZ$2,CSDA!C$1:C$500,0)),0)%,DA31*IFERROR(INDEX(CSDA!D$1:D$500,MATCH(DA$2,CSDA!C$1:C$500,0)),0)%,DE31*IFERROR(INDEX(CSDA!D$1:D$500,MATCH("Phí dịch vụ"&amp;PAYROLL!DE$2,CSDA!A$1:A$500&amp;CSDA!C$1:C$500,0)),0)%,DB31*IFERROR(INDEX(CSDA!D$1:D$500,MATCH("Phí dịch vụ"&amp;PAYROLL!DB$2,CSDA!A$1:A$500&amp;CSDA!C$1:C$500,0)),0)%,DG31*IFERROR(INDEX(CSDA!D$1:D$500,MATCH("Phí dịch vụ"&amp;PAYROLL!DG$2,CSDA!A$1:A$500&amp;CSDA!C$1:C$500,0)),0)%,DI31*IFERROR(INDEX(CSDA!D$1:D$500,MATCH("Phí dịch vụ"&amp;PAYROLL!DI$2,CSDA!A$1:A$500&amp;CSDA!C$1:C$500,0)),0)%,BM31*IFERROR(INDEX(CSDA!D$1:D$500,MATCH(BM$2,CSDA!C$1:C$500,0)),0)%)-BM31*7%</f>
        <v/>
      </c>
      <c r="DQ31">
        <f>IFERROR(INDEX(ADJ!$A$1:$BZ$1000,MATCH(PAYROLL!D31,ADJ!A$1:A$500,0),MATCH(PAYROLL!DQ$2,ADJ!$2:$2,0)),0)</f>
        <v/>
      </c>
      <c r="DR31">
        <f>IFERROR(INDEX(ADJ!$A$1:$BZ$1000,MATCH(PAYROLL!D31,ADJ!A$1:A$500,0),MATCH(PAYROLL!DR$2,ADJ!$2:$2,0)),0)</f>
        <v/>
      </c>
      <c r="DS31">
        <f>SUM(DP31:DR31)</f>
        <v/>
      </c>
      <c r="DT31">
        <f>EK31</f>
        <v/>
      </c>
      <c r="DU31">
        <f>SUM(DO31:DR31)</f>
        <v/>
      </c>
      <c r="DV31">
        <f>ROUND(DU31*0.1,0)</f>
        <v/>
      </c>
      <c r="DW31">
        <f>DU31+DV31</f>
        <v/>
      </c>
      <c r="DZ31">
        <f>IFERROR(INDEX(ADJ!$A$1:$BZ$1000,MATCH(PAYROLL!$D31,ADJ!A$1:A$500,0),MATCH(PAYROLL!DZ$2,ADJ!$2:$2,0)),0)</f>
        <v/>
      </c>
      <c r="EA31">
        <f>IFERROR(INDEX(ADJ!$A$1:$BZ$1000,MATCH(PAYROLL!$D31,ADJ!A$1:A$500,0),MATCH(PAYROLL!EA$2,ADJ!$2:$2,0)),0)</f>
        <v/>
      </c>
      <c r="EB31">
        <f>IFERROR(INDEX(ADJ!$A$1:$BZ$1000,MATCH(PAYROLL!$D31,ADJ!A$1:A$500,0),MATCH(PAYROLL!EB$2,ADJ!$2:$2,0)),0)</f>
        <v/>
      </c>
      <c r="EC31">
        <f>IFERROR(INDEX(ADJ!$A$1:$BZ$1000,MATCH(PAYROLL!$D31,ADJ!A$1:A$500,0),MATCH(PAYROLL!EC$2,ADJ!$2:$2,0)),0)</f>
        <v/>
      </c>
      <c r="ED31">
        <f>IFERROR(INDEX(ADJ!$A$1:$BZ$1000,MATCH(PAYROLL!$D31,ADJ!A$1:A$500,0),MATCH(PAYROLL!ED$2,ADJ!$2:$2,0)),0)</f>
        <v/>
      </c>
      <c r="EE31">
        <f>IFERROR(INDEX(ADJ!$A$1:$BZ$1000,MATCH(PAYROLL!$D31,ADJ!A$1:A$500,0),MATCH(PAYROLL!EE$2,ADJ!$2:$2,0)),0)</f>
        <v/>
      </c>
      <c r="EF31">
        <f>IFERROR(INDEX(ADJ!$A$1:$BZ$1000,MATCH(PAYROLL!$D31,ADJ!A$1:A$500,0),MATCH(PAYROLL!EF$2,ADJ!$2:$2,0)),0)</f>
        <v/>
      </c>
      <c r="EG31">
        <f>IFERROR(INDEX(ADJ!$A$1:$BZ$1000,MATCH(PAYROLL!$D31,ADJ!A$1:A$500,0),MATCH(PAYROLL!EG$2,ADJ!$2:$2,0)),0)</f>
        <v/>
      </c>
      <c r="EH31">
        <f>IFERROR(INDEX(ADJ!$A$1:$BZ$1000,MATCH(PAYROLL!$D31,ADJ!A$1:A$500,0),MATCH(PAYROLL!EH$2,ADJ!$2:$2,0)),0)</f>
        <v/>
      </c>
      <c r="EI31">
        <f>IFERROR(INDEX(ADJ!$A$1:$BZ$1000,MATCH(PAYROLL!D31,ADJ!A$1:A$500,0),MATCH(PAYROLL!EI$2,ADJ!$2:$2,0)),0)</f>
        <v/>
      </c>
      <c r="EJ31">
        <f>IFERROR(INDEX(ADJ!$A$1:$BZ$1000,MATCH(PAYROLL!$D31,ADJ!A$1:A$500,0),MATCH(PAYROLL!EJ$2,ADJ!$2:$2,0)),0)</f>
        <v/>
      </c>
      <c r="EK31">
        <f>SUM(DZ31:EJ31)</f>
        <v/>
      </c>
    </row>
    <row r="32">
      <c r="A32" t="n">
        <v>30</v>
      </c>
      <c r="B32" t="inlineStr">
        <is>
          <t>Đỗ Việt Hải</t>
        </is>
      </c>
      <c r="D32" t="inlineStr">
        <is>
          <t>158780-01</t>
        </is>
      </c>
      <c r="S32">
        <f>IFERROR(INDEX(PIS!$A$1:$BZ$1000,MATCH($D32,PIS!C$1:C$500,0),MATCH("Lương CB tháng trước",PIS!$1:$1,0)),0)</f>
        <v/>
      </c>
      <c r="T32">
        <f>IFERROR(INDEX(PIS!$A$1:$BZ$1000,MATCH($D32,PIS!C$1:C$500,0),MATCH("Lương CB hiện tại",PIS!$1:$1,0)),0)</f>
        <v/>
      </c>
      <c r="U32">
        <f>IFERROR(INDEX(PIS!$A$1:$BZ$1000,MATCH($D32,PIS!C$1:C$500,0),MATCH("Lương đóng BHBB",PIS!$1:$1,0)),0)</f>
        <v/>
      </c>
      <c r="V32">
        <f>IFERROR(INDEX(PIS!$A$1:$BZ$1000,MATCH($D32,PIS!C$1:C$500,0),MATCH(V$2,PIS!$2:$2,0)),0)</f>
        <v/>
      </c>
      <c r="W32">
        <f>IFERROR(INDEX(PIS!$A$1:$BZ$1000,MATCH($D32,PIS!C$1:C$500,0),MATCH(W$2,PIS!$2:$2,0)),0)</f>
        <v/>
      </c>
      <c r="X32">
        <f>IFERROR(INDEX(PIS!$A$1:$BZ$1000,MATCH($D32,PIS!C$1:C$500,0),MATCH(X$2,PIS!$2:$2,0)),0)</f>
        <v/>
      </c>
      <c r="Y32">
        <f>IFERROR(INDEX(PIS!$A$1:$BZ$1000,MATCH($D32,PIS!C$1:C$500,0),MATCH(Y$2,PIS!$2:$2,0)),0)</f>
        <v/>
      </c>
      <c r="Z32">
        <f>IFERROR(INDEX(PIS!$A$1:$BZ$1000,MATCH($D32,PIS!C$1:C$500,0),MATCH(Z$2,PIS!$2:$2,0)),0)</f>
        <v/>
      </c>
      <c r="AA32">
        <f>IFERROR(INDEX(PIS!$A$1:$BZ$1000,MATCH($D32,PIS!C$1:C$500,0),MATCH(AA$2,PIS!$2:$2,0)),0)</f>
        <v/>
      </c>
      <c r="AB32">
        <f>IFERROR(INDEX(PIS!$A$1:$BZ$1000,MATCH($D32,PIS!C$1:C$500,0),MATCH(AB$2,PIS!$2:$2,0)),0)</f>
        <v/>
      </c>
      <c r="AC32">
        <f>SUM(V32:AB32)</f>
        <v/>
      </c>
      <c r="AD32">
        <f>IFERROR(INDEX(TIMESHEET!$A$1:$AI$5000,MATCH($D32,TIMESHEET!A$1:A$500,0),MATCH("T100",TIMESHEET!$2:$2,0)),0)</f>
        <v/>
      </c>
      <c r="AE32">
        <f>IFERROR(INDEX(TIMESHEET!$A$1:$AI$5000,MATCH($D32,TIMESHEET!A$1:A$500,0),MATCH("T202",TIMESHEET!$2:$2,0)),0)</f>
        <v/>
      </c>
      <c r="AF32">
        <f>IFERROR(INDEX(TIMESHEET!$A$1:$AI$5000,MATCH($D32,TIMESHEET!A$1:A$500,0),MATCH("T302",TIMESHEET!$2:$2,0)),0)</f>
        <v/>
      </c>
      <c r="AG32">
        <f>IFERROR(INDEX(TIMESHEET!$A$1:$AI$5000,MATCH($D32,TIMESHEET!A$1:A$500,0),MATCH("T406",TIMESHEET!$2:$2,0)),0)</f>
        <v/>
      </c>
      <c r="AH32">
        <f>IF(SUM(AE32:AG32)&gt;=26,26,SUM(AE32:AG32))</f>
        <v/>
      </c>
      <c r="AI32">
        <f>IFERROR(INDEX(TIMESHEET!$A$1:$AI$5000,MATCH($D32,TIMESHEET!A$1:A$500,0),MATCH("T701",TIMESHEET!$2:$2,0)),0)</f>
        <v/>
      </c>
      <c r="AJ32">
        <f>IFERROR(IF(INDEX(PIS!N$1:N$500,MATCH(D32,PIS!C$1:C$500,0))="LC4",(T32*0.85)/AD32*AH32,ROUND(T32/AD32*AH32,0)),0)</f>
        <v/>
      </c>
      <c r="AK32">
        <f>IFERROR(INDEX(ADJ!$A$1:$BZ$1000,MATCH(PAYROLL!D32,ADJ!A$1:A$500,0),MATCH(PAYROLL!AK$2,ADJ!$2:$2,0)),0)</f>
        <v/>
      </c>
      <c r="AL32">
        <f>SUM(AJ32:AK32)</f>
        <v/>
      </c>
      <c r="AM32">
        <f>IF(AH32&gt;13,V32,ROUND(V32/AD32*AH32,0))</f>
        <v/>
      </c>
      <c r="AN32">
        <f>IF(AD32=0,0,ROUND(W32/AD32*AI32,0))</f>
        <v/>
      </c>
      <c r="AO32">
        <f>ROUND(X32*AH32,0)</f>
        <v/>
      </c>
      <c r="AP32">
        <f>IF(AD32=0,0,ROUND(Y32/AD32*AH32,0))</f>
        <v/>
      </c>
      <c r="AQ32">
        <f>IFERROR(IF((AE32+AF32+AG32)&gt;13,Z32,ROUND(Z32/AD32*AH32,0)),0)</f>
        <v/>
      </c>
      <c r="AR32">
        <f>IF(AD32=0,0,ROUND(AA61/AD32*AH32,0))</f>
        <v/>
      </c>
      <c r="AS32">
        <f>IFERROR(IF((AE32+AF32+AG32)&gt;13,AB32,ROUND(AB32/AD32*AH32,0)),0)</f>
        <v/>
      </c>
      <c r="AT32">
        <f>IFERROR(INDEX(ADJ!$A$1:$BZ$1000,MATCH(PAYROLL!D32,ADJ!A$1:A$500,0),MATCH(PAYROLL!AT$2,ADJ!$2:$2,0)),0)</f>
        <v/>
      </c>
      <c r="AU32">
        <f>ROUND(SUM(AM32:AT32),0)</f>
        <v/>
      </c>
      <c r="AV32">
        <f>IFERROR(INDEX(TIMESHEET!$A$1:$AI$5000,MATCH(PAYROLL!D32,TIMESHEET!A$1:A$500,0),MATCH("T620",TIMESHEET!$2:$2,0)),0)</f>
        <v/>
      </c>
      <c r="AW32">
        <f>IFERROR(INDEX(TIMESHEET!$A$1:$AI$5000,MATCH(PAYROLL!D32,TIMESHEET!A$1:A$500,0),MATCH("T601",TIMESHEET!$2:$2,0)),0)</f>
        <v/>
      </c>
      <c r="AX32">
        <f>IFERROR(INDEX(TIMESHEET!$A$1:$AI$5000,MATCH(PAYROLL!D32,TIMESHEET!A$1:A$500,0),MATCH("T602",TIMESHEET!$2:$2,0)),0)</f>
        <v/>
      </c>
      <c r="AY32">
        <f>IFERROR(INDEX(TIMESHEET!$A$1:$AI$5000,MATCH(PAYROLL!D32,TIMESHEET!A$1:A$500,0),MATCH("T603",TIMESHEET!$2:$2,0)),0)</f>
        <v/>
      </c>
      <c r="AZ32">
        <f>IFERROR(INDEX(TIMESHEET!$A$1:$AI$5000,MATCH(PAYROLL!D32,TIMESHEET!A$1:A$500,0),MATCH("T611",TIMESHEET!$2:$2,0)),0)</f>
        <v/>
      </c>
      <c r="BA32">
        <f>IFERROR(INDEX(TIMESHEET!$A$1:$AI$5000,MATCH(PAYROLL!D32,TIMESHEET!A$1:A$500,0),MATCH("T612",TIMESHEET!$2:$2,0)),0)</f>
        <v/>
      </c>
      <c r="BB32">
        <f>IFERROR(INDEX(TIMESHEET!$A$1:$AI$5000,MATCH(PAYROLL!D32,TIMESHEET!A$1:A$500,0),MATCH("T613",TIMESHEET!$2:$2,0)),0)</f>
        <v/>
      </c>
      <c r="BC32">
        <f>IFERROR(INDEX(TIMESHEET!$A$1:$AI$5000,MATCH(PAYROLL!D32,TIMESHEET!A$1:A$500,0),MATCH("T500",TIMESHEET!$2:$2,0)),0)</f>
        <v/>
      </c>
      <c r="BD32">
        <f>IFERROR((T32+V32)/AD32/8*(AV32+AW32*1.5+AX32*2+AY32*3+AZ32*2.1+BA32*2.7+BB32*3.9+BC32*0.3),0)</f>
        <v/>
      </c>
      <c r="BE32">
        <f>IFERROR(INDEX(ADJ!$A$1:$BZ$1000,MATCH(PAYROLL!$D32,ADJ!A$1:A$500,0),MATCH(PAYROLL!BE$2,ADJ!$2:$2,0)),0)</f>
        <v/>
      </c>
      <c r="BF32">
        <f>IFERROR(INDEX(ADJ!$A$1:$BZ$1000,MATCH(PAYROLL!D32,ADJ!A$1:A$500,0),MATCH(PAYROLL!BF$2,ADJ!$2:$2,0)),0)</f>
        <v/>
      </c>
      <c r="BG32">
        <f>IFERROR(INDEX(ADJ!$A$1:$BZ$1000,MATCH(PAYROLL!D32,ADJ!A$1:A$500,0),MATCH(PAYROLL!BG$2,ADJ!$2:$2,0)),0)</f>
        <v/>
      </c>
      <c r="BH32">
        <f>IFERROR(INDEX(ADJ!$A$1:$BZ$1000,MATCH(PAYROLL!D32,ADJ!A$1:A$500,0),MATCH(PAYROLL!BH$2,ADJ!$2:$2,0)),0)</f>
        <v/>
      </c>
      <c r="BI32">
        <f>IFERROR(INDEX(ADJ!$A$1:$BZ$1000,MATCH(PAYROLL!D32,ADJ!A$1:A$500,0),MATCH(PAYROLL!BI$2,ADJ!$2:$2,0)),0)</f>
        <v/>
      </c>
      <c r="BJ32">
        <f>SUM(BE32:BI32)</f>
        <v/>
      </c>
      <c r="BK32">
        <f>IFERROR(IF(INDEX(PIS!N$1:N$500,MATCH(D32,PIS!C$1:C$500))="LC12",(T32*21.5%)/AD32*AH32,0),0)</f>
        <v/>
      </c>
      <c r="BL32">
        <f>IFERROR(INDEX(ADJ!$A$1:$BZ$1000,MATCH(PAYROLL!D32,ADJ!A$1:A$500,0),MATCH(PAYROLL!BL$2,ADJ!$2:$2,0)),0)</f>
        <v/>
      </c>
      <c r="BM32">
        <f>IFERROR(INDEX(ADJ!$A$1:$BZ$1000,MATCH(PAYROLL!D32,ADJ!A$1:A$500,0),MATCH(PAYROLL!BM$2,ADJ!$2:$2,0)),0)</f>
        <v/>
      </c>
      <c r="BN32">
        <f>IFERROR(INDEX(ADJ!$A$1:$BZ$1000,MATCH(PAYROLL!D32,ADJ!A$1:A$500,0),MATCH(PAYROLL!BN$2,ADJ!$2:$2,0)),0)</f>
        <v/>
      </c>
      <c r="BO32">
        <f>SUM(AL32,AU32,BD32,BJ32,BK32:BN32)</f>
        <v/>
      </c>
      <c r="BP32">
        <f>BN32+AP32</f>
        <v/>
      </c>
      <c r="BQ32">
        <f>IFERROR(ROUND(IF(LEFT(INDEX(PIS!O$1:O$500,MATCH(D32,PIS!C$1:C$500)),1)="D",T32/8*(BC32*0.3),IF(LEFT(INDEX(PIS!O$1:O$500,MATCH(D32,PIS!C$1:C$500)),1)="H",T32*($BC32*0.3),T32/$AD32/8*($BC32*0.3))),0),0)</f>
        <v/>
      </c>
      <c r="BR32">
        <f>IF(AO32&lt;1,0,MIN(AO32,730000))</f>
        <v/>
      </c>
      <c r="BS32">
        <f>IFERROR(ROUND((BD32-SUM(AV32:BB32)*T32/AD32/8),0)-BQ32,0)</f>
        <v/>
      </c>
      <c r="BT32">
        <f>AN32</f>
        <v/>
      </c>
      <c r="BU32">
        <f>SUM(BP32:BT32)</f>
        <v/>
      </c>
      <c r="BV32">
        <f>BO32-BU32</f>
        <v/>
      </c>
      <c r="BW32">
        <f>IFERROR(IF(RIGHT(INDEX(PIS!O$1:O$500,MATCH(D32,PIS!C$1:C$500)),5)="Gross",MIN(U32+V32,VLOOKUP("R700",TSC!B:C,2,0)*VLOOKUP("R101",TSC!B:C,2,0))*VLOOKUP("R701",TSC!B:C,2,0)%,0),0)</f>
        <v/>
      </c>
      <c r="BX32">
        <f>IFERROR(IF(RIGHT(INDEX(PIS!O$1:O$500,MATCH(D32,PIS!C$1:C$500)),5)="Gross",MIN(U32+V32,VLOOKUP("R700",TSC!B:C,2,0)*VLOOKUP("R101",TSC!B:C,2,0))*VLOOKUP("T704",TSC!B:C,2,0)%,0),0)</f>
        <v/>
      </c>
      <c r="BY32">
        <f>IFERROR(IF(RIGHT(INDEX(PIS!O$1:O$500,MATCH(D32,PIS!C$1:C$500)),5)="Gross",MIN(U32+V32,VLOOKUP("R700",TSC!B:C,2,0)*VLOOKUP("1",TSC!F:G,2,0))*VLOOKUP("T705",TSC!B:C,2,0)%,0),0)</f>
        <v/>
      </c>
      <c r="BZ32">
        <f>IFERROR(INDEX(ADJ!$A$1:$BZ$1000,MATCH(PAYROLL!D32,ADJ!A$1:A$500,0),MATCH(PAYROLL!BZ$2,ADJ!$2:$2,0)),0)</f>
        <v/>
      </c>
      <c r="CA32">
        <f>IFERROR(INDEX(ADJ!$A$1:$BZ$1000,MATCH(PAYROLL!D32,ADJ!A$1:A$500,0),MATCH(PAYROLL!CA$2,ADJ!$2:$2,0)),0)</f>
        <v/>
      </c>
      <c r="CB32">
        <f>SUM(BW32:CA32)</f>
        <v/>
      </c>
      <c r="CC32">
        <f>IFERROR(INDEX(PIS!$A$1:$BZ$1000,MATCH(PAYROLL!D32,PIS!C$1:C$500,0),MATCH(PAYROLL!CC$1,PIS!$1:$1,0)),0)</f>
        <v/>
      </c>
      <c r="CD32">
        <f>IFERROR(IF(OR(INDEX(PIS!P$1:P$500,MATCH(D32,PIS!C$1:C$500,0))="LT2",INDEX(PIS!P$1:P$500,MATCH(D32,PIS!C$1:C$500,0))="P10"),0,SUM(CB32,CC32*VLOOKUP("R601",TSC!B:C,2,0),VLOOKUP("R602",TSC!B:C,2,0))),0)</f>
        <v/>
      </c>
      <c r="CE32">
        <f>MAX(BV32-CD32,0)</f>
        <v/>
      </c>
      <c r="CF32">
        <f>IFERROR(IF(OR(RIGHT(INDEX(PIS!P$1:P$500,MATCH(D32,PIS!C$1:C$500)),5)="P10",RIGHT(INDEX(PIS!P$1:P$500,MATCH(D32,PIS!C$1:C$500)),5)="CK"),0,IF(CE32&lt;=5000000,CE32*5%,IF(CE32&lt;=10000000,CE32*10%-250000,IF(CE32&lt;=18000000,CE32*15%-750000,IF(CE32&lt;=32000000,CE32*20%-1650000,IF(CE32&lt;=52000000,CE32*25%-3250000,IF(CE32&lt;=80000000,BG32*30%-5850000,CE32*35%-9850000))))))),0)</f>
        <v/>
      </c>
      <c r="CG32">
        <f>IFERROR(IF(OR(INDEX(PIS!P$1:P$500,MATCH(D32,PIS!C$1:C$500))="LT",INDEX(PIS!P$1:P$500,MATCH(D32,PIS!C$1:C$500))="CK"),0,IF(CE32&lt;2000000,0,CE32*10%)),0)</f>
        <v/>
      </c>
      <c r="CH32">
        <f>IFERROR(INDEX(ADJ!$A$1:$BZ$1000,MATCH(PAYROLL!D32,ADJ!A$1:A$500,0),MATCH(PAYROLL!CH$2,ADJ!$2:$2,0)),0)</f>
        <v/>
      </c>
      <c r="CI32">
        <f>IFERROR(INDEX(ADJ!$A$1:$BZ$1000,MATCH(PAYROLL!D32,ADJ!A$1:A$500,0),MATCH(PAYROLL!CI$2,ADJ!$2:$2,0)),0)</f>
        <v/>
      </c>
      <c r="CJ32">
        <f>IFERROR(INDEX(ADJ!$A$1:$BZ$1000,MATCH(PAYROLL!D32,ADJ!A$1:A$500,0),MATCH(PAYROLL!CJ$2,ADJ!$2:$2,0)),0)</f>
        <v/>
      </c>
      <c r="CK32">
        <f>SUM(CF32:CJ32)</f>
        <v/>
      </c>
      <c r="CL32">
        <f>ROUND(SUM(CG32:CJ32),0)</f>
        <v/>
      </c>
      <c r="CM32">
        <f>IFERROR(INDEX(CSDA!D$1:D$500,MATCH($CM$2,CSDA!C$1:C$500,0))*INDEX(PIS!V$1:V$500,MATCH(D32,PIS!C$1:C$500))+INDEX(ADJ!$A$1:$BZ$1000,MATCH(PAYROLL!D32,ADJ!A$1:A$500,0),MATCH(PAYROLL!CM$2,ADJ!$2:$2,0)),0)</f>
        <v/>
      </c>
      <c r="CN32">
        <f>IFERROR(INDEX(ADJ!$A$1:$BZ$1000,MATCH(PAYROLL!D32,ADJ!A$1:A$500,0),MATCH(PAYROLL!CN$2,ADJ!$2:$2,0)),0)</f>
        <v/>
      </c>
      <c r="CO32">
        <f>IFERROR(INDEX(ADJ!$A$1:$BZ$1000,MATCH(PAYROLL!D32,ADJ!A$1:A$500,0),MATCH(PAYROLL!CO$2,ADJ!$2:$2,0)),0)</f>
        <v/>
      </c>
      <c r="CP32">
        <f>BO32-CK32-CH32-CL32-CM32-CN32-CO32-CB32</f>
        <v/>
      </c>
      <c r="CQ32">
        <f>IFERROR(IF(RIGHT(INDEX(PIS!O$1:O$500,MATCH(D32,PIS!C$1:C$500,0)),5)="Gross",MIN(U32+V32,VLOOKUP("R700",TSC!B:C,2,0)*VLOOKUP("R101",TSC!B:C,2,0))*(VLOOKUP("T711",TSC!B:C,2,0)+VLOOKUP("T712",TSC!B:C,2,0))%,MIN(T32+V32,VLOOKUP("R700",TSC!B:C,2,0)*VLOOKUP("R101",TSC!B:C,2,0))*(VLOOKUP("T711",TSC!B:C,2,0)+VLOOKUP("T712",TSC!B:C,2,0)+VLOOKUP("R701",TSC!B:C,2,0))%),0)</f>
        <v/>
      </c>
      <c r="CR32">
        <f>IFERROR(IF(RIGHT(INDEX(PIS!O$1:O$500,MATCH(D32,PIS!C$1:C$500,0)),5)="Gross",MIN(U32+V32,VLOOKUP("R700",TSC!B:C,2,0)*VLOOKUP("R101",TSC!B:C,2,0))*(VLOOKUP("T714",TSC!B:C,2,0))%,MIN(T32+V32,VLOOKUP("R700",TSC!B:C,2,0)*VLOOKUP("R101",TSC!B:C,2,0))*(VLOOKUP("T704",TSC!B:C,2,0)+VLOOKUP("T714",TSC!B:C,2,0))%),0)</f>
        <v/>
      </c>
      <c r="CS32">
        <f>IFERROR(IF(RIGHT(INDEX(PIS!O$1:O$500,MATCH(D32,PIS!C$1:C$500,0)),5)="Gross",MIN(U32+V32,VLOOKUP("R700",TSC!B:C,2,0)*VLOOKUP("R101",TSC!B:C,2,0))*VLOOKUP("T705",TSC!B:C,2,0)%,MIN(T32+V32,VLOOKUP("R700",TSC!B:C,2,0)*VLOOKUP("R101",TSC!B:C,2,0))*VLOOKUP("T705",TSC!B:C,2,0)%),0)</f>
        <v/>
      </c>
      <c r="CT32">
        <f>IFERROR(IF(RIGHT(INDEX(PIS!O$1:O$500,MATCH(D32,PIS!C$1:C$500,0)),5)="Gross",MIN(U32+V32,VLOOKUP("R700",TSC!B:C,2,0)*VLOOKUP("R101",TSC!B:C,2,0))*(VLOOKUP("T713",TSC!B:C,2,0))%,MIN(T32+V32,VLOOKUP("R700",TSC!B:C,2,0)*VLOOKUP("R101",TSC!B:C,2,0))*(VLOOKUP("T713",TSC!B:C,2,0))%),0)</f>
        <v/>
      </c>
      <c r="CU32">
        <f>IFERROR(INDEX(ADJ!$A$1:$BZ$1000,MATCH(PAYROLL!D32,ADJ!A$1:A$500,0),MATCH(PAYROLL!CU$2,ADJ!$2:$2,0)),0)</f>
        <v/>
      </c>
      <c r="CV32">
        <f>IFERROR(INDEX(ADJ!$A$1:$BZ$1000,MATCH(PAYROLL!D32,ADJ!A$1:A$500,0),MATCH(PAYROLL!CV$2,ADJ!$2:$2,0)),0)</f>
        <v/>
      </c>
      <c r="CW32">
        <f>SUM(CQ32:CV32)</f>
        <v/>
      </c>
      <c r="CX32">
        <f>ROUND(IF(CQ32&gt;0,T32+V32*VLOOKUP("R202",TSC!$B$1:$C$500,2,0),0),0)</f>
        <v/>
      </c>
      <c r="CY32">
        <f>IFERROR(INDEX(CSDA!D$1:D$500,MATCH($CY$2,CSDA!C$1:C$500,0)),0)</f>
        <v/>
      </c>
      <c r="CZ32">
        <f>ROUND(T32*0.7%,0)</f>
        <v/>
      </c>
      <c r="DA32">
        <f>ROUND(T32/12,0)</f>
        <v/>
      </c>
      <c r="DB32">
        <f ref="DB32" t="array">IFERROR(INDEX(CSDA!D$1:D$500,MATCH("Trích giữ"&amp;PAYROLL!DB$2,CSDA!A$1:A$500&amp;CSDA!C$1:C$500,0)),0)</f>
        <v/>
      </c>
      <c r="DC32">
        <f ref="DC32" t="array">IFERROR(INDEX(CSDA!D$1:D$500,MATCH("Trích giữ"&amp;PAYROLL!DC$2,CSDA!A$1:A$500&amp;CSDA!C$1:C$500,0)),0)</f>
        <v/>
      </c>
      <c r="DD32">
        <f ref="DD32" t="array">IFERROR(INDEX(CSDA!D$1:D$500,MATCH("Trích giữ"&amp;PAYROLL!DD$2,CSDA!A$1:A$500&amp;CSDA!C$1:C$500,0)),0)</f>
        <v/>
      </c>
      <c r="DE32">
        <f>IFERROR(INDEX(CSDA!D$1:D$500,MATCH(PAYROLL!DE$2,CSDA!C$1:C$500,0)),0)</f>
        <v/>
      </c>
      <c r="DF32">
        <f ref="DF32" t="array">IFERROR(INDEX(CSDA!D$1:D$500,MATCH("Trích giữ"&amp;PAYROLL!DF$2,CSDA!A$1:A$500&amp;CSDA!C$1:C$500,0)),0)</f>
        <v/>
      </c>
      <c r="DG32">
        <f>ROUND(T32/26,0)</f>
        <v/>
      </c>
      <c r="DH32">
        <f ref="DH32" t="array">IFERROR(INDEX(CSDA!D$1:D$500,MATCH("Trích giữ"&amp;PAYROLL!DH$2,CSDA!A$1:A$500&amp;CSDA!C$1:C$500,0)),0)</f>
        <v/>
      </c>
      <c r="DI32">
        <f>IF(U32=0,T32*21.5%-BK32,0)</f>
        <v/>
      </c>
      <c r="DK32">
        <f ref="DK32" t="array">IFERROR(INDEX(CSDA!D$1:D$500,MATCH("Trích giữ"&amp;PAYROLL!DK$2,CSDA!A$1:A$500&amp;CSDA!C$1:C$500,0)),0)</f>
        <v/>
      </c>
      <c r="DL32">
        <f>IFERROR(INDEX(CSDA!D$1:D$500,MATCH(PAYROLL!DL$2,CSDA!C$1:C$500,0))/12,0)</f>
        <v/>
      </c>
      <c r="DM32">
        <f>SUM(DA32:DL32)</f>
        <v/>
      </c>
      <c r="DN32">
        <f>IFERROR(INDEX(ADJ!$A$1:$BZ$1000,MATCH(PAYROLL!D32,ADJ!A$1:A$500,0),MATCH(PAYROLL!DN$2,ADJ!$2:$2,0)),0)</f>
        <v/>
      </c>
      <c r="DO32">
        <f>IFERROR(SUM(BO32,DM32:DN32,CW32:CZ32)-DT32,0)</f>
        <v/>
      </c>
      <c r="DP32">
        <f ref="DP32" t="array">SUM(BV32*IFERROR(INDEX(CSDA!D$1:D$500,MATCH(BV$2,CSDA!C$1:C$500,0)),0)%,CW32*IFERROR(INDEX(CSDA!D$1:D$500,MATCH(CW$2,CSDA!C$1:C$500,0)),0)%,CZ32*IFERROR(INDEX(CSDA!D$1:D$500,MATCH(CZ$2,CSDA!C$1:C$500,0)),0)%,DA32*IFERROR(INDEX(CSDA!D$1:D$500,MATCH(DA$2,CSDA!C$1:C$500,0)),0)%,DE32*IFERROR(INDEX(CSDA!D$1:D$500,MATCH("Phí dịch vụ"&amp;PAYROLL!DE$2,CSDA!A$1:A$500&amp;CSDA!C$1:C$500,0)),0)%,DB32*IFERROR(INDEX(CSDA!D$1:D$500,MATCH("Phí dịch vụ"&amp;PAYROLL!DB$2,CSDA!A$1:A$500&amp;CSDA!C$1:C$500,0)),0)%,DG32*IFERROR(INDEX(CSDA!D$1:D$500,MATCH("Phí dịch vụ"&amp;PAYROLL!DG$2,CSDA!A$1:A$500&amp;CSDA!C$1:C$500,0)),0)%,DI32*IFERROR(INDEX(CSDA!D$1:D$500,MATCH("Phí dịch vụ"&amp;PAYROLL!DI$2,CSDA!A$1:A$500&amp;CSDA!C$1:C$500,0)),0)%,BM32*IFERROR(INDEX(CSDA!D$1:D$500,MATCH(BM$2,CSDA!C$1:C$500,0)),0)%)-BM32*7%</f>
        <v/>
      </c>
      <c r="DQ32">
        <f>IFERROR(INDEX(ADJ!$A$1:$BZ$1000,MATCH(PAYROLL!D32,ADJ!A$1:A$500,0),MATCH(PAYROLL!DQ$2,ADJ!$2:$2,0)),0)</f>
        <v/>
      </c>
      <c r="DR32">
        <f>IFERROR(INDEX(ADJ!$A$1:$BZ$1000,MATCH(PAYROLL!D32,ADJ!A$1:A$500,0),MATCH(PAYROLL!DR$2,ADJ!$2:$2,0)),0)</f>
        <v/>
      </c>
      <c r="DS32">
        <f>SUM(DP32:DR32)</f>
        <v/>
      </c>
      <c r="DT32">
        <f>EK32</f>
        <v/>
      </c>
      <c r="DU32">
        <f>SUM(DO32:DR32)</f>
        <v/>
      </c>
      <c r="DV32">
        <f>ROUND(DU32*0.1,0)</f>
        <v/>
      </c>
      <c r="DW32">
        <f>DU32+DV32</f>
        <v/>
      </c>
      <c r="DZ32">
        <f>IFERROR(INDEX(ADJ!$A$1:$BZ$1000,MATCH(PAYROLL!$D32,ADJ!A$1:A$500,0),MATCH(PAYROLL!DZ$2,ADJ!$2:$2,0)),0)</f>
        <v/>
      </c>
      <c r="EA32">
        <f>IFERROR(INDEX(ADJ!$A$1:$BZ$1000,MATCH(PAYROLL!$D32,ADJ!A$1:A$500,0),MATCH(PAYROLL!EA$2,ADJ!$2:$2,0)),0)</f>
        <v/>
      </c>
      <c r="EB32">
        <f>IFERROR(INDEX(ADJ!$A$1:$BZ$1000,MATCH(PAYROLL!$D32,ADJ!A$1:A$500,0),MATCH(PAYROLL!EB$2,ADJ!$2:$2,0)),0)</f>
        <v/>
      </c>
      <c r="EC32">
        <f>IFERROR(INDEX(ADJ!$A$1:$BZ$1000,MATCH(PAYROLL!$D32,ADJ!A$1:A$500,0),MATCH(PAYROLL!EC$2,ADJ!$2:$2,0)),0)</f>
        <v/>
      </c>
      <c r="ED32">
        <f>IFERROR(INDEX(ADJ!$A$1:$BZ$1000,MATCH(PAYROLL!$D32,ADJ!A$1:A$500,0),MATCH(PAYROLL!ED$2,ADJ!$2:$2,0)),0)</f>
        <v/>
      </c>
      <c r="EE32">
        <f>IFERROR(INDEX(ADJ!$A$1:$BZ$1000,MATCH(PAYROLL!$D32,ADJ!A$1:A$500,0),MATCH(PAYROLL!EE$2,ADJ!$2:$2,0)),0)</f>
        <v/>
      </c>
      <c r="EF32">
        <f>IFERROR(INDEX(ADJ!$A$1:$BZ$1000,MATCH(PAYROLL!$D32,ADJ!A$1:A$500,0),MATCH(PAYROLL!EF$2,ADJ!$2:$2,0)),0)</f>
        <v/>
      </c>
      <c r="EG32">
        <f>IFERROR(INDEX(ADJ!$A$1:$BZ$1000,MATCH(PAYROLL!$D32,ADJ!A$1:A$500,0),MATCH(PAYROLL!EG$2,ADJ!$2:$2,0)),0)</f>
        <v/>
      </c>
      <c r="EH32">
        <f>IFERROR(INDEX(ADJ!$A$1:$BZ$1000,MATCH(PAYROLL!$D32,ADJ!A$1:A$500,0),MATCH(PAYROLL!EH$2,ADJ!$2:$2,0)),0)</f>
        <v/>
      </c>
      <c r="EI32">
        <f>IFERROR(INDEX(ADJ!$A$1:$BZ$1000,MATCH(PAYROLL!D32,ADJ!A$1:A$500,0),MATCH(PAYROLL!EI$2,ADJ!$2:$2,0)),0)</f>
        <v/>
      </c>
      <c r="EJ32">
        <f>IFERROR(INDEX(ADJ!$A$1:$BZ$1000,MATCH(PAYROLL!$D32,ADJ!A$1:A$500,0),MATCH(PAYROLL!EJ$2,ADJ!$2:$2,0)),0)</f>
        <v/>
      </c>
      <c r="EK32">
        <f>SUM(DZ32:EJ32)</f>
        <v/>
      </c>
    </row>
    <row r="33">
      <c r="A33" t="n">
        <v>31</v>
      </c>
      <c r="B33" t="inlineStr">
        <is>
          <t>Đặng Bảo Sơn</t>
        </is>
      </c>
      <c r="D33" t="inlineStr">
        <is>
          <t>157750-01</t>
        </is>
      </c>
      <c r="S33">
        <f>IFERROR(INDEX(PIS!$A$1:$BZ$1000,MATCH($D33,PIS!C$1:C$500,0),MATCH("Lương CB tháng trước",PIS!$1:$1,0)),0)</f>
        <v/>
      </c>
      <c r="T33">
        <f>IFERROR(INDEX(PIS!$A$1:$BZ$1000,MATCH($D33,PIS!C$1:C$500,0),MATCH("Lương CB hiện tại",PIS!$1:$1,0)),0)</f>
        <v/>
      </c>
      <c r="U33">
        <f>IFERROR(INDEX(PIS!$A$1:$BZ$1000,MATCH($D33,PIS!C$1:C$500,0),MATCH("Lương đóng BHBB",PIS!$1:$1,0)),0)</f>
        <v/>
      </c>
      <c r="V33">
        <f>IFERROR(INDEX(PIS!$A$1:$BZ$1000,MATCH($D33,PIS!C$1:C$500,0),MATCH(V$2,PIS!$2:$2,0)),0)</f>
        <v/>
      </c>
      <c r="W33">
        <f>IFERROR(INDEX(PIS!$A$1:$BZ$1000,MATCH($D33,PIS!C$1:C$500,0),MATCH(W$2,PIS!$2:$2,0)),0)</f>
        <v/>
      </c>
      <c r="X33">
        <f>IFERROR(INDEX(PIS!$A$1:$BZ$1000,MATCH($D33,PIS!C$1:C$500,0),MATCH(X$2,PIS!$2:$2,0)),0)</f>
        <v/>
      </c>
      <c r="Y33">
        <f>IFERROR(INDEX(PIS!$A$1:$BZ$1000,MATCH($D33,PIS!C$1:C$500,0),MATCH(Y$2,PIS!$2:$2,0)),0)</f>
        <v/>
      </c>
      <c r="Z33">
        <f>IFERROR(INDEX(PIS!$A$1:$BZ$1000,MATCH($D33,PIS!C$1:C$500,0),MATCH(Z$2,PIS!$2:$2,0)),0)</f>
        <v/>
      </c>
      <c r="AA33">
        <f>IFERROR(INDEX(PIS!$A$1:$BZ$1000,MATCH($D33,PIS!C$1:C$500,0),MATCH(AA$2,PIS!$2:$2,0)),0)</f>
        <v/>
      </c>
      <c r="AB33">
        <f>IFERROR(INDEX(PIS!$A$1:$BZ$1000,MATCH($D33,PIS!C$1:C$500,0),MATCH(AB$2,PIS!$2:$2,0)),0)</f>
        <v/>
      </c>
      <c r="AC33">
        <f>SUM(V33:AB33)</f>
        <v/>
      </c>
      <c r="AD33">
        <f>IFERROR(INDEX(TIMESHEET!$A$1:$AI$5000,MATCH($D33,TIMESHEET!A$1:A$500,0),MATCH("T100",TIMESHEET!$2:$2,0)),0)</f>
        <v/>
      </c>
      <c r="AE33">
        <f>IFERROR(INDEX(TIMESHEET!$A$1:$AI$5000,MATCH($D33,TIMESHEET!A$1:A$500,0),MATCH("T202",TIMESHEET!$2:$2,0)),0)</f>
        <v/>
      </c>
      <c r="AF33">
        <f>IFERROR(INDEX(TIMESHEET!$A$1:$AI$5000,MATCH($D33,TIMESHEET!A$1:A$500,0),MATCH("T302",TIMESHEET!$2:$2,0)),0)</f>
        <v/>
      </c>
      <c r="AG33">
        <f>IFERROR(INDEX(TIMESHEET!$A$1:$AI$5000,MATCH($D33,TIMESHEET!A$1:A$500,0),MATCH("T406",TIMESHEET!$2:$2,0)),0)</f>
        <v/>
      </c>
      <c r="AH33">
        <f>IF(SUM(AE33:AG33)&gt;=26,26,SUM(AE33:AG33))</f>
        <v/>
      </c>
      <c r="AI33">
        <f>IFERROR(INDEX(TIMESHEET!$A$1:$AI$5000,MATCH($D33,TIMESHEET!A$1:A$500,0),MATCH("T701",TIMESHEET!$2:$2,0)),0)</f>
        <v/>
      </c>
      <c r="AJ33">
        <f>IFERROR(IF(INDEX(PIS!N$1:N$500,MATCH(D33,PIS!C$1:C$500,0))="LC4",(T33*0.85)/AD33*AH33,ROUND(T33/AD33*AH33,0)),0)</f>
        <v/>
      </c>
      <c r="AK33">
        <f>IFERROR(INDEX(ADJ!$A$1:$BZ$1000,MATCH(PAYROLL!D33,ADJ!A$1:A$500,0),MATCH(PAYROLL!AK$2,ADJ!$2:$2,0)),0)</f>
        <v/>
      </c>
      <c r="AL33">
        <f>SUM(AJ33:AK33)</f>
        <v/>
      </c>
      <c r="AM33">
        <f>IF(AH33&gt;13,V33,ROUND(V33/AD33*AH33,0))</f>
        <v/>
      </c>
      <c r="AN33">
        <f>IF(AD33=0,0,ROUND(W33/AD33*AI33,0))</f>
        <v/>
      </c>
      <c r="AO33">
        <f>ROUND(X33*AH33,0)</f>
        <v/>
      </c>
      <c r="AP33">
        <f>IF(AD33=0,0,ROUND(Y33/AD33*AH33,0))</f>
        <v/>
      </c>
      <c r="AQ33">
        <f>IFERROR(IF((AE33+AF33+AG33)&gt;13,Z33,ROUND(Z33/AD33*AH33,0)),0)</f>
        <v/>
      </c>
      <c r="AR33">
        <f>IF(AD33=0,0,ROUND(AA62/AD33*AH33,0))</f>
        <v/>
      </c>
      <c r="AS33">
        <f>IFERROR(IF((AE33+AF33+AG33)&gt;13,AB33,ROUND(AB33/AD33*AH33,0)),0)</f>
        <v/>
      </c>
      <c r="AT33">
        <f>IFERROR(INDEX(ADJ!$A$1:$BZ$1000,MATCH(PAYROLL!D33,ADJ!A$1:A$500,0),MATCH(PAYROLL!AT$2,ADJ!$2:$2,0)),0)</f>
        <v/>
      </c>
      <c r="AU33">
        <f>ROUND(SUM(AM33:AT33),0)</f>
        <v/>
      </c>
      <c r="AV33">
        <f>IFERROR(INDEX(TIMESHEET!$A$1:$AI$5000,MATCH(PAYROLL!D33,TIMESHEET!A$1:A$500,0),MATCH("T620",TIMESHEET!$2:$2,0)),0)</f>
        <v/>
      </c>
      <c r="AW33">
        <f>IFERROR(INDEX(TIMESHEET!$A$1:$AI$5000,MATCH(PAYROLL!D33,TIMESHEET!A$1:A$500,0),MATCH("T601",TIMESHEET!$2:$2,0)),0)</f>
        <v/>
      </c>
      <c r="AX33">
        <f>IFERROR(INDEX(TIMESHEET!$A$1:$AI$5000,MATCH(PAYROLL!D33,TIMESHEET!A$1:A$500,0),MATCH("T602",TIMESHEET!$2:$2,0)),0)</f>
        <v/>
      </c>
      <c r="AY33">
        <f>IFERROR(INDEX(TIMESHEET!$A$1:$AI$5000,MATCH(PAYROLL!D33,TIMESHEET!A$1:A$500,0),MATCH("T603",TIMESHEET!$2:$2,0)),0)</f>
        <v/>
      </c>
      <c r="AZ33">
        <f>IFERROR(INDEX(TIMESHEET!$A$1:$AI$5000,MATCH(PAYROLL!D33,TIMESHEET!A$1:A$500,0),MATCH("T611",TIMESHEET!$2:$2,0)),0)</f>
        <v/>
      </c>
      <c r="BA33">
        <f>IFERROR(INDEX(TIMESHEET!$A$1:$AI$5000,MATCH(PAYROLL!D33,TIMESHEET!A$1:A$500,0),MATCH("T612",TIMESHEET!$2:$2,0)),0)</f>
        <v/>
      </c>
      <c r="BB33">
        <f>IFERROR(INDEX(TIMESHEET!$A$1:$AI$5000,MATCH(PAYROLL!D33,TIMESHEET!A$1:A$500,0),MATCH("T613",TIMESHEET!$2:$2,0)),0)</f>
        <v/>
      </c>
      <c r="BC33">
        <f>IFERROR(INDEX(TIMESHEET!$A$1:$AI$5000,MATCH(PAYROLL!D33,TIMESHEET!A$1:A$500,0),MATCH("T500",TIMESHEET!$2:$2,0)),0)</f>
        <v/>
      </c>
      <c r="BD33">
        <f>IFERROR((T33+V33)/AD33/8*(AV33+AW33*1.5+AX33*2+AY33*3+AZ33*2.1+BA33*2.7+BB33*3.9+BC33*0.3),0)</f>
        <v/>
      </c>
      <c r="BE33">
        <f>IFERROR(INDEX(ADJ!$A$1:$BZ$1000,MATCH(PAYROLL!$D33,ADJ!A$1:A$500,0),MATCH(PAYROLL!BE$2,ADJ!$2:$2,0)),0)</f>
        <v/>
      </c>
      <c r="BF33">
        <f>IFERROR(INDEX(ADJ!$A$1:$BZ$1000,MATCH(PAYROLL!D33,ADJ!A$1:A$500,0),MATCH(PAYROLL!BF$2,ADJ!$2:$2,0)),0)</f>
        <v/>
      </c>
      <c r="BG33">
        <f>IFERROR(INDEX(ADJ!$A$1:$BZ$1000,MATCH(PAYROLL!D33,ADJ!A$1:A$500,0),MATCH(PAYROLL!BG$2,ADJ!$2:$2,0)),0)</f>
        <v/>
      </c>
      <c r="BH33">
        <f>IFERROR(INDEX(ADJ!$A$1:$BZ$1000,MATCH(PAYROLL!D33,ADJ!A$1:A$500,0),MATCH(PAYROLL!BH$2,ADJ!$2:$2,0)),0)</f>
        <v/>
      </c>
      <c r="BI33">
        <f>IFERROR(INDEX(ADJ!$A$1:$BZ$1000,MATCH(PAYROLL!D33,ADJ!A$1:A$500,0),MATCH(PAYROLL!BI$2,ADJ!$2:$2,0)),0)</f>
        <v/>
      </c>
      <c r="BJ33">
        <f>SUM(BE33:BI33)</f>
        <v/>
      </c>
      <c r="BK33">
        <f>IFERROR(IF(INDEX(PIS!N$1:N$500,MATCH(D33,PIS!C$1:C$500))="LC12",(T33*21.5%)/AD33*AH33,0),0)</f>
        <v/>
      </c>
      <c r="BL33">
        <f>IFERROR(INDEX(ADJ!$A$1:$BZ$1000,MATCH(PAYROLL!D33,ADJ!A$1:A$500,0),MATCH(PAYROLL!BL$2,ADJ!$2:$2,0)),0)</f>
        <v/>
      </c>
      <c r="BM33">
        <f>IFERROR(INDEX(ADJ!$A$1:$BZ$1000,MATCH(PAYROLL!D33,ADJ!A$1:A$500,0),MATCH(PAYROLL!BM$2,ADJ!$2:$2,0)),0)</f>
        <v/>
      </c>
      <c r="BN33">
        <f>IFERROR(INDEX(ADJ!$A$1:$BZ$1000,MATCH(PAYROLL!D33,ADJ!A$1:A$500,0),MATCH(PAYROLL!BN$2,ADJ!$2:$2,0)),0)</f>
        <v/>
      </c>
      <c r="BO33">
        <f>SUM(AL33,AU33,BD33,BJ33,BK33:BN33)</f>
        <v/>
      </c>
      <c r="BP33">
        <f>BN33+AP33</f>
        <v/>
      </c>
      <c r="BQ33">
        <f>IFERROR(ROUND(IF(LEFT(INDEX(PIS!O$1:O$500,MATCH(D33,PIS!C$1:C$500)),1)="D",T33/8*(BC33*0.3),IF(LEFT(INDEX(PIS!O$1:O$500,MATCH(D33,PIS!C$1:C$500)),1)="H",T33*($BC33*0.3),T33/$AD33/8*($BC33*0.3))),0),0)</f>
        <v/>
      </c>
      <c r="BR33">
        <f>IF(AO33&lt;1,0,MIN(AO33,730000))</f>
        <v/>
      </c>
      <c r="BS33">
        <f>IFERROR(ROUND((BD33-SUM(AV33:BB33)*T33/AD33/8),0)-BQ33,0)</f>
        <v/>
      </c>
      <c r="BT33">
        <f>AN33</f>
        <v/>
      </c>
      <c r="BU33">
        <f>SUM(BP33:BT33)</f>
        <v/>
      </c>
      <c r="BV33">
        <f>BO33-BU33</f>
        <v/>
      </c>
      <c r="BW33">
        <f>IFERROR(IF(RIGHT(INDEX(PIS!O$1:O$500,MATCH(D33,PIS!C$1:C$500)),5)="Gross",MIN(U33+V33,VLOOKUP("R700",TSC!B:C,2,0)*VLOOKUP("R101",TSC!B:C,2,0))*VLOOKUP("R701",TSC!B:C,2,0)%,0),0)</f>
        <v/>
      </c>
      <c r="BX33">
        <f>IFERROR(IF(RIGHT(INDEX(PIS!O$1:O$500,MATCH(D33,PIS!C$1:C$500)),5)="Gross",MIN(U33+V33,VLOOKUP("R700",TSC!B:C,2,0)*VLOOKUP("R101",TSC!B:C,2,0))*VLOOKUP("T704",TSC!B:C,2,0)%,0),0)</f>
        <v/>
      </c>
      <c r="BY33">
        <f>IFERROR(IF(RIGHT(INDEX(PIS!O$1:O$500,MATCH(D33,PIS!C$1:C$500)),5)="Gross",MIN(U33+V33,VLOOKUP("R700",TSC!B:C,2,0)*VLOOKUP("1",TSC!F:G,2,0))*VLOOKUP("T705",TSC!B:C,2,0)%,0),0)</f>
        <v/>
      </c>
      <c r="BZ33">
        <f>IFERROR(INDEX(ADJ!$A$1:$BZ$1000,MATCH(PAYROLL!D33,ADJ!A$1:A$500,0),MATCH(PAYROLL!BZ$2,ADJ!$2:$2,0)),0)</f>
        <v/>
      </c>
      <c r="CA33">
        <f>IFERROR(INDEX(ADJ!$A$1:$BZ$1000,MATCH(PAYROLL!D33,ADJ!A$1:A$500,0),MATCH(PAYROLL!CA$2,ADJ!$2:$2,0)),0)</f>
        <v/>
      </c>
      <c r="CB33">
        <f>SUM(BW33:CA33)</f>
        <v/>
      </c>
      <c r="CC33">
        <f>IFERROR(INDEX(PIS!$A$1:$BZ$1000,MATCH(PAYROLL!D33,PIS!C$1:C$500,0),MATCH(PAYROLL!CC$1,PIS!$1:$1,0)),0)</f>
        <v/>
      </c>
      <c r="CD33">
        <f>IFERROR(IF(OR(INDEX(PIS!P$1:P$500,MATCH(D33,PIS!C$1:C$500,0))="LT2",INDEX(PIS!P$1:P$500,MATCH(D33,PIS!C$1:C$500,0))="P10"),0,SUM(CB33,CC33*VLOOKUP("R601",TSC!B:C,2,0),VLOOKUP("R602",TSC!B:C,2,0))),0)</f>
        <v/>
      </c>
      <c r="CE33">
        <f>MAX(BV33-CD33,0)</f>
        <v/>
      </c>
      <c r="CF33">
        <f>IFERROR(IF(OR(RIGHT(INDEX(PIS!P$1:P$500,MATCH(D33,PIS!C$1:C$500)),5)="P10",RIGHT(INDEX(PIS!P$1:P$500,MATCH(D33,PIS!C$1:C$500)),5)="CK"),0,IF(CE33&lt;=5000000,CE33*5%,IF(CE33&lt;=10000000,CE33*10%-250000,IF(CE33&lt;=18000000,CE33*15%-750000,IF(CE33&lt;=32000000,CE33*20%-1650000,IF(CE33&lt;=52000000,CE33*25%-3250000,IF(CE33&lt;=80000000,BG33*30%-5850000,CE33*35%-9850000))))))),0)</f>
        <v/>
      </c>
      <c r="CG33">
        <f>IFERROR(IF(OR(INDEX(PIS!P$1:P$500,MATCH(D33,PIS!C$1:C$500))="LT",INDEX(PIS!P$1:P$500,MATCH(D33,PIS!C$1:C$500))="CK"),0,IF(CE33&lt;2000000,0,CE33*10%)),0)</f>
        <v/>
      </c>
      <c r="CH33">
        <f>IFERROR(INDEX(ADJ!$A$1:$BZ$1000,MATCH(PAYROLL!D33,ADJ!A$1:A$500,0),MATCH(PAYROLL!CH$2,ADJ!$2:$2,0)),0)</f>
        <v/>
      </c>
      <c r="CI33">
        <f>IFERROR(INDEX(ADJ!$A$1:$BZ$1000,MATCH(PAYROLL!D33,ADJ!A$1:A$500,0),MATCH(PAYROLL!CI$2,ADJ!$2:$2,0)),0)</f>
        <v/>
      </c>
      <c r="CJ33">
        <f>IFERROR(INDEX(ADJ!$A$1:$BZ$1000,MATCH(PAYROLL!D33,ADJ!A$1:A$500,0),MATCH(PAYROLL!CJ$2,ADJ!$2:$2,0)),0)</f>
        <v/>
      </c>
      <c r="CK33">
        <f>SUM(CF33:CJ33)</f>
        <v/>
      </c>
      <c r="CL33">
        <f>ROUND(SUM(CG33:CJ33),0)</f>
        <v/>
      </c>
      <c r="CM33">
        <f>IFERROR(INDEX(CSDA!D$1:D$500,MATCH($CM$2,CSDA!C$1:C$500,0))*INDEX(PIS!V$1:V$500,MATCH(D33,PIS!C$1:C$500))+INDEX(ADJ!$A$1:$BZ$1000,MATCH(PAYROLL!D33,ADJ!A$1:A$500,0),MATCH(PAYROLL!CM$2,ADJ!$2:$2,0)),0)</f>
        <v/>
      </c>
      <c r="CN33">
        <f>IFERROR(INDEX(ADJ!$A$1:$BZ$1000,MATCH(PAYROLL!D33,ADJ!A$1:A$500,0),MATCH(PAYROLL!CN$2,ADJ!$2:$2,0)),0)</f>
        <v/>
      </c>
      <c r="CO33">
        <f>IFERROR(INDEX(ADJ!$A$1:$BZ$1000,MATCH(PAYROLL!D33,ADJ!A$1:A$500,0),MATCH(PAYROLL!CO$2,ADJ!$2:$2,0)),0)</f>
        <v/>
      </c>
      <c r="CP33">
        <f>BO33-CK33-CH33-CL33-CM33-CN33-CO33-CB33</f>
        <v/>
      </c>
      <c r="CQ33">
        <f>IFERROR(IF(RIGHT(INDEX(PIS!O$1:O$500,MATCH(D33,PIS!C$1:C$500,0)),5)="Gross",MIN(U33+V33,VLOOKUP("R700",TSC!B:C,2,0)*VLOOKUP("R101",TSC!B:C,2,0))*(VLOOKUP("T711",TSC!B:C,2,0)+VLOOKUP("T712",TSC!B:C,2,0))%,MIN(T33+V33,VLOOKUP("R700",TSC!B:C,2,0)*VLOOKUP("R101",TSC!B:C,2,0))*(VLOOKUP("T711",TSC!B:C,2,0)+VLOOKUP("T712",TSC!B:C,2,0)+VLOOKUP("R701",TSC!B:C,2,0))%),0)</f>
        <v/>
      </c>
      <c r="CR33">
        <f>IFERROR(IF(RIGHT(INDEX(PIS!O$1:O$500,MATCH(D33,PIS!C$1:C$500,0)),5)="Gross",MIN(U33+V33,VLOOKUP("R700",TSC!B:C,2,0)*VLOOKUP("R101",TSC!B:C,2,0))*(VLOOKUP("T714",TSC!B:C,2,0))%,MIN(T33+V33,VLOOKUP("R700",TSC!B:C,2,0)*VLOOKUP("R101",TSC!B:C,2,0))*(VLOOKUP("T704",TSC!B:C,2,0)+VLOOKUP("T714",TSC!B:C,2,0))%),0)</f>
        <v/>
      </c>
      <c r="CS33">
        <f>IFERROR(IF(RIGHT(INDEX(PIS!O$1:O$500,MATCH(D33,PIS!C$1:C$500,0)),5)="Gross",MIN(U33+V33,VLOOKUP("R700",TSC!B:C,2,0)*VLOOKUP("R101",TSC!B:C,2,0))*VLOOKUP("T705",TSC!B:C,2,0)%,MIN(T33+V33,VLOOKUP("R700",TSC!B:C,2,0)*VLOOKUP("R101",TSC!B:C,2,0))*VLOOKUP("T705",TSC!B:C,2,0)%),0)</f>
        <v/>
      </c>
      <c r="CT33">
        <f>IFERROR(IF(RIGHT(INDEX(PIS!O$1:O$500,MATCH(D33,PIS!C$1:C$500,0)),5)="Gross",MIN(U33+V33,VLOOKUP("R700",TSC!B:C,2,0)*VLOOKUP("R101",TSC!B:C,2,0))*(VLOOKUP("T713",TSC!B:C,2,0))%,MIN(T33+V33,VLOOKUP("R700",TSC!B:C,2,0)*VLOOKUP("R101",TSC!B:C,2,0))*(VLOOKUP("T713",TSC!B:C,2,0))%),0)</f>
        <v/>
      </c>
      <c r="CU33">
        <f>IFERROR(INDEX(ADJ!$A$1:$BZ$1000,MATCH(PAYROLL!D33,ADJ!A$1:A$500,0),MATCH(PAYROLL!CU$2,ADJ!$2:$2,0)),0)</f>
        <v/>
      </c>
      <c r="CV33">
        <f>IFERROR(INDEX(ADJ!$A$1:$BZ$1000,MATCH(PAYROLL!D33,ADJ!A$1:A$500,0),MATCH(PAYROLL!CV$2,ADJ!$2:$2,0)),0)</f>
        <v/>
      </c>
      <c r="CW33">
        <f>SUM(CQ33:CV33)</f>
        <v/>
      </c>
      <c r="CX33">
        <f>ROUND(IF(CQ33&gt;0,T33+V33*VLOOKUP("R202",TSC!$B$1:$C$500,2,0),0),0)</f>
        <v/>
      </c>
      <c r="CY33">
        <f>IFERROR(INDEX(CSDA!D$1:D$500,MATCH($CY$2,CSDA!C$1:C$500,0)),0)</f>
        <v/>
      </c>
      <c r="CZ33">
        <f>ROUND(T33*0.7%,0)</f>
        <v/>
      </c>
      <c r="DA33">
        <f>ROUND(T33/12,0)</f>
        <v/>
      </c>
      <c r="DB33">
        <f ref="DB33" t="array">IFERROR(INDEX(CSDA!D$1:D$500,MATCH("Trích giữ"&amp;PAYROLL!DB$2,CSDA!A$1:A$500&amp;CSDA!C$1:C$500,0)),0)</f>
        <v/>
      </c>
      <c r="DC33">
        <f ref="DC33" t="array">IFERROR(INDEX(CSDA!D$1:D$500,MATCH("Trích giữ"&amp;PAYROLL!DC$2,CSDA!A$1:A$500&amp;CSDA!C$1:C$500,0)),0)</f>
        <v/>
      </c>
      <c r="DD33">
        <f ref="DD33" t="array">IFERROR(INDEX(CSDA!D$1:D$500,MATCH("Trích giữ"&amp;PAYROLL!DD$2,CSDA!A$1:A$500&amp;CSDA!C$1:C$500,0)),0)</f>
        <v/>
      </c>
      <c r="DE33">
        <f>IFERROR(INDEX(CSDA!D$1:D$500,MATCH(PAYROLL!DE$2,CSDA!C$1:C$500,0)),0)</f>
        <v/>
      </c>
      <c r="DF33">
        <f ref="DF33" t="array">IFERROR(INDEX(CSDA!D$1:D$500,MATCH("Trích giữ"&amp;PAYROLL!DF$2,CSDA!A$1:A$500&amp;CSDA!C$1:C$500,0)),0)</f>
        <v/>
      </c>
      <c r="DG33">
        <f>ROUND(T33/26,0)</f>
        <v/>
      </c>
      <c r="DH33">
        <f ref="DH33" t="array">IFERROR(INDEX(CSDA!D$1:D$500,MATCH("Trích giữ"&amp;PAYROLL!DH$2,CSDA!A$1:A$500&amp;CSDA!C$1:C$500,0)),0)</f>
        <v/>
      </c>
      <c r="DI33">
        <f>IF(U33=0,T33*21.5%-BK33,0)</f>
        <v/>
      </c>
      <c r="DK33">
        <f ref="DK33" t="array">IFERROR(INDEX(CSDA!D$1:D$500,MATCH("Trích giữ"&amp;PAYROLL!DK$2,CSDA!A$1:A$500&amp;CSDA!C$1:C$500,0)),0)</f>
        <v/>
      </c>
      <c r="DL33">
        <f>IFERROR(INDEX(CSDA!D$1:D$500,MATCH(PAYROLL!DL$2,CSDA!C$1:C$500,0))/12,0)</f>
        <v/>
      </c>
      <c r="DM33">
        <f>SUM(DA33:DL33)</f>
        <v/>
      </c>
      <c r="DN33">
        <f>IFERROR(INDEX(ADJ!$A$1:$BZ$1000,MATCH(PAYROLL!D33,ADJ!A$1:A$500,0),MATCH(PAYROLL!DN$2,ADJ!$2:$2,0)),0)</f>
        <v/>
      </c>
      <c r="DO33">
        <f>IFERROR(SUM(BO33,DM33:DN33,CW33:CZ33)-DT33,0)</f>
        <v/>
      </c>
      <c r="DP33">
        <f ref="DP33" t="array">SUM(BV33*IFERROR(INDEX(CSDA!D$1:D$500,MATCH(BV$2,CSDA!C$1:C$500,0)),0)%,CW33*IFERROR(INDEX(CSDA!D$1:D$500,MATCH(CW$2,CSDA!C$1:C$500,0)),0)%,CZ33*IFERROR(INDEX(CSDA!D$1:D$500,MATCH(CZ$2,CSDA!C$1:C$500,0)),0)%,DA33*IFERROR(INDEX(CSDA!D$1:D$500,MATCH(DA$2,CSDA!C$1:C$500,0)),0)%,DE33*IFERROR(INDEX(CSDA!D$1:D$500,MATCH("Phí dịch vụ"&amp;PAYROLL!DE$2,CSDA!A$1:A$500&amp;CSDA!C$1:C$500,0)),0)%,DB33*IFERROR(INDEX(CSDA!D$1:D$500,MATCH("Phí dịch vụ"&amp;PAYROLL!DB$2,CSDA!A$1:A$500&amp;CSDA!C$1:C$500,0)),0)%,DG33*IFERROR(INDEX(CSDA!D$1:D$500,MATCH("Phí dịch vụ"&amp;PAYROLL!DG$2,CSDA!A$1:A$500&amp;CSDA!C$1:C$500,0)),0)%,DI33*IFERROR(INDEX(CSDA!D$1:D$500,MATCH("Phí dịch vụ"&amp;PAYROLL!DI$2,CSDA!A$1:A$500&amp;CSDA!C$1:C$500,0)),0)%,BM33*IFERROR(INDEX(CSDA!D$1:D$500,MATCH(BM$2,CSDA!C$1:C$500,0)),0)%)-BM33*7%</f>
        <v/>
      </c>
      <c r="DQ33">
        <f>IFERROR(INDEX(ADJ!$A$1:$BZ$1000,MATCH(PAYROLL!D33,ADJ!A$1:A$500,0),MATCH(PAYROLL!DQ$2,ADJ!$2:$2,0)),0)</f>
        <v/>
      </c>
      <c r="DR33">
        <f>IFERROR(INDEX(ADJ!$A$1:$BZ$1000,MATCH(PAYROLL!D33,ADJ!A$1:A$500,0),MATCH(PAYROLL!DR$2,ADJ!$2:$2,0)),0)</f>
        <v/>
      </c>
      <c r="DS33">
        <f>SUM(DP33:DR33)</f>
        <v/>
      </c>
      <c r="DT33">
        <f>EK33</f>
        <v/>
      </c>
      <c r="DU33">
        <f>SUM(DO33:DR33)</f>
        <v/>
      </c>
      <c r="DV33">
        <f>ROUND(DU33*0.1,0)</f>
        <v/>
      </c>
      <c r="DW33">
        <f>DU33+DV33</f>
        <v/>
      </c>
      <c r="DZ33">
        <f>IFERROR(INDEX(ADJ!$A$1:$BZ$1000,MATCH(PAYROLL!$D33,ADJ!A$1:A$500,0),MATCH(PAYROLL!DZ$2,ADJ!$2:$2,0)),0)</f>
        <v/>
      </c>
      <c r="EA33">
        <f>IFERROR(INDEX(ADJ!$A$1:$BZ$1000,MATCH(PAYROLL!$D33,ADJ!A$1:A$500,0),MATCH(PAYROLL!EA$2,ADJ!$2:$2,0)),0)</f>
        <v/>
      </c>
      <c r="EB33">
        <f>IFERROR(INDEX(ADJ!$A$1:$BZ$1000,MATCH(PAYROLL!$D33,ADJ!A$1:A$500,0),MATCH(PAYROLL!EB$2,ADJ!$2:$2,0)),0)</f>
        <v/>
      </c>
      <c r="EC33">
        <f>IFERROR(INDEX(ADJ!$A$1:$BZ$1000,MATCH(PAYROLL!$D33,ADJ!A$1:A$500,0),MATCH(PAYROLL!EC$2,ADJ!$2:$2,0)),0)</f>
        <v/>
      </c>
      <c r="ED33">
        <f>IFERROR(INDEX(ADJ!$A$1:$BZ$1000,MATCH(PAYROLL!$D33,ADJ!A$1:A$500,0),MATCH(PAYROLL!ED$2,ADJ!$2:$2,0)),0)</f>
        <v/>
      </c>
      <c r="EE33">
        <f>IFERROR(INDEX(ADJ!$A$1:$BZ$1000,MATCH(PAYROLL!$D33,ADJ!A$1:A$500,0),MATCH(PAYROLL!EE$2,ADJ!$2:$2,0)),0)</f>
        <v/>
      </c>
      <c r="EF33">
        <f>IFERROR(INDEX(ADJ!$A$1:$BZ$1000,MATCH(PAYROLL!$D33,ADJ!A$1:A$500,0),MATCH(PAYROLL!EF$2,ADJ!$2:$2,0)),0)</f>
        <v/>
      </c>
      <c r="EG33">
        <f>IFERROR(INDEX(ADJ!$A$1:$BZ$1000,MATCH(PAYROLL!$D33,ADJ!A$1:A$500,0),MATCH(PAYROLL!EG$2,ADJ!$2:$2,0)),0)</f>
        <v/>
      </c>
      <c r="EH33">
        <f>IFERROR(INDEX(ADJ!$A$1:$BZ$1000,MATCH(PAYROLL!$D33,ADJ!A$1:A$500,0),MATCH(PAYROLL!EH$2,ADJ!$2:$2,0)),0)</f>
        <v/>
      </c>
      <c r="EI33">
        <f>IFERROR(INDEX(ADJ!$A$1:$BZ$1000,MATCH(PAYROLL!D33,ADJ!A$1:A$500,0),MATCH(PAYROLL!EI$2,ADJ!$2:$2,0)),0)</f>
        <v/>
      </c>
      <c r="EJ33">
        <f>IFERROR(INDEX(ADJ!$A$1:$BZ$1000,MATCH(PAYROLL!$D33,ADJ!A$1:A$500,0),MATCH(PAYROLL!EJ$2,ADJ!$2:$2,0)),0)</f>
        <v/>
      </c>
      <c r="EK33">
        <f>SUM(DZ33:EJ33)</f>
        <v/>
      </c>
    </row>
    <row r="34">
      <c r="A34" t="n">
        <v>32</v>
      </c>
      <c r="B34" t="inlineStr">
        <is>
          <t>Nguyễn Huy An</t>
        </is>
      </c>
      <c r="D34" t="inlineStr">
        <is>
          <t>159078-01</t>
        </is>
      </c>
      <c r="S34">
        <f>IFERROR(INDEX(PIS!$A$1:$BZ$1000,MATCH($D34,PIS!C$1:C$500,0),MATCH("Lương CB tháng trước",PIS!$1:$1,0)),0)</f>
        <v/>
      </c>
      <c r="T34">
        <f>IFERROR(INDEX(PIS!$A$1:$BZ$1000,MATCH($D34,PIS!C$1:C$500,0),MATCH("Lương CB hiện tại",PIS!$1:$1,0)),0)</f>
        <v/>
      </c>
      <c r="U34">
        <f>IFERROR(INDEX(PIS!$A$1:$BZ$1000,MATCH($D34,PIS!C$1:C$500,0),MATCH("Lương đóng BHBB",PIS!$1:$1,0)),0)</f>
        <v/>
      </c>
      <c r="V34">
        <f>IFERROR(INDEX(PIS!$A$1:$BZ$1000,MATCH($D34,PIS!C$1:C$500,0),MATCH(V$2,PIS!$2:$2,0)),0)</f>
        <v/>
      </c>
      <c r="W34">
        <f>IFERROR(INDEX(PIS!$A$1:$BZ$1000,MATCH($D34,PIS!C$1:C$500,0),MATCH(W$2,PIS!$2:$2,0)),0)</f>
        <v/>
      </c>
      <c r="X34">
        <f>IFERROR(INDEX(PIS!$A$1:$BZ$1000,MATCH($D34,PIS!C$1:C$500,0),MATCH(X$2,PIS!$2:$2,0)),0)</f>
        <v/>
      </c>
      <c r="Y34">
        <f>IFERROR(INDEX(PIS!$A$1:$BZ$1000,MATCH($D34,PIS!C$1:C$500,0),MATCH(Y$2,PIS!$2:$2,0)),0)</f>
        <v/>
      </c>
      <c r="Z34">
        <f>IFERROR(INDEX(PIS!$A$1:$BZ$1000,MATCH($D34,PIS!C$1:C$500,0),MATCH(Z$2,PIS!$2:$2,0)),0)</f>
        <v/>
      </c>
      <c r="AA34">
        <f>IFERROR(INDEX(PIS!$A$1:$BZ$1000,MATCH($D34,PIS!C$1:C$500,0),MATCH(AA$2,PIS!$2:$2,0)),0)</f>
        <v/>
      </c>
      <c r="AB34">
        <f>IFERROR(INDEX(PIS!$A$1:$BZ$1000,MATCH($D34,PIS!C$1:C$500,0),MATCH(AB$2,PIS!$2:$2,0)),0)</f>
        <v/>
      </c>
      <c r="AC34">
        <f>SUM(V34:AB34)</f>
        <v/>
      </c>
      <c r="AD34">
        <f>IFERROR(INDEX(TIMESHEET!$A$1:$AI$5000,MATCH($D34,TIMESHEET!A$1:A$500,0),MATCH("T100",TIMESHEET!$2:$2,0)),0)</f>
        <v/>
      </c>
      <c r="AE34">
        <f>IFERROR(INDEX(TIMESHEET!$A$1:$AI$5000,MATCH($D34,TIMESHEET!A$1:A$500,0),MATCH("T202",TIMESHEET!$2:$2,0)),0)</f>
        <v/>
      </c>
      <c r="AF34">
        <f>IFERROR(INDEX(TIMESHEET!$A$1:$AI$5000,MATCH($D34,TIMESHEET!A$1:A$500,0),MATCH("T302",TIMESHEET!$2:$2,0)),0)</f>
        <v/>
      </c>
      <c r="AG34">
        <f>IFERROR(INDEX(TIMESHEET!$A$1:$AI$5000,MATCH($D34,TIMESHEET!A$1:A$500,0),MATCH("T406",TIMESHEET!$2:$2,0)),0)</f>
        <v/>
      </c>
      <c r="AH34">
        <f>IF(SUM(AE34:AG34)&gt;=26,26,SUM(AE34:AG34))</f>
        <v/>
      </c>
      <c r="AI34">
        <f>IFERROR(INDEX(TIMESHEET!$A$1:$AI$5000,MATCH($D34,TIMESHEET!A$1:A$500,0),MATCH("T701",TIMESHEET!$2:$2,0)),0)</f>
        <v/>
      </c>
      <c r="AJ34">
        <f>IFERROR(IF(INDEX(PIS!N$1:N$500,MATCH(D34,PIS!C$1:C$500,0))="LC4",(T34*0.85)/AD34*AH34,ROUND(T34/AD34*AH34,0)),0)</f>
        <v/>
      </c>
      <c r="AK34">
        <f>IFERROR(INDEX(ADJ!$A$1:$BZ$1000,MATCH(PAYROLL!D34,ADJ!A$1:A$500,0),MATCH(PAYROLL!AK$2,ADJ!$2:$2,0)),0)</f>
        <v/>
      </c>
      <c r="AL34">
        <f>SUM(AJ34:AK34)</f>
        <v/>
      </c>
      <c r="AM34">
        <f>IF(AH34&gt;13,V34,ROUND(V34/AD34*AH34,0))</f>
        <v/>
      </c>
      <c r="AN34">
        <f>IF(AD34=0,0,ROUND(W34/AD34*AI34,0))</f>
        <v/>
      </c>
      <c r="AO34">
        <f>ROUND(X34*AH34,0)</f>
        <v/>
      </c>
      <c r="AP34">
        <f>IF(AD34=0,0,ROUND(Y34/AD34*AH34,0))</f>
        <v/>
      </c>
      <c r="AQ34">
        <f>IFERROR(IF((AE34+AF34+AG34)&gt;13,Z34,ROUND(Z34/AD34*AH34,0)),0)</f>
        <v/>
      </c>
      <c r="AR34">
        <f>IF(AD34=0,0,ROUND(AA63/AD34*AH34,0))</f>
        <v/>
      </c>
      <c r="AS34">
        <f>IFERROR(IF((AE34+AF34+AG34)&gt;13,AB34,ROUND(AB34/AD34*AH34,0)),0)</f>
        <v/>
      </c>
      <c r="AT34">
        <f>IFERROR(INDEX(ADJ!$A$1:$BZ$1000,MATCH(PAYROLL!D34,ADJ!A$1:A$500,0),MATCH(PAYROLL!AT$2,ADJ!$2:$2,0)),0)</f>
        <v/>
      </c>
      <c r="AU34">
        <f>ROUND(SUM(AM34:AT34),0)</f>
        <v/>
      </c>
      <c r="AV34">
        <f>IFERROR(INDEX(TIMESHEET!$A$1:$AI$5000,MATCH(PAYROLL!D34,TIMESHEET!A$1:A$500,0),MATCH("T620",TIMESHEET!$2:$2,0)),0)</f>
        <v/>
      </c>
      <c r="AW34">
        <f>IFERROR(INDEX(TIMESHEET!$A$1:$AI$5000,MATCH(PAYROLL!D34,TIMESHEET!A$1:A$500,0),MATCH("T601",TIMESHEET!$2:$2,0)),0)</f>
        <v/>
      </c>
      <c r="AX34">
        <f>IFERROR(INDEX(TIMESHEET!$A$1:$AI$5000,MATCH(PAYROLL!D34,TIMESHEET!A$1:A$500,0),MATCH("T602",TIMESHEET!$2:$2,0)),0)</f>
        <v/>
      </c>
      <c r="AY34">
        <f>IFERROR(INDEX(TIMESHEET!$A$1:$AI$5000,MATCH(PAYROLL!D34,TIMESHEET!A$1:A$500,0),MATCH("T603",TIMESHEET!$2:$2,0)),0)</f>
        <v/>
      </c>
      <c r="AZ34">
        <f>IFERROR(INDEX(TIMESHEET!$A$1:$AI$5000,MATCH(PAYROLL!D34,TIMESHEET!A$1:A$500,0),MATCH("T611",TIMESHEET!$2:$2,0)),0)</f>
        <v/>
      </c>
      <c r="BA34">
        <f>IFERROR(INDEX(TIMESHEET!$A$1:$AI$5000,MATCH(PAYROLL!D34,TIMESHEET!A$1:A$500,0),MATCH("T612",TIMESHEET!$2:$2,0)),0)</f>
        <v/>
      </c>
      <c r="BB34">
        <f>IFERROR(INDEX(TIMESHEET!$A$1:$AI$5000,MATCH(PAYROLL!D34,TIMESHEET!A$1:A$500,0),MATCH("T613",TIMESHEET!$2:$2,0)),0)</f>
        <v/>
      </c>
      <c r="BC34">
        <f>IFERROR(INDEX(TIMESHEET!$A$1:$AI$5000,MATCH(PAYROLL!D34,TIMESHEET!A$1:A$500,0),MATCH("T500",TIMESHEET!$2:$2,0)),0)</f>
        <v/>
      </c>
      <c r="BD34">
        <f>IFERROR((T34+V34)/AD34/8*(AV34+AW34*1.5+AX34*2+AY34*3+AZ34*2.1+BA34*2.7+BB34*3.9+BC34*0.3),0)</f>
        <v/>
      </c>
      <c r="BE34">
        <f>IFERROR(INDEX(ADJ!$A$1:$BZ$1000,MATCH(PAYROLL!$D34,ADJ!A$1:A$500,0),MATCH(PAYROLL!BE$2,ADJ!$2:$2,0)),0)</f>
        <v/>
      </c>
      <c r="BF34">
        <f>IFERROR(INDEX(ADJ!$A$1:$BZ$1000,MATCH(PAYROLL!D34,ADJ!A$1:A$500,0),MATCH(PAYROLL!BF$2,ADJ!$2:$2,0)),0)</f>
        <v/>
      </c>
      <c r="BG34">
        <f>IFERROR(INDEX(ADJ!$A$1:$BZ$1000,MATCH(PAYROLL!D34,ADJ!A$1:A$500,0),MATCH(PAYROLL!BG$2,ADJ!$2:$2,0)),0)</f>
        <v/>
      </c>
      <c r="BH34">
        <f>IFERROR(INDEX(ADJ!$A$1:$BZ$1000,MATCH(PAYROLL!D34,ADJ!A$1:A$500,0),MATCH(PAYROLL!BH$2,ADJ!$2:$2,0)),0)</f>
        <v/>
      </c>
      <c r="BI34">
        <f>IFERROR(INDEX(ADJ!$A$1:$BZ$1000,MATCH(PAYROLL!D34,ADJ!A$1:A$500,0),MATCH(PAYROLL!BI$2,ADJ!$2:$2,0)),0)</f>
        <v/>
      </c>
      <c r="BJ34">
        <f>SUM(BE34:BI34)</f>
        <v/>
      </c>
      <c r="BK34">
        <f>IFERROR(IF(INDEX(PIS!N$1:N$500,MATCH(D34,PIS!C$1:C$500))="LC12",(T34*21.5%)/AD34*AH34,0),0)</f>
        <v/>
      </c>
      <c r="BL34">
        <f>IFERROR(INDEX(ADJ!$A$1:$BZ$1000,MATCH(PAYROLL!D34,ADJ!A$1:A$500,0),MATCH(PAYROLL!BL$2,ADJ!$2:$2,0)),0)</f>
        <v/>
      </c>
      <c r="BM34">
        <f>IFERROR(INDEX(ADJ!$A$1:$BZ$1000,MATCH(PAYROLL!D34,ADJ!A$1:A$500,0),MATCH(PAYROLL!BM$2,ADJ!$2:$2,0)),0)</f>
        <v/>
      </c>
      <c r="BN34">
        <f>IFERROR(INDEX(ADJ!$A$1:$BZ$1000,MATCH(PAYROLL!D34,ADJ!A$1:A$500,0),MATCH(PAYROLL!BN$2,ADJ!$2:$2,0)),0)</f>
        <v/>
      </c>
      <c r="BO34">
        <f>SUM(AL34,AU34,BD34,BJ34,BK34:BN34)</f>
        <v/>
      </c>
      <c r="BP34">
        <f>BN34+AP34</f>
        <v/>
      </c>
      <c r="BQ34">
        <f>IFERROR(ROUND(IF(LEFT(INDEX(PIS!O$1:O$500,MATCH(D34,PIS!C$1:C$500)),1)="D",T34/8*(BC34*0.3),IF(LEFT(INDEX(PIS!O$1:O$500,MATCH(D34,PIS!C$1:C$500)),1)="H",T34*($BC34*0.3),T34/$AD34/8*($BC34*0.3))),0),0)</f>
        <v/>
      </c>
      <c r="BR34">
        <f>IF(AO34&lt;1,0,MIN(AO34,730000))</f>
        <v/>
      </c>
      <c r="BS34">
        <f>IFERROR(ROUND((BD34-SUM(AV34:BB34)*T34/AD34/8),0)-BQ34,0)</f>
        <v/>
      </c>
      <c r="BT34">
        <f>AN34</f>
        <v/>
      </c>
      <c r="BU34">
        <f>SUM(BP34:BT34)</f>
        <v/>
      </c>
      <c r="BV34">
        <f>BO34-BU34</f>
        <v/>
      </c>
      <c r="BW34">
        <f>IFERROR(IF(RIGHT(INDEX(PIS!O$1:O$500,MATCH(D34,PIS!C$1:C$500)),5)="Gross",MIN(U34+V34,VLOOKUP("R700",TSC!B:C,2,0)*VLOOKUP("R101",TSC!B:C,2,0))*VLOOKUP("R701",TSC!B:C,2,0)%,0),0)</f>
        <v/>
      </c>
      <c r="BX34">
        <f>IFERROR(IF(RIGHT(INDEX(PIS!O$1:O$500,MATCH(D34,PIS!C$1:C$500)),5)="Gross",MIN(U34+V34,VLOOKUP("R700",TSC!B:C,2,0)*VLOOKUP("R101",TSC!B:C,2,0))*VLOOKUP("T704",TSC!B:C,2,0)%,0),0)</f>
        <v/>
      </c>
      <c r="BY34">
        <f>IFERROR(IF(RIGHT(INDEX(PIS!O$1:O$500,MATCH(D34,PIS!C$1:C$500)),5)="Gross",MIN(U34+V34,VLOOKUP("R700",TSC!B:C,2,0)*VLOOKUP("1",TSC!F:G,2,0))*VLOOKUP("T705",TSC!B:C,2,0)%,0),0)</f>
        <v/>
      </c>
      <c r="BZ34">
        <f>IFERROR(INDEX(ADJ!$A$1:$BZ$1000,MATCH(PAYROLL!D34,ADJ!A$1:A$500,0),MATCH(PAYROLL!BZ$2,ADJ!$2:$2,0)),0)</f>
        <v/>
      </c>
      <c r="CA34">
        <f>IFERROR(INDEX(ADJ!$A$1:$BZ$1000,MATCH(PAYROLL!D34,ADJ!A$1:A$500,0),MATCH(PAYROLL!CA$2,ADJ!$2:$2,0)),0)</f>
        <v/>
      </c>
      <c r="CB34">
        <f>SUM(BW34:CA34)</f>
        <v/>
      </c>
      <c r="CC34">
        <f>IFERROR(INDEX(PIS!$A$1:$BZ$1000,MATCH(PAYROLL!D34,PIS!C$1:C$500,0),MATCH(PAYROLL!CC$1,PIS!$1:$1,0)),0)</f>
        <v/>
      </c>
      <c r="CD34">
        <f>IFERROR(IF(OR(INDEX(PIS!P$1:P$500,MATCH(D34,PIS!C$1:C$500,0))="LT2",INDEX(PIS!P$1:P$500,MATCH(D34,PIS!C$1:C$500,0))="P10"),0,SUM(CB34,CC34*VLOOKUP("R601",TSC!B:C,2,0),VLOOKUP("R602",TSC!B:C,2,0))),0)</f>
        <v/>
      </c>
      <c r="CE34">
        <f>MAX(BV34-CD34,0)</f>
        <v/>
      </c>
      <c r="CF34">
        <f>IFERROR(IF(OR(RIGHT(INDEX(PIS!P$1:P$500,MATCH(D34,PIS!C$1:C$500)),5)="P10",RIGHT(INDEX(PIS!P$1:P$500,MATCH(D34,PIS!C$1:C$500)),5)="CK"),0,IF(CE34&lt;=5000000,CE34*5%,IF(CE34&lt;=10000000,CE34*10%-250000,IF(CE34&lt;=18000000,CE34*15%-750000,IF(CE34&lt;=32000000,CE34*20%-1650000,IF(CE34&lt;=52000000,CE34*25%-3250000,IF(CE34&lt;=80000000,BG34*30%-5850000,CE34*35%-9850000))))))),0)</f>
        <v/>
      </c>
      <c r="CG34">
        <f>IFERROR(IF(OR(INDEX(PIS!P$1:P$500,MATCH(D34,PIS!C$1:C$500))="LT",INDEX(PIS!P$1:P$500,MATCH(D34,PIS!C$1:C$500))="CK"),0,IF(CE34&lt;2000000,0,CE34*10%)),0)</f>
        <v/>
      </c>
      <c r="CH34">
        <f>IFERROR(INDEX(ADJ!$A$1:$BZ$1000,MATCH(PAYROLL!D34,ADJ!A$1:A$500,0),MATCH(PAYROLL!CH$2,ADJ!$2:$2,0)),0)</f>
        <v/>
      </c>
      <c r="CI34">
        <f>IFERROR(INDEX(ADJ!$A$1:$BZ$1000,MATCH(PAYROLL!D34,ADJ!A$1:A$500,0),MATCH(PAYROLL!CI$2,ADJ!$2:$2,0)),0)</f>
        <v/>
      </c>
      <c r="CJ34">
        <f>IFERROR(INDEX(ADJ!$A$1:$BZ$1000,MATCH(PAYROLL!D34,ADJ!A$1:A$500,0),MATCH(PAYROLL!CJ$2,ADJ!$2:$2,0)),0)</f>
        <v/>
      </c>
      <c r="CK34">
        <f>SUM(CF34:CJ34)</f>
        <v/>
      </c>
      <c r="CL34">
        <f>ROUND(SUM(CG34:CJ34),0)</f>
        <v/>
      </c>
      <c r="CM34">
        <f>IFERROR(INDEX(CSDA!D$1:D$500,MATCH($CM$2,CSDA!C$1:C$500,0))*INDEX(PIS!V$1:V$500,MATCH(D34,PIS!C$1:C$500))+INDEX(ADJ!$A$1:$BZ$1000,MATCH(PAYROLL!D34,ADJ!A$1:A$500,0),MATCH(PAYROLL!CM$2,ADJ!$2:$2,0)),0)</f>
        <v/>
      </c>
      <c r="CN34">
        <f>IFERROR(INDEX(ADJ!$A$1:$BZ$1000,MATCH(PAYROLL!D34,ADJ!A$1:A$500,0),MATCH(PAYROLL!CN$2,ADJ!$2:$2,0)),0)</f>
        <v/>
      </c>
      <c r="CO34">
        <f>IFERROR(INDEX(ADJ!$A$1:$BZ$1000,MATCH(PAYROLL!D34,ADJ!A$1:A$500,0),MATCH(PAYROLL!CO$2,ADJ!$2:$2,0)),0)</f>
        <v/>
      </c>
      <c r="CP34">
        <f>BO34-CK34-CH34-CL34-CM34-CN34-CO34-CB34</f>
        <v/>
      </c>
      <c r="CQ34">
        <f>IFERROR(IF(RIGHT(INDEX(PIS!O$1:O$500,MATCH(D34,PIS!C$1:C$500,0)),5)="Gross",MIN(U34+V34,VLOOKUP("R700",TSC!B:C,2,0)*VLOOKUP("R101",TSC!B:C,2,0))*(VLOOKUP("T711",TSC!B:C,2,0)+VLOOKUP("T712",TSC!B:C,2,0))%,MIN(T34+V34,VLOOKUP("R700",TSC!B:C,2,0)*VLOOKUP("R101",TSC!B:C,2,0))*(VLOOKUP("T711",TSC!B:C,2,0)+VLOOKUP("T712",TSC!B:C,2,0)+VLOOKUP("R701",TSC!B:C,2,0))%),0)</f>
        <v/>
      </c>
      <c r="CR34">
        <f>IFERROR(IF(RIGHT(INDEX(PIS!O$1:O$500,MATCH(D34,PIS!C$1:C$500,0)),5)="Gross",MIN(U34+V34,VLOOKUP("R700",TSC!B:C,2,0)*VLOOKUP("R101",TSC!B:C,2,0))*(VLOOKUP("T714",TSC!B:C,2,0))%,MIN(T34+V34,VLOOKUP("R700",TSC!B:C,2,0)*VLOOKUP("R101",TSC!B:C,2,0))*(VLOOKUP("T704",TSC!B:C,2,0)+VLOOKUP("T714",TSC!B:C,2,0))%),0)</f>
        <v/>
      </c>
      <c r="CS34">
        <f>IFERROR(IF(RIGHT(INDEX(PIS!O$1:O$500,MATCH(D34,PIS!C$1:C$500,0)),5)="Gross",MIN(U34+V34,VLOOKUP("R700",TSC!B:C,2,0)*VLOOKUP("R101",TSC!B:C,2,0))*VLOOKUP("T705",TSC!B:C,2,0)%,MIN(T34+V34,VLOOKUP("R700",TSC!B:C,2,0)*VLOOKUP("R101",TSC!B:C,2,0))*VLOOKUP("T705",TSC!B:C,2,0)%),0)</f>
        <v/>
      </c>
      <c r="CT34">
        <f>IFERROR(IF(RIGHT(INDEX(PIS!O$1:O$500,MATCH(D34,PIS!C$1:C$500,0)),5)="Gross",MIN(U34+V34,VLOOKUP("R700",TSC!B:C,2,0)*VLOOKUP("R101",TSC!B:C,2,0))*(VLOOKUP("T713",TSC!B:C,2,0))%,MIN(T34+V34,VLOOKUP("R700",TSC!B:C,2,0)*VLOOKUP("R101",TSC!B:C,2,0))*(VLOOKUP("T713",TSC!B:C,2,0))%),0)</f>
        <v/>
      </c>
      <c r="CU34">
        <f>IFERROR(INDEX(ADJ!$A$1:$BZ$1000,MATCH(PAYROLL!D34,ADJ!A$1:A$500,0),MATCH(PAYROLL!CU$2,ADJ!$2:$2,0)),0)</f>
        <v/>
      </c>
      <c r="CV34">
        <f>IFERROR(INDEX(ADJ!$A$1:$BZ$1000,MATCH(PAYROLL!D34,ADJ!A$1:A$500,0),MATCH(PAYROLL!CV$2,ADJ!$2:$2,0)),0)</f>
        <v/>
      </c>
      <c r="CW34">
        <f>SUM(CQ34:CV34)</f>
        <v/>
      </c>
      <c r="CX34">
        <f>ROUND(IF(CQ34&gt;0,T34+V34*VLOOKUP("R202",TSC!$B$1:$C$500,2,0),0),0)</f>
        <v/>
      </c>
      <c r="CY34">
        <f>IFERROR(INDEX(CSDA!D$1:D$500,MATCH($CY$2,CSDA!C$1:C$500,0)),0)</f>
        <v/>
      </c>
      <c r="CZ34">
        <f>ROUND(T34*0.7%,0)</f>
        <v/>
      </c>
      <c r="DA34">
        <f>ROUND(T34/12,0)</f>
        <v/>
      </c>
      <c r="DB34">
        <f ref="DB34" t="array">IFERROR(INDEX(CSDA!D$1:D$500,MATCH("Trích giữ"&amp;PAYROLL!DB$2,CSDA!A$1:A$500&amp;CSDA!C$1:C$500,0)),0)</f>
        <v/>
      </c>
      <c r="DC34">
        <f ref="DC34" t="array">IFERROR(INDEX(CSDA!D$1:D$500,MATCH("Trích giữ"&amp;PAYROLL!DC$2,CSDA!A$1:A$500&amp;CSDA!C$1:C$500,0)),0)</f>
        <v/>
      </c>
      <c r="DD34">
        <f ref="DD34" t="array">IFERROR(INDEX(CSDA!D$1:D$500,MATCH("Trích giữ"&amp;PAYROLL!DD$2,CSDA!A$1:A$500&amp;CSDA!C$1:C$500,0)),0)</f>
        <v/>
      </c>
      <c r="DE34">
        <f>IFERROR(INDEX(CSDA!D$1:D$500,MATCH(PAYROLL!DE$2,CSDA!C$1:C$500,0)),0)</f>
        <v/>
      </c>
      <c r="DF34">
        <f ref="DF34" t="array">IFERROR(INDEX(CSDA!D$1:D$500,MATCH("Trích giữ"&amp;PAYROLL!DF$2,CSDA!A$1:A$500&amp;CSDA!C$1:C$500,0)),0)</f>
        <v/>
      </c>
      <c r="DG34">
        <f>ROUND(T34/26,0)</f>
        <v/>
      </c>
      <c r="DH34">
        <f ref="DH34" t="array">IFERROR(INDEX(CSDA!D$1:D$500,MATCH("Trích giữ"&amp;PAYROLL!DH$2,CSDA!A$1:A$500&amp;CSDA!C$1:C$500,0)),0)</f>
        <v/>
      </c>
      <c r="DI34">
        <f>IF(U34=0,T34*21.5%-BK34,0)</f>
        <v/>
      </c>
      <c r="DK34">
        <f ref="DK34" t="array">IFERROR(INDEX(CSDA!D$1:D$500,MATCH("Trích giữ"&amp;PAYROLL!DK$2,CSDA!A$1:A$500&amp;CSDA!C$1:C$500,0)),0)</f>
        <v/>
      </c>
      <c r="DL34">
        <f>IFERROR(INDEX(CSDA!D$1:D$500,MATCH(PAYROLL!DL$2,CSDA!C$1:C$500,0))/12,0)</f>
        <v/>
      </c>
      <c r="DM34">
        <f>SUM(DA34:DL34)</f>
        <v/>
      </c>
      <c r="DN34">
        <f>IFERROR(INDEX(ADJ!$A$1:$BZ$1000,MATCH(PAYROLL!D34,ADJ!A$1:A$500,0),MATCH(PAYROLL!DN$2,ADJ!$2:$2,0)),0)</f>
        <v/>
      </c>
      <c r="DO34">
        <f>IFERROR(SUM(BO34,DM34:DN34,CW34:CZ34)-DT34,0)</f>
        <v/>
      </c>
      <c r="DP34">
        <f ref="DP34" t="array">SUM(BV34*IFERROR(INDEX(CSDA!D$1:D$500,MATCH(BV$2,CSDA!C$1:C$500,0)),0)%,CW34*IFERROR(INDEX(CSDA!D$1:D$500,MATCH(CW$2,CSDA!C$1:C$500,0)),0)%,CZ34*IFERROR(INDEX(CSDA!D$1:D$500,MATCH(CZ$2,CSDA!C$1:C$500,0)),0)%,DA34*IFERROR(INDEX(CSDA!D$1:D$500,MATCH(DA$2,CSDA!C$1:C$500,0)),0)%,DE34*IFERROR(INDEX(CSDA!D$1:D$500,MATCH("Phí dịch vụ"&amp;PAYROLL!DE$2,CSDA!A$1:A$500&amp;CSDA!C$1:C$500,0)),0)%,DB34*IFERROR(INDEX(CSDA!D$1:D$500,MATCH("Phí dịch vụ"&amp;PAYROLL!DB$2,CSDA!A$1:A$500&amp;CSDA!C$1:C$500,0)),0)%,DG34*IFERROR(INDEX(CSDA!D$1:D$500,MATCH("Phí dịch vụ"&amp;PAYROLL!DG$2,CSDA!A$1:A$500&amp;CSDA!C$1:C$500,0)),0)%,DI34*IFERROR(INDEX(CSDA!D$1:D$500,MATCH("Phí dịch vụ"&amp;PAYROLL!DI$2,CSDA!A$1:A$500&amp;CSDA!C$1:C$500,0)),0)%,BM34*IFERROR(INDEX(CSDA!D$1:D$500,MATCH(BM$2,CSDA!C$1:C$500,0)),0)%)-BM34*7%</f>
        <v/>
      </c>
      <c r="DQ34">
        <f>IFERROR(INDEX(ADJ!$A$1:$BZ$1000,MATCH(PAYROLL!D34,ADJ!A$1:A$500,0),MATCH(PAYROLL!DQ$2,ADJ!$2:$2,0)),0)</f>
        <v/>
      </c>
      <c r="DR34">
        <f>IFERROR(INDEX(ADJ!$A$1:$BZ$1000,MATCH(PAYROLL!D34,ADJ!A$1:A$500,0),MATCH(PAYROLL!DR$2,ADJ!$2:$2,0)),0)</f>
        <v/>
      </c>
      <c r="DS34">
        <f>SUM(DP34:DR34)</f>
        <v/>
      </c>
      <c r="DT34">
        <f>EK34</f>
        <v/>
      </c>
      <c r="DU34">
        <f>SUM(DO34:DR34)</f>
        <v/>
      </c>
      <c r="DV34">
        <f>ROUND(DU34*0.1,0)</f>
        <v/>
      </c>
      <c r="DW34">
        <f>DU34+DV34</f>
        <v/>
      </c>
      <c r="DZ34">
        <f>IFERROR(INDEX(ADJ!$A$1:$BZ$1000,MATCH(PAYROLL!$D34,ADJ!A$1:A$500,0),MATCH(PAYROLL!DZ$2,ADJ!$2:$2,0)),0)</f>
        <v/>
      </c>
      <c r="EA34">
        <f>IFERROR(INDEX(ADJ!$A$1:$BZ$1000,MATCH(PAYROLL!$D34,ADJ!A$1:A$500,0),MATCH(PAYROLL!EA$2,ADJ!$2:$2,0)),0)</f>
        <v/>
      </c>
      <c r="EB34">
        <f>IFERROR(INDEX(ADJ!$A$1:$BZ$1000,MATCH(PAYROLL!$D34,ADJ!A$1:A$500,0),MATCH(PAYROLL!EB$2,ADJ!$2:$2,0)),0)</f>
        <v/>
      </c>
      <c r="EC34">
        <f>IFERROR(INDEX(ADJ!$A$1:$BZ$1000,MATCH(PAYROLL!$D34,ADJ!A$1:A$500,0),MATCH(PAYROLL!EC$2,ADJ!$2:$2,0)),0)</f>
        <v/>
      </c>
      <c r="ED34">
        <f>IFERROR(INDEX(ADJ!$A$1:$BZ$1000,MATCH(PAYROLL!$D34,ADJ!A$1:A$500,0),MATCH(PAYROLL!ED$2,ADJ!$2:$2,0)),0)</f>
        <v/>
      </c>
      <c r="EE34">
        <f>IFERROR(INDEX(ADJ!$A$1:$BZ$1000,MATCH(PAYROLL!$D34,ADJ!A$1:A$500,0),MATCH(PAYROLL!EE$2,ADJ!$2:$2,0)),0)</f>
        <v/>
      </c>
      <c r="EF34">
        <f>IFERROR(INDEX(ADJ!$A$1:$BZ$1000,MATCH(PAYROLL!$D34,ADJ!A$1:A$500,0),MATCH(PAYROLL!EF$2,ADJ!$2:$2,0)),0)</f>
        <v/>
      </c>
      <c r="EG34">
        <f>IFERROR(INDEX(ADJ!$A$1:$BZ$1000,MATCH(PAYROLL!$D34,ADJ!A$1:A$500,0),MATCH(PAYROLL!EG$2,ADJ!$2:$2,0)),0)</f>
        <v/>
      </c>
      <c r="EH34">
        <f>IFERROR(INDEX(ADJ!$A$1:$BZ$1000,MATCH(PAYROLL!$D34,ADJ!A$1:A$500,0),MATCH(PAYROLL!EH$2,ADJ!$2:$2,0)),0)</f>
        <v/>
      </c>
      <c r="EI34">
        <f>IFERROR(INDEX(ADJ!$A$1:$BZ$1000,MATCH(PAYROLL!D34,ADJ!A$1:A$500,0),MATCH(PAYROLL!EI$2,ADJ!$2:$2,0)),0)</f>
        <v/>
      </c>
      <c r="EJ34">
        <f>IFERROR(INDEX(ADJ!$A$1:$BZ$1000,MATCH(PAYROLL!$D34,ADJ!A$1:A$500,0),MATCH(PAYROLL!EJ$2,ADJ!$2:$2,0)),0)</f>
        <v/>
      </c>
      <c r="EK34">
        <f>SUM(DZ34:EJ34)</f>
        <v/>
      </c>
    </row>
    <row r="35">
      <c r="A35" t="n">
        <v>33</v>
      </c>
      <c r="B35" t="inlineStr">
        <is>
          <t>Nguyễn Công Minh</t>
        </is>
      </c>
      <c r="D35" t="inlineStr">
        <is>
          <t>157508-01</t>
        </is>
      </c>
      <c r="S35">
        <f>IFERROR(INDEX(PIS!$A$1:$BZ$1000,MATCH($D35,PIS!C$1:C$500,0),MATCH("Lương CB tháng trước",PIS!$1:$1,0)),0)</f>
        <v/>
      </c>
      <c r="T35">
        <f>IFERROR(INDEX(PIS!$A$1:$BZ$1000,MATCH($D35,PIS!C$1:C$500,0),MATCH("Lương CB hiện tại",PIS!$1:$1,0)),0)</f>
        <v/>
      </c>
      <c r="U35">
        <f>IFERROR(INDEX(PIS!$A$1:$BZ$1000,MATCH($D35,PIS!C$1:C$500,0),MATCH("Lương đóng BHBB",PIS!$1:$1,0)),0)</f>
        <v/>
      </c>
      <c r="V35">
        <f>IFERROR(INDEX(PIS!$A$1:$BZ$1000,MATCH($D35,PIS!C$1:C$500,0),MATCH(V$2,PIS!$2:$2,0)),0)</f>
        <v/>
      </c>
      <c r="W35">
        <f>IFERROR(INDEX(PIS!$A$1:$BZ$1000,MATCH($D35,PIS!C$1:C$500,0),MATCH(W$2,PIS!$2:$2,0)),0)</f>
        <v/>
      </c>
      <c r="X35">
        <f>IFERROR(INDEX(PIS!$A$1:$BZ$1000,MATCH($D35,PIS!C$1:C$500,0),MATCH(X$2,PIS!$2:$2,0)),0)</f>
        <v/>
      </c>
      <c r="Y35">
        <f>IFERROR(INDEX(PIS!$A$1:$BZ$1000,MATCH($D35,PIS!C$1:C$500,0),MATCH(Y$2,PIS!$2:$2,0)),0)</f>
        <v/>
      </c>
      <c r="Z35">
        <f>IFERROR(INDEX(PIS!$A$1:$BZ$1000,MATCH($D35,PIS!C$1:C$500,0),MATCH(Z$2,PIS!$2:$2,0)),0)</f>
        <v/>
      </c>
      <c r="AA35">
        <f>IFERROR(INDEX(PIS!$A$1:$BZ$1000,MATCH($D35,PIS!C$1:C$500,0),MATCH(AA$2,PIS!$2:$2,0)),0)</f>
        <v/>
      </c>
      <c r="AB35">
        <f>IFERROR(INDEX(PIS!$A$1:$BZ$1000,MATCH($D35,PIS!C$1:C$500,0),MATCH(AB$2,PIS!$2:$2,0)),0)</f>
        <v/>
      </c>
      <c r="AC35">
        <f>SUM(V35:AB35)</f>
        <v/>
      </c>
      <c r="AD35">
        <f>IFERROR(INDEX(TIMESHEET!$A$1:$AI$5000,MATCH($D35,TIMESHEET!A$1:A$500,0),MATCH("T100",TIMESHEET!$2:$2,0)),0)</f>
        <v/>
      </c>
      <c r="AE35">
        <f>IFERROR(INDEX(TIMESHEET!$A$1:$AI$5000,MATCH($D35,TIMESHEET!A$1:A$500,0),MATCH("T202",TIMESHEET!$2:$2,0)),0)</f>
        <v/>
      </c>
      <c r="AF35">
        <f>IFERROR(INDEX(TIMESHEET!$A$1:$AI$5000,MATCH($D35,TIMESHEET!A$1:A$500,0),MATCH("T302",TIMESHEET!$2:$2,0)),0)</f>
        <v/>
      </c>
      <c r="AG35">
        <f>IFERROR(INDEX(TIMESHEET!$A$1:$AI$5000,MATCH($D35,TIMESHEET!A$1:A$500,0),MATCH("T406",TIMESHEET!$2:$2,0)),0)</f>
        <v/>
      </c>
      <c r="AH35">
        <f>IF(SUM(AE35:AG35)&gt;=26,26,SUM(AE35:AG35))</f>
        <v/>
      </c>
      <c r="AI35">
        <f>IFERROR(INDEX(TIMESHEET!$A$1:$AI$5000,MATCH($D35,TIMESHEET!A$1:A$500,0),MATCH("T701",TIMESHEET!$2:$2,0)),0)</f>
        <v/>
      </c>
      <c r="AJ35">
        <f>IFERROR(IF(INDEX(PIS!N$1:N$500,MATCH(D35,PIS!C$1:C$500,0))="LC4",(T35*0.85)/AD35*AH35,ROUND(T35/AD35*AH35,0)),0)</f>
        <v/>
      </c>
      <c r="AK35">
        <f>IFERROR(INDEX(ADJ!$A$1:$BZ$1000,MATCH(PAYROLL!D35,ADJ!A$1:A$500,0),MATCH(PAYROLL!AK$2,ADJ!$2:$2,0)),0)</f>
        <v/>
      </c>
      <c r="AL35">
        <f>SUM(AJ35:AK35)</f>
        <v/>
      </c>
      <c r="AM35">
        <f>IF(AH35&gt;13,V35,ROUND(V35/AD35*AH35,0))</f>
        <v/>
      </c>
      <c r="AN35">
        <f>IF(AD35=0,0,ROUND(W35/AD35*AI35,0))</f>
        <v/>
      </c>
      <c r="AO35">
        <f>ROUND(X35*AH35,0)</f>
        <v/>
      </c>
      <c r="AP35">
        <f>IF(AD35=0,0,ROUND(Y35/AD35*AH35,0))</f>
        <v/>
      </c>
      <c r="AQ35">
        <f>IFERROR(IF((AE35+AF35+AG35)&gt;13,Z35,ROUND(Z35/AD35*AH35,0)),0)</f>
        <v/>
      </c>
      <c r="AR35">
        <f>IF(AD35=0,0,ROUND(AA64/AD35*AH35,0))</f>
        <v/>
      </c>
      <c r="AS35">
        <f>IFERROR(IF((AE35+AF35+AG35)&gt;13,AB35,ROUND(AB35/AD35*AH35,0)),0)</f>
        <v/>
      </c>
      <c r="AT35">
        <f>IFERROR(INDEX(ADJ!$A$1:$BZ$1000,MATCH(PAYROLL!D35,ADJ!A$1:A$500,0),MATCH(PAYROLL!AT$2,ADJ!$2:$2,0)),0)</f>
        <v/>
      </c>
      <c r="AU35">
        <f>ROUND(SUM(AM35:AT35),0)</f>
        <v/>
      </c>
      <c r="AV35">
        <f>IFERROR(INDEX(TIMESHEET!$A$1:$AI$5000,MATCH(PAYROLL!D35,TIMESHEET!A$1:A$500,0),MATCH("T620",TIMESHEET!$2:$2,0)),0)</f>
        <v/>
      </c>
      <c r="AW35">
        <f>IFERROR(INDEX(TIMESHEET!$A$1:$AI$5000,MATCH(PAYROLL!D35,TIMESHEET!A$1:A$500,0),MATCH("T601",TIMESHEET!$2:$2,0)),0)</f>
        <v/>
      </c>
      <c r="AX35">
        <f>IFERROR(INDEX(TIMESHEET!$A$1:$AI$5000,MATCH(PAYROLL!D35,TIMESHEET!A$1:A$500,0),MATCH("T602",TIMESHEET!$2:$2,0)),0)</f>
        <v/>
      </c>
      <c r="AY35">
        <f>IFERROR(INDEX(TIMESHEET!$A$1:$AI$5000,MATCH(PAYROLL!D35,TIMESHEET!A$1:A$500,0),MATCH("T603",TIMESHEET!$2:$2,0)),0)</f>
        <v/>
      </c>
      <c r="AZ35">
        <f>IFERROR(INDEX(TIMESHEET!$A$1:$AI$5000,MATCH(PAYROLL!D35,TIMESHEET!A$1:A$500,0),MATCH("T611",TIMESHEET!$2:$2,0)),0)</f>
        <v/>
      </c>
      <c r="BA35">
        <f>IFERROR(INDEX(TIMESHEET!$A$1:$AI$5000,MATCH(PAYROLL!D35,TIMESHEET!A$1:A$500,0),MATCH("T612",TIMESHEET!$2:$2,0)),0)</f>
        <v/>
      </c>
      <c r="BB35">
        <f>IFERROR(INDEX(TIMESHEET!$A$1:$AI$5000,MATCH(PAYROLL!D35,TIMESHEET!A$1:A$500,0),MATCH("T613",TIMESHEET!$2:$2,0)),0)</f>
        <v/>
      </c>
      <c r="BC35">
        <f>IFERROR(INDEX(TIMESHEET!$A$1:$AI$5000,MATCH(PAYROLL!D35,TIMESHEET!A$1:A$500,0),MATCH("T500",TIMESHEET!$2:$2,0)),0)</f>
        <v/>
      </c>
      <c r="BD35">
        <f>IFERROR((T35+V35)/AD35/8*(AV35+AW35*1.5+AX35*2+AY35*3+AZ35*2.1+BA35*2.7+BB35*3.9+BC35*0.3),0)</f>
        <v/>
      </c>
      <c r="BE35">
        <f>IFERROR(INDEX(ADJ!$A$1:$BZ$1000,MATCH(PAYROLL!$D35,ADJ!A$1:A$500,0),MATCH(PAYROLL!BE$2,ADJ!$2:$2,0)),0)</f>
        <v/>
      </c>
      <c r="BF35">
        <f>IFERROR(INDEX(ADJ!$A$1:$BZ$1000,MATCH(PAYROLL!D35,ADJ!A$1:A$500,0),MATCH(PAYROLL!BF$2,ADJ!$2:$2,0)),0)</f>
        <v/>
      </c>
      <c r="BG35">
        <f>IFERROR(INDEX(ADJ!$A$1:$BZ$1000,MATCH(PAYROLL!D35,ADJ!A$1:A$500,0),MATCH(PAYROLL!BG$2,ADJ!$2:$2,0)),0)</f>
        <v/>
      </c>
      <c r="BH35">
        <f>IFERROR(INDEX(ADJ!$A$1:$BZ$1000,MATCH(PAYROLL!D35,ADJ!A$1:A$500,0),MATCH(PAYROLL!BH$2,ADJ!$2:$2,0)),0)</f>
        <v/>
      </c>
      <c r="BI35">
        <f>IFERROR(INDEX(ADJ!$A$1:$BZ$1000,MATCH(PAYROLL!D35,ADJ!A$1:A$500,0),MATCH(PAYROLL!BI$2,ADJ!$2:$2,0)),0)</f>
        <v/>
      </c>
      <c r="BJ35">
        <f>SUM(BE35:BI35)</f>
        <v/>
      </c>
      <c r="BK35">
        <f>IFERROR(IF(INDEX(PIS!N$1:N$500,MATCH(D35,PIS!C$1:C$500))="LC12",(T35*21.5%)/AD35*AH35,0),0)</f>
        <v/>
      </c>
      <c r="BL35">
        <f>IFERROR(INDEX(ADJ!$A$1:$BZ$1000,MATCH(PAYROLL!D35,ADJ!A$1:A$500,0),MATCH(PAYROLL!BL$2,ADJ!$2:$2,0)),0)</f>
        <v/>
      </c>
      <c r="BM35">
        <f>IFERROR(INDEX(ADJ!$A$1:$BZ$1000,MATCH(PAYROLL!D35,ADJ!A$1:A$500,0),MATCH(PAYROLL!BM$2,ADJ!$2:$2,0)),0)</f>
        <v/>
      </c>
      <c r="BN35">
        <f>IFERROR(INDEX(ADJ!$A$1:$BZ$1000,MATCH(PAYROLL!D35,ADJ!A$1:A$500,0),MATCH(PAYROLL!BN$2,ADJ!$2:$2,0)),0)</f>
        <v/>
      </c>
      <c r="BO35">
        <f>SUM(AL35,AU35,BD35,BJ35,BK35:BN35)</f>
        <v/>
      </c>
      <c r="BP35">
        <f>BN35+AP35</f>
        <v/>
      </c>
      <c r="BQ35">
        <f>IFERROR(ROUND(IF(LEFT(INDEX(PIS!O$1:O$500,MATCH(D35,PIS!C$1:C$500)),1)="D",T35/8*(BC35*0.3),IF(LEFT(INDEX(PIS!O$1:O$500,MATCH(D35,PIS!C$1:C$500)),1)="H",T35*($BC35*0.3),T35/$AD35/8*($BC35*0.3))),0),0)</f>
        <v/>
      </c>
      <c r="BR35">
        <f>IF(AO35&lt;1,0,MIN(AO35,730000))</f>
        <v/>
      </c>
      <c r="BS35">
        <f>IFERROR(ROUND((BD35-SUM(AV35:BB35)*T35/AD35/8),0)-BQ35,0)</f>
        <v/>
      </c>
      <c r="BT35">
        <f>AN35</f>
        <v/>
      </c>
      <c r="BU35">
        <f>SUM(BP35:BT35)</f>
        <v/>
      </c>
      <c r="BV35">
        <f>BO35-BU35</f>
        <v/>
      </c>
      <c r="BW35">
        <f>IFERROR(IF(RIGHT(INDEX(PIS!O$1:O$500,MATCH(D35,PIS!C$1:C$500)),5)="Gross",MIN(U35+V35,VLOOKUP("R700",TSC!B:C,2,0)*VLOOKUP("R101",TSC!B:C,2,0))*VLOOKUP("R701",TSC!B:C,2,0)%,0),0)</f>
        <v/>
      </c>
      <c r="BX35">
        <f>IFERROR(IF(RIGHT(INDEX(PIS!O$1:O$500,MATCH(D35,PIS!C$1:C$500)),5)="Gross",MIN(U35+V35,VLOOKUP("R700",TSC!B:C,2,0)*VLOOKUP("R101",TSC!B:C,2,0))*VLOOKUP("T704",TSC!B:C,2,0)%,0),0)</f>
        <v/>
      </c>
      <c r="BY35">
        <f>IFERROR(IF(RIGHT(INDEX(PIS!O$1:O$500,MATCH(D35,PIS!C$1:C$500)),5)="Gross",MIN(U35+V35,VLOOKUP("R700",TSC!B:C,2,0)*VLOOKUP("1",TSC!F:G,2,0))*VLOOKUP("T705",TSC!B:C,2,0)%,0),0)</f>
        <v/>
      </c>
      <c r="BZ35">
        <f>IFERROR(INDEX(ADJ!$A$1:$BZ$1000,MATCH(PAYROLL!D35,ADJ!A$1:A$500,0),MATCH(PAYROLL!BZ$2,ADJ!$2:$2,0)),0)</f>
        <v/>
      </c>
      <c r="CA35">
        <f>IFERROR(INDEX(ADJ!$A$1:$BZ$1000,MATCH(PAYROLL!D35,ADJ!A$1:A$500,0),MATCH(PAYROLL!CA$2,ADJ!$2:$2,0)),0)</f>
        <v/>
      </c>
      <c r="CB35">
        <f>SUM(BW35:CA35)</f>
        <v/>
      </c>
      <c r="CC35">
        <f>IFERROR(INDEX(PIS!$A$1:$BZ$1000,MATCH(PAYROLL!D35,PIS!C$1:C$500,0),MATCH(PAYROLL!CC$1,PIS!$1:$1,0)),0)</f>
        <v/>
      </c>
      <c r="CD35">
        <f>IFERROR(IF(OR(INDEX(PIS!P$1:P$500,MATCH(D35,PIS!C$1:C$500,0))="LT2",INDEX(PIS!P$1:P$500,MATCH(D35,PIS!C$1:C$500,0))="P10"),0,SUM(CB35,CC35*VLOOKUP("R601",TSC!B:C,2,0),VLOOKUP("R602",TSC!B:C,2,0))),0)</f>
        <v/>
      </c>
      <c r="CE35">
        <f>MAX(BV35-CD35,0)</f>
        <v/>
      </c>
      <c r="CF35">
        <f>IFERROR(IF(OR(RIGHT(INDEX(PIS!P$1:P$500,MATCH(D35,PIS!C$1:C$500)),5)="P10",RIGHT(INDEX(PIS!P$1:P$500,MATCH(D35,PIS!C$1:C$500)),5)="CK"),0,IF(CE35&lt;=5000000,CE35*5%,IF(CE35&lt;=10000000,CE35*10%-250000,IF(CE35&lt;=18000000,CE35*15%-750000,IF(CE35&lt;=32000000,CE35*20%-1650000,IF(CE35&lt;=52000000,CE35*25%-3250000,IF(CE35&lt;=80000000,BG35*30%-5850000,CE35*35%-9850000))))))),0)</f>
        <v/>
      </c>
      <c r="CG35">
        <f>IFERROR(IF(OR(INDEX(PIS!P$1:P$500,MATCH(D35,PIS!C$1:C$500))="LT",INDEX(PIS!P$1:P$500,MATCH(D35,PIS!C$1:C$500))="CK"),0,IF(CE35&lt;2000000,0,CE35*10%)),0)</f>
        <v/>
      </c>
      <c r="CH35">
        <f>IFERROR(INDEX(ADJ!$A$1:$BZ$1000,MATCH(PAYROLL!D35,ADJ!A$1:A$500,0),MATCH(PAYROLL!CH$2,ADJ!$2:$2,0)),0)</f>
        <v/>
      </c>
      <c r="CI35">
        <f>IFERROR(INDEX(ADJ!$A$1:$BZ$1000,MATCH(PAYROLL!D35,ADJ!A$1:A$500,0),MATCH(PAYROLL!CI$2,ADJ!$2:$2,0)),0)</f>
        <v/>
      </c>
      <c r="CJ35">
        <f>IFERROR(INDEX(ADJ!$A$1:$BZ$1000,MATCH(PAYROLL!D35,ADJ!A$1:A$500,0),MATCH(PAYROLL!CJ$2,ADJ!$2:$2,0)),0)</f>
        <v/>
      </c>
      <c r="CK35">
        <f>SUM(CF35:CJ35)</f>
        <v/>
      </c>
      <c r="CL35">
        <f>ROUND(SUM(CG35:CJ35),0)</f>
        <v/>
      </c>
      <c r="CM35">
        <f>IFERROR(INDEX(CSDA!D$1:D$500,MATCH($CM$2,CSDA!C$1:C$500,0))*INDEX(PIS!V$1:V$500,MATCH(D35,PIS!C$1:C$500))+INDEX(ADJ!$A$1:$BZ$1000,MATCH(PAYROLL!D35,ADJ!A$1:A$500,0),MATCH(PAYROLL!CM$2,ADJ!$2:$2,0)),0)</f>
        <v/>
      </c>
      <c r="CN35">
        <f>IFERROR(INDEX(ADJ!$A$1:$BZ$1000,MATCH(PAYROLL!D35,ADJ!A$1:A$500,0),MATCH(PAYROLL!CN$2,ADJ!$2:$2,0)),0)</f>
        <v/>
      </c>
      <c r="CO35">
        <f>IFERROR(INDEX(ADJ!$A$1:$BZ$1000,MATCH(PAYROLL!D35,ADJ!A$1:A$500,0),MATCH(PAYROLL!CO$2,ADJ!$2:$2,0)),0)</f>
        <v/>
      </c>
      <c r="CP35">
        <f>BO35-CK35-CH35-CL35-CM35-CN35-CO35-CB35</f>
        <v/>
      </c>
      <c r="CQ35">
        <f>IFERROR(IF(RIGHT(INDEX(PIS!O$1:O$500,MATCH(D35,PIS!C$1:C$500,0)),5)="Gross",MIN(U35+V35,VLOOKUP("R700",TSC!B:C,2,0)*VLOOKUP("R101",TSC!B:C,2,0))*(VLOOKUP("T711",TSC!B:C,2,0)+VLOOKUP("T712",TSC!B:C,2,0))%,MIN(T35+V35,VLOOKUP("R700",TSC!B:C,2,0)*VLOOKUP("R101",TSC!B:C,2,0))*(VLOOKUP("T711",TSC!B:C,2,0)+VLOOKUP("T712",TSC!B:C,2,0)+VLOOKUP("R701",TSC!B:C,2,0))%),0)</f>
        <v/>
      </c>
      <c r="CR35">
        <f>IFERROR(IF(RIGHT(INDEX(PIS!O$1:O$500,MATCH(D35,PIS!C$1:C$500,0)),5)="Gross",MIN(U35+V35,VLOOKUP("R700",TSC!B:C,2,0)*VLOOKUP("R101",TSC!B:C,2,0))*(VLOOKUP("T714",TSC!B:C,2,0))%,MIN(T35+V35,VLOOKUP("R700",TSC!B:C,2,0)*VLOOKUP("R101",TSC!B:C,2,0))*(VLOOKUP("T704",TSC!B:C,2,0)+VLOOKUP("T714",TSC!B:C,2,0))%),0)</f>
        <v/>
      </c>
      <c r="CS35">
        <f>IFERROR(IF(RIGHT(INDEX(PIS!O$1:O$500,MATCH(D35,PIS!C$1:C$500,0)),5)="Gross",MIN(U35+V35,VLOOKUP("R700",TSC!B:C,2,0)*VLOOKUP("R101",TSC!B:C,2,0))*VLOOKUP("T705",TSC!B:C,2,0)%,MIN(T35+V35,VLOOKUP("R700",TSC!B:C,2,0)*VLOOKUP("R101",TSC!B:C,2,0))*VLOOKUP("T705",TSC!B:C,2,0)%),0)</f>
        <v/>
      </c>
      <c r="CT35">
        <f>IFERROR(IF(RIGHT(INDEX(PIS!O$1:O$500,MATCH(D35,PIS!C$1:C$500,0)),5)="Gross",MIN(U35+V35,VLOOKUP("R700",TSC!B:C,2,0)*VLOOKUP("R101",TSC!B:C,2,0))*(VLOOKUP("T713",TSC!B:C,2,0))%,MIN(T35+V35,VLOOKUP("R700",TSC!B:C,2,0)*VLOOKUP("R101",TSC!B:C,2,0))*(VLOOKUP("T713",TSC!B:C,2,0))%),0)</f>
        <v/>
      </c>
      <c r="CU35">
        <f>IFERROR(INDEX(ADJ!$A$1:$BZ$1000,MATCH(PAYROLL!D35,ADJ!A$1:A$500,0),MATCH(PAYROLL!CU$2,ADJ!$2:$2,0)),0)</f>
        <v/>
      </c>
      <c r="CV35">
        <f>IFERROR(INDEX(ADJ!$A$1:$BZ$1000,MATCH(PAYROLL!D35,ADJ!A$1:A$500,0),MATCH(PAYROLL!CV$2,ADJ!$2:$2,0)),0)</f>
        <v/>
      </c>
      <c r="CW35">
        <f>SUM(CQ35:CV35)</f>
        <v/>
      </c>
      <c r="CX35">
        <f>ROUND(IF(CQ35&gt;0,T35+V35*VLOOKUP("R202",TSC!$B$1:$C$500,2,0),0),0)</f>
        <v/>
      </c>
      <c r="CY35">
        <f>IFERROR(INDEX(CSDA!D$1:D$500,MATCH($CY$2,CSDA!C$1:C$500,0)),0)</f>
        <v/>
      </c>
      <c r="CZ35">
        <f>ROUND(T35*0.7%,0)</f>
        <v/>
      </c>
      <c r="DA35">
        <f>ROUND(T35/12,0)</f>
        <v/>
      </c>
      <c r="DB35">
        <f ref="DB35" t="array">IFERROR(INDEX(CSDA!D$1:D$500,MATCH("Trích giữ"&amp;PAYROLL!DB$2,CSDA!A$1:A$500&amp;CSDA!C$1:C$500,0)),0)</f>
        <v/>
      </c>
      <c r="DC35">
        <f ref="DC35" t="array">IFERROR(INDEX(CSDA!D$1:D$500,MATCH("Trích giữ"&amp;PAYROLL!DC$2,CSDA!A$1:A$500&amp;CSDA!C$1:C$500,0)),0)</f>
        <v/>
      </c>
      <c r="DD35">
        <f ref="DD35" t="array">IFERROR(INDEX(CSDA!D$1:D$500,MATCH("Trích giữ"&amp;PAYROLL!DD$2,CSDA!A$1:A$500&amp;CSDA!C$1:C$500,0)),0)</f>
        <v/>
      </c>
      <c r="DE35">
        <f>IFERROR(INDEX(CSDA!D$1:D$500,MATCH(PAYROLL!DE$2,CSDA!C$1:C$500,0)),0)</f>
        <v/>
      </c>
      <c r="DF35">
        <f ref="DF35" t="array">IFERROR(INDEX(CSDA!D$1:D$500,MATCH("Trích giữ"&amp;PAYROLL!DF$2,CSDA!A$1:A$500&amp;CSDA!C$1:C$500,0)),0)</f>
        <v/>
      </c>
      <c r="DG35">
        <f>ROUND(T35/26,0)</f>
        <v/>
      </c>
      <c r="DH35">
        <f ref="DH35" t="array">IFERROR(INDEX(CSDA!D$1:D$500,MATCH("Trích giữ"&amp;PAYROLL!DH$2,CSDA!A$1:A$500&amp;CSDA!C$1:C$500,0)),0)</f>
        <v/>
      </c>
      <c r="DI35">
        <f>IF(U35=0,T35*21.5%-BK35,0)</f>
        <v/>
      </c>
      <c r="DK35">
        <f ref="DK35" t="array">IFERROR(INDEX(CSDA!D$1:D$500,MATCH("Trích giữ"&amp;PAYROLL!DK$2,CSDA!A$1:A$500&amp;CSDA!C$1:C$500,0)),0)</f>
        <v/>
      </c>
      <c r="DL35">
        <f>IFERROR(INDEX(CSDA!D$1:D$500,MATCH(PAYROLL!DL$2,CSDA!C$1:C$500,0))/12,0)</f>
        <v/>
      </c>
      <c r="DM35">
        <f>SUM(DA35:DL35)</f>
        <v/>
      </c>
      <c r="DN35">
        <f>IFERROR(INDEX(ADJ!$A$1:$BZ$1000,MATCH(PAYROLL!D35,ADJ!A$1:A$500,0),MATCH(PAYROLL!DN$2,ADJ!$2:$2,0)),0)</f>
        <v/>
      </c>
      <c r="DO35">
        <f>IFERROR(SUM(BO35,DM35:DN35,CW35:CZ35)-DT35,0)</f>
        <v/>
      </c>
      <c r="DP35">
        <f ref="DP35" t="array">SUM(BV35*IFERROR(INDEX(CSDA!D$1:D$500,MATCH(BV$2,CSDA!C$1:C$500,0)),0)%,CW35*IFERROR(INDEX(CSDA!D$1:D$500,MATCH(CW$2,CSDA!C$1:C$500,0)),0)%,CZ35*IFERROR(INDEX(CSDA!D$1:D$500,MATCH(CZ$2,CSDA!C$1:C$500,0)),0)%,DA35*IFERROR(INDEX(CSDA!D$1:D$500,MATCH(DA$2,CSDA!C$1:C$500,0)),0)%,DE35*IFERROR(INDEX(CSDA!D$1:D$500,MATCH("Phí dịch vụ"&amp;PAYROLL!DE$2,CSDA!A$1:A$500&amp;CSDA!C$1:C$500,0)),0)%,DB35*IFERROR(INDEX(CSDA!D$1:D$500,MATCH("Phí dịch vụ"&amp;PAYROLL!DB$2,CSDA!A$1:A$500&amp;CSDA!C$1:C$500,0)),0)%,DG35*IFERROR(INDEX(CSDA!D$1:D$500,MATCH("Phí dịch vụ"&amp;PAYROLL!DG$2,CSDA!A$1:A$500&amp;CSDA!C$1:C$500,0)),0)%,DI35*IFERROR(INDEX(CSDA!D$1:D$500,MATCH("Phí dịch vụ"&amp;PAYROLL!DI$2,CSDA!A$1:A$500&amp;CSDA!C$1:C$500,0)),0)%,BM35*IFERROR(INDEX(CSDA!D$1:D$500,MATCH(BM$2,CSDA!C$1:C$500,0)),0)%)-BM35*7%</f>
        <v/>
      </c>
      <c r="DQ35">
        <f>IFERROR(INDEX(ADJ!$A$1:$BZ$1000,MATCH(PAYROLL!D35,ADJ!A$1:A$500,0),MATCH(PAYROLL!DQ$2,ADJ!$2:$2,0)),0)</f>
        <v/>
      </c>
      <c r="DR35">
        <f>IFERROR(INDEX(ADJ!$A$1:$BZ$1000,MATCH(PAYROLL!D35,ADJ!A$1:A$500,0),MATCH(PAYROLL!DR$2,ADJ!$2:$2,0)),0)</f>
        <v/>
      </c>
      <c r="DS35">
        <f>SUM(DP35:DR35)</f>
        <v/>
      </c>
      <c r="DT35">
        <f>EK35</f>
        <v/>
      </c>
      <c r="DU35">
        <f>SUM(DO35:DR35)</f>
        <v/>
      </c>
      <c r="DV35">
        <f>ROUND(DU35*0.1,0)</f>
        <v/>
      </c>
      <c r="DW35">
        <f>DU35+DV35</f>
        <v/>
      </c>
      <c r="DZ35">
        <f>IFERROR(INDEX(ADJ!$A$1:$BZ$1000,MATCH(PAYROLL!$D35,ADJ!A$1:A$500,0),MATCH(PAYROLL!DZ$2,ADJ!$2:$2,0)),0)</f>
        <v/>
      </c>
      <c r="EA35">
        <f>IFERROR(INDEX(ADJ!$A$1:$BZ$1000,MATCH(PAYROLL!$D35,ADJ!A$1:A$500,0),MATCH(PAYROLL!EA$2,ADJ!$2:$2,0)),0)</f>
        <v/>
      </c>
      <c r="EB35">
        <f>IFERROR(INDEX(ADJ!$A$1:$BZ$1000,MATCH(PAYROLL!$D35,ADJ!A$1:A$500,0),MATCH(PAYROLL!EB$2,ADJ!$2:$2,0)),0)</f>
        <v/>
      </c>
      <c r="EC35">
        <f>IFERROR(INDEX(ADJ!$A$1:$BZ$1000,MATCH(PAYROLL!$D35,ADJ!A$1:A$500,0),MATCH(PAYROLL!EC$2,ADJ!$2:$2,0)),0)</f>
        <v/>
      </c>
      <c r="ED35">
        <f>IFERROR(INDEX(ADJ!$A$1:$BZ$1000,MATCH(PAYROLL!$D35,ADJ!A$1:A$500,0),MATCH(PAYROLL!ED$2,ADJ!$2:$2,0)),0)</f>
        <v/>
      </c>
      <c r="EE35">
        <f>IFERROR(INDEX(ADJ!$A$1:$BZ$1000,MATCH(PAYROLL!$D35,ADJ!A$1:A$500,0),MATCH(PAYROLL!EE$2,ADJ!$2:$2,0)),0)</f>
        <v/>
      </c>
      <c r="EF35">
        <f>IFERROR(INDEX(ADJ!$A$1:$BZ$1000,MATCH(PAYROLL!$D35,ADJ!A$1:A$500,0),MATCH(PAYROLL!EF$2,ADJ!$2:$2,0)),0)</f>
        <v/>
      </c>
      <c r="EG35">
        <f>IFERROR(INDEX(ADJ!$A$1:$BZ$1000,MATCH(PAYROLL!$D35,ADJ!A$1:A$500,0),MATCH(PAYROLL!EG$2,ADJ!$2:$2,0)),0)</f>
        <v/>
      </c>
      <c r="EH35">
        <f>IFERROR(INDEX(ADJ!$A$1:$BZ$1000,MATCH(PAYROLL!$D35,ADJ!A$1:A$500,0),MATCH(PAYROLL!EH$2,ADJ!$2:$2,0)),0)</f>
        <v/>
      </c>
      <c r="EI35">
        <f>IFERROR(INDEX(ADJ!$A$1:$BZ$1000,MATCH(PAYROLL!D35,ADJ!A$1:A$500,0),MATCH(PAYROLL!EI$2,ADJ!$2:$2,0)),0)</f>
        <v/>
      </c>
      <c r="EJ35">
        <f>IFERROR(INDEX(ADJ!$A$1:$BZ$1000,MATCH(PAYROLL!$D35,ADJ!A$1:A$500,0),MATCH(PAYROLL!EJ$2,ADJ!$2:$2,0)),0)</f>
        <v/>
      </c>
      <c r="EK35">
        <f>SUM(DZ35:EJ35)</f>
        <v/>
      </c>
    </row>
    <row r="36">
      <c r="A36" t="n">
        <v>34</v>
      </c>
      <c r="B36" t="inlineStr">
        <is>
          <t>Nguyễn Quỳnh Như</t>
        </is>
      </c>
      <c r="D36" t="inlineStr">
        <is>
          <t>157012-01</t>
        </is>
      </c>
      <c r="S36">
        <f>IFERROR(INDEX(PIS!$A$1:$BZ$1000,MATCH($D36,PIS!C$1:C$500,0),MATCH("Lương CB tháng trước",PIS!$1:$1,0)),0)</f>
        <v/>
      </c>
      <c r="T36">
        <f>IFERROR(INDEX(PIS!$A$1:$BZ$1000,MATCH($D36,PIS!C$1:C$500,0),MATCH("Lương CB hiện tại",PIS!$1:$1,0)),0)</f>
        <v/>
      </c>
      <c r="U36">
        <f>IFERROR(INDEX(PIS!$A$1:$BZ$1000,MATCH($D36,PIS!C$1:C$500,0),MATCH("Lương đóng BHBB",PIS!$1:$1,0)),0)</f>
        <v/>
      </c>
      <c r="V36">
        <f>IFERROR(INDEX(PIS!$A$1:$BZ$1000,MATCH($D36,PIS!C$1:C$500,0),MATCH(V$2,PIS!$2:$2,0)),0)</f>
        <v/>
      </c>
      <c r="W36">
        <f>IFERROR(INDEX(PIS!$A$1:$BZ$1000,MATCH($D36,PIS!C$1:C$500,0),MATCH(W$2,PIS!$2:$2,0)),0)</f>
        <v/>
      </c>
      <c r="X36">
        <f>IFERROR(INDEX(PIS!$A$1:$BZ$1000,MATCH($D36,PIS!C$1:C$500,0),MATCH(X$2,PIS!$2:$2,0)),0)</f>
        <v/>
      </c>
      <c r="Y36">
        <f>IFERROR(INDEX(PIS!$A$1:$BZ$1000,MATCH($D36,PIS!C$1:C$500,0),MATCH(Y$2,PIS!$2:$2,0)),0)</f>
        <v/>
      </c>
      <c r="Z36">
        <f>IFERROR(INDEX(PIS!$A$1:$BZ$1000,MATCH($D36,PIS!C$1:C$500,0),MATCH(Z$2,PIS!$2:$2,0)),0)</f>
        <v/>
      </c>
      <c r="AA36">
        <f>IFERROR(INDEX(PIS!$A$1:$BZ$1000,MATCH($D36,PIS!C$1:C$500,0),MATCH(AA$2,PIS!$2:$2,0)),0)</f>
        <v/>
      </c>
      <c r="AB36">
        <f>IFERROR(INDEX(PIS!$A$1:$BZ$1000,MATCH($D36,PIS!C$1:C$500,0),MATCH(AB$2,PIS!$2:$2,0)),0)</f>
        <v/>
      </c>
      <c r="AC36">
        <f>SUM(V36:AB36)</f>
        <v/>
      </c>
      <c r="AD36">
        <f>IFERROR(INDEX(TIMESHEET!$A$1:$AI$5000,MATCH($D36,TIMESHEET!A$1:A$500,0),MATCH("T100",TIMESHEET!$2:$2,0)),0)</f>
        <v/>
      </c>
      <c r="AE36">
        <f>IFERROR(INDEX(TIMESHEET!$A$1:$AI$5000,MATCH($D36,TIMESHEET!A$1:A$500,0),MATCH("T202",TIMESHEET!$2:$2,0)),0)</f>
        <v/>
      </c>
      <c r="AF36">
        <f>IFERROR(INDEX(TIMESHEET!$A$1:$AI$5000,MATCH($D36,TIMESHEET!A$1:A$500,0),MATCH("T302",TIMESHEET!$2:$2,0)),0)</f>
        <v/>
      </c>
      <c r="AG36">
        <f>IFERROR(INDEX(TIMESHEET!$A$1:$AI$5000,MATCH($D36,TIMESHEET!A$1:A$500,0),MATCH("T406",TIMESHEET!$2:$2,0)),0)</f>
        <v/>
      </c>
      <c r="AH36">
        <f>IF(SUM(AE36:AG36)&gt;=26,26,SUM(AE36:AG36))</f>
        <v/>
      </c>
      <c r="AI36">
        <f>IFERROR(INDEX(TIMESHEET!$A$1:$AI$5000,MATCH($D36,TIMESHEET!A$1:A$500,0),MATCH("T701",TIMESHEET!$2:$2,0)),0)</f>
        <v/>
      </c>
      <c r="AJ36">
        <f>IFERROR(IF(INDEX(PIS!N$1:N$500,MATCH(D36,PIS!C$1:C$500,0))="LC4",(T36*0.85)/AD36*AH36,ROUND(T36/AD36*AH36,0)),0)</f>
        <v/>
      </c>
      <c r="AK36">
        <f>IFERROR(INDEX(ADJ!$A$1:$BZ$1000,MATCH(PAYROLL!D36,ADJ!A$1:A$500,0),MATCH(PAYROLL!AK$2,ADJ!$2:$2,0)),0)</f>
        <v/>
      </c>
      <c r="AL36">
        <f>SUM(AJ36:AK36)</f>
        <v/>
      </c>
      <c r="AM36">
        <f>IF(AH36&gt;13,V36,ROUND(V36/AD36*AH36,0))</f>
        <v/>
      </c>
      <c r="AN36">
        <f>IF(AD36=0,0,ROUND(W36/AD36*AI36,0))</f>
        <v/>
      </c>
      <c r="AO36">
        <f>ROUND(X36*AH36,0)</f>
        <v/>
      </c>
      <c r="AP36">
        <f>IF(AD36=0,0,ROUND(Y36/AD36*AH36,0))</f>
        <v/>
      </c>
      <c r="AQ36">
        <f>IFERROR(IF((AE36+AF36+AG36)&gt;13,Z36,ROUND(Z36/AD36*AH36,0)),0)</f>
        <v/>
      </c>
      <c r="AR36">
        <f>IF(AD36=0,0,ROUND(AA65/AD36*AH36,0))</f>
        <v/>
      </c>
      <c r="AS36">
        <f>IFERROR(IF((AE36+AF36+AG36)&gt;13,AB36,ROUND(AB36/AD36*AH36,0)),0)</f>
        <v/>
      </c>
      <c r="AT36">
        <f>IFERROR(INDEX(ADJ!$A$1:$BZ$1000,MATCH(PAYROLL!D36,ADJ!A$1:A$500,0),MATCH(PAYROLL!AT$2,ADJ!$2:$2,0)),0)</f>
        <v/>
      </c>
      <c r="AU36">
        <f>ROUND(SUM(AM36:AT36),0)</f>
        <v/>
      </c>
      <c r="AV36">
        <f>IFERROR(INDEX(TIMESHEET!$A$1:$AI$5000,MATCH(PAYROLL!D36,TIMESHEET!A$1:A$500,0),MATCH("T620",TIMESHEET!$2:$2,0)),0)</f>
        <v/>
      </c>
      <c r="AW36">
        <f>IFERROR(INDEX(TIMESHEET!$A$1:$AI$5000,MATCH(PAYROLL!D36,TIMESHEET!A$1:A$500,0),MATCH("T601",TIMESHEET!$2:$2,0)),0)</f>
        <v/>
      </c>
      <c r="AX36">
        <f>IFERROR(INDEX(TIMESHEET!$A$1:$AI$5000,MATCH(PAYROLL!D36,TIMESHEET!A$1:A$500,0),MATCH("T602",TIMESHEET!$2:$2,0)),0)</f>
        <v/>
      </c>
      <c r="AY36">
        <f>IFERROR(INDEX(TIMESHEET!$A$1:$AI$5000,MATCH(PAYROLL!D36,TIMESHEET!A$1:A$500,0),MATCH("T603",TIMESHEET!$2:$2,0)),0)</f>
        <v/>
      </c>
      <c r="AZ36">
        <f>IFERROR(INDEX(TIMESHEET!$A$1:$AI$5000,MATCH(PAYROLL!D36,TIMESHEET!A$1:A$500,0),MATCH("T611",TIMESHEET!$2:$2,0)),0)</f>
        <v/>
      </c>
      <c r="BA36">
        <f>IFERROR(INDEX(TIMESHEET!$A$1:$AI$5000,MATCH(PAYROLL!D36,TIMESHEET!A$1:A$500,0),MATCH("T612",TIMESHEET!$2:$2,0)),0)</f>
        <v/>
      </c>
      <c r="BB36">
        <f>IFERROR(INDEX(TIMESHEET!$A$1:$AI$5000,MATCH(PAYROLL!D36,TIMESHEET!A$1:A$500,0),MATCH("T613",TIMESHEET!$2:$2,0)),0)</f>
        <v/>
      </c>
      <c r="BC36">
        <f>IFERROR(INDEX(TIMESHEET!$A$1:$AI$5000,MATCH(PAYROLL!D36,TIMESHEET!A$1:A$500,0),MATCH("T500",TIMESHEET!$2:$2,0)),0)</f>
        <v/>
      </c>
      <c r="BD36">
        <f>IFERROR((T36+V36)/AD36/8*(AV36+AW36*1.5+AX36*2+AY36*3+AZ36*2.1+BA36*2.7+BB36*3.9+BC36*0.3),0)</f>
        <v/>
      </c>
      <c r="BE36">
        <f>IFERROR(INDEX(ADJ!$A$1:$BZ$1000,MATCH(PAYROLL!$D36,ADJ!A$1:A$500,0),MATCH(PAYROLL!BE$2,ADJ!$2:$2,0)),0)</f>
        <v/>
      </c>
      <c r="BF36">
        <f>IFERROR(INDEX(ADJ!$A$1:$BZ$1000,MATCH(PAYROLL!D36,ADJ!A$1:A$500,0),MATCH(PAYROLL!BF$2,ADJ!$2:$2,0)),0)</f>
        <v/>
      </c>
      <c r="BG36">
        <f>IFERROR(INDEX(ADJ!$A$1:$BZ$1000,MATCH(PAYROLL!D36,ADJ!A$1:A$500,0),MATCH(PAYROLL!BG$2,ADJ!$2:$2,0)),0)</f>
        <v/>
      </c>
      <c r="BH36">
        <f>IFERROR(INDEX(ADJ!$A$1:$BZ$1000,MATCH(PAYROLL!D36,ADJ!A$1:A$500,0),MATCH(PAYROLL!BH$2,ADJ!$2:$2,0)),0)</f>
        <v/>
      </c>
      <c r="BI36">
        <f>IFERROR(INDEX(ADJ!$A$1:$BZ$1000,MATCH(PAYROLL!D36,ADJ!A$1:A$500,0),MATCH(PAYROLL!BI$2,ADJ!$2:$2,0)),0)</f>
        <v/>
      </c>
      <c r="BJ36">
        <f>SUM(BE36:BI36)</f>
        <v/>
      </c>
      <c r="BK36">
        <f>IFERROR(IF(INDEX(PIS!N$1:N$500,MATCH(D36,PIS!C$1:C$500))="LC12",(T36*21.5%)/AD36*AH36,0),0)</f>
        <v/>
      </c>
      <c r="BL36">
        <f>IFERROR(INDEX(ADJ!$A$1:$BZ$1000,MATCH(PAYROLL!D36,ADJ!A$1:A$500,0),MATCH(PAYROLL!BL$2,ADJ!$2:$2,0)),0)</f>
        <v/>
      </c>
      <c r="BM36">
        <f>IFERROR(INDEX(ADJ!$A$1:$BZ$1000,MATCH(PAYROLL!D36,ADJ!A$1:A$500,0),MATCH(PAYROLL!BM$2,ADJ!$2:$2,0)),0)</f>
        <v/>
      </c>
      <c r="BN36">
        <f>IFERROR(INDEX(ADJ!$A$1:$BZ$1000,MATCH(PAYROLL!D36,ADJ!A$1:A$500,0),MATCH(PAYROLL!BN$2,ADJ!$2:$2,0)),0)</f>
        <v/>
      </c>
      <c r="BO36">
        <f>SUM(AL36,AU36,BD36,BJ36,BK36:BN36)</f>
        <v/>
      </c>
      <c r="BP36">
        <f>BN36+AP36</f>
        <v/>
      </c>
      <c r="BQ36">
        <f>IFERROR(ROUND(IF(LEFT(INDEX(PIS!O$1:O$500,MATCH(D36,PIS!C$1:C$500)),1)="D",T36/8*(BC36*0.3),IF(LEFT(INDEX(PIS!O$1:O$500,MATCH(D36,PIS!C$1:C$500)),1)="H",T36*($BC36*0.3),T36/$AD36/8*($BC36*0.3))),0),0)</f>
        <v/>
      </c>
      <c r="BR36">
        <f>IF(AO36&lt;1,0,MIN(AO36,730000))</f>
        <v/>
      </c>
      <c r="BS36">
        <f>IFERROR(ROUND((BD36-SUM(AV36:BB36)*T36/AD36/8),0)-BQ36,0)</f>
        <v/>
      </c>
      <c r="BT36">
        <f>AN36</f>
        <v/>
      </c>
      <c r="BU36">
        <f>SUM(BP36:BT36)</f>
        <v/>
      </c>
      <c r="BV36">
        <f>BO36-BU36</f>
        <v/>
      </c>
      <c r="BW36">
        <f>IFERROR(IF(RIGHT(INDEX(PIS!O$1:O$500,MATCH(D36,PIS!C$1:C$500)),5)="Gross",MIN(U36+V36,VLOOKUP("R700",TSC!B:C,2,0)*VLOOKUP("R101",TSC!B:C,2,0))*VLOOKUP("R701",TSC!B:C,2,0)%,0),0)</f>
        <v/>
      </c>
      <c r="BX36">
        <f>IFERROR(IF(RIGHT(INDEX(PIS!O$1:O$500,MATCH(D36,PIS!C$1:C$500)),5)="Gross",MIN(U36+V36,VLOOKUP("R700",TSC!B:C,2,0)*VLOOKUP("R101",TSC!B:C,2,0))*VLOOKUP("T704",TSC!B:C,2,0)%,0),0)</f>
        <v/>
      </c>
      <c r="BY36">
        <f>IFERROR(IF(RIGHT(INDEX(PIS!O$1:O$500,MATCH(D36,PIS!C$1:C$500)),5)="Gross",MIN(U36+V36,VLOOKUP("R700",TSC!B:C,2,0)*VLOOKUP("1",TSC!F:G,2,0))*VLOOKUP("T705",TSC!B:C,2,0)%,0),0)</f>
        <v/>
      </c>
      <c r="BZ36">
        <f>IFERROR(INDEX(ADJ!$A$1:$BZ$1000,MATCH(PAYROLL!D36,ADJ!A$1:A$500,0),MATCH(PAYROLL!BZ$2,ADJ!$2:$2,0)),0)</f>
        <v/>
      </c>
      <c r="CA36">
        <f>IFERROR(INDEX(ADJ!$A$1:$BZ$1000,MATCH(PAYROLL!D36,ADJ!A$1:A$500,0),MATCH(PAYROLL!CA$2,ADJ!$2:$2,0)),0)</f>
        <v/>
      </c>
      <c r="CB36">
        <f>SUM(BW36:CA36)</f>
        <v/>
      </c>
      <c r="CC36">
        <f>IFERROR(INDEX(PIS!$A$1:$BZ$1000,MATCH(PAYROLL!D36,PIS!C$1:C$500,0),MATCH(PAYROLL!CC$1,PIS!$1:$1,0)),0)</f>
        <v/>
      </c>
      <c r="CD36">
        <f>IFERROR(IF(OR(INDEX(PIS!P$1:P$500,MATCH(D36,PIS!C$1:C$500,0))="LT2",INDEX(PIS!P$1:P$500,MATCH(D36,PIS!C$1:C$500,0))="P10"),0,SUM(CB36,CC36*VLOOKUP("R601",TSC!B:C,2,0),VLOOKUP("R602",TSC!B:C,2,0))),0)</f>
        <v/>
      </c>
      <c r="CE36">
        <f>MAX(BV36-CD36,0)</f>
        <v/>
      </c>
      <c r="CF36">
        <f>IFERROR(IF(OR(RIGHT(INDEX(PIS!P$1:P$500,MATCH(D36,PIS!C$1:C$500)),5)="P10",RIGHT(INDEX(PIS!P$1:P$500,MATCH(D36,PIS!C$1:C$500)),5)="CK"),0,IF(CE36&lt;=5000000,CE36*5%,IF(CE36&lt;=10000000,CE36*10%-250000,IF(CE36&lt;=18000000,CE36*15%-750000,IF(CE36&lt;=32000000,CE36*20%-1650000,IF(CE36&lt;=52000000,CE36*25%-3250000,IF(CE36&lt;=80000000,BG36*30%-5850000,CE36*35%-9850000))))))),0)</f>
        <v/>
      </c>
      <c r="CG36">
        <f>IFERROR(IF(OR(INDEX(PIS!P$1:P$500,MATCH(D36,PIS!C$1:C$500))="LT",INDEX(PIS!P$1:P$500,MATCH(D36,PIS!C$1:C$500))="CK"),0,IF(CE36&lt;2000000,0,CE36*10%)),0)</f>
        <v/>
      </c>
      <c r="CH36">
        <f>IFERROR(INDEX(ADJ!$A$1:$BZ$1000,MATCH(PAYROLL!D36,ADJ!A$1:A$500,0),MATCH(PAYROLL!CH$2,ADJ!$2:$2,0)),0)</f>
        <v/>
      </c>
      <c r="CI36">
        <f>IFERROR(INDEX(ADJ!$A$1:$BZ$1000,MATCH(PAYROLL!D36,ADJ!A$1:A$500,0),MATCH(PAYROLL!CI$2,ADJ!$2:$2,0)),0)</f>
        <v/>
      </c>
      <c r="CJ36">
        <f>IFERROR(INDEX(ADJ!$A$1:$BZ$1000,MATCH(PAYROLL!D36,ADJ!A$1:A$500,0),MATCH(PAYROLL!CJ$2,ADJ!$2:$2,0)),0)</f>
        <v/>
      </c>
      <c r="CK36">
        <f>SUM(CF36:CJ36)</f>
        <v/>
      </c>
      <c r="CL36">
        <f>ROUND(SUM(CG36:CJ36),0)</f>
        <v/>
      </c>
      <c r="CM36">
        <f>IFERROR(INDEX(CSDA!D$1:D$500,MATCH($CM$2,CSDA!C$1:C$500,0))*INDEX(PIS!V$1:V$500,MATCH(D36,PIS!C$1:C$500))+INDEX(ADJ!$A$1:$BZ$1000,MATCH(PAYROLL!D36,ADJ!A$1:A$500,0),MATCH(PAYROLL!CM$2,ADJ!$2:$2,0)),0)</f>
        <v/>
      </c>
      <c r="CN36">
        <f>IFERROR(INDEX(ADJ!$A$1:$BZ$1000,MATCH(PAYROLL!D36,ADJ!A$1:A$500,0),MATCH(PAYROLL!CN$2,ADJ!$2:$2,0)),0)</f>
        <v/>
      </c>
      <c r="CO36">
        <f>IFERROR(INDEX(ADJ!$A$1:$BZ$1000,MATCH(PAYROLL!D36,ADJ!A$1:A$500,0),MATCH(PAYROLL!CO$2,ADJ!$2:$2,0)),0)</f>
        <v/>
      </c>
      <c r="CP36">
        <f>BO36-CK36-CH36-CL36-CM36-CN36-CO36-CB36</f>
        <v/>
      </c>
      <c r="CQ36">
        <f>IFERROR(IF(RIGHT(INDEX(PIS!O$1:O$500,MATCH(D36,PIS!C$1:C$500,0)),5)="Gross",MIN(U36+V36,VLOOKUP("R700",TSC!B:C,2,0)*VLOOKUP("R101",TSC!B:C,2,0))*(VLOOKUP("T711",TSC!B:C,2,0)+VLOOKUP("T712",TSC!B:C,2,0))%,MIN(T36+V36,VLOOKUP("R700",TSC!B:C,2,0)*VLOOKUP("R101",TSC!B:C,2,0))*(VLOOKUP("T711",TSC!B:C,2,0)+VLOOKUP("T712",TSC!B:C,2,0)+VLOOKUP("R701",TSC!B:C,2,0))%),0)</f>
        <v/>
      </c>
      <c r="CR36">
        <f>IFERROR(IF(RIGHT(INDEX(PIS!O$1:O$500,MATCH(D36,PIS!C$1:C$500,0)),5)="Gross",MIN(U36+V36,VLOOKUP("R700",TSC!B:C,2,0)*VLOOKUP("R101",TSC!B:C,2,0))*(VLOOKUP("T714",TSC!B:C,2,0))%,MIN(T36+V36,VLOOKUP("R700",TSC!B:C,2,0)*VLOOKUP("R101",TSC!B:C,2,0))*(VLOOKUP("T704",TSC!B:C,2,0)+VLOOKUP("T714",TSC!B:C,2,0))%),0)</f>
        <v/>
      </c>
      <c r="CS36">
        <f>IFERROR(IF(RIGHT(INDEX(PIS!O$1:O$500,MATCH(D36,PIS!C$1:C$500,0)),5)="Gross",MIN(U36+V36,VLOOKUP("R700",TSC!B:C,2,0)*VLOOKUP("R101",TSC!B:C,2,0))*VLOOKUP("T705",TSC!B:C,2,0)%,MIN(T36+V36,VLOOKUP("R700",TSC!B:C,2,0)*VLOOKUP("R101",TSC!B:C,2,0))*VLOOKUP("T705",TSC!B:C,2,0)%),0)</f>
        <v/>
      </c>
      <c r="CT36">
        <f>IFERROR(IF(RIGHT(INDEX(PIS!O$1:O$500,MATCH(D36,PIS!C$1:C$500,0)),5)="Gross",MIN(U36+V36,VLOOKUP("R700",TSC!B:C,2,0)*VLOOKUP("R101",TSC!B:C,2,0))*(VLOOKUP("T713",TSC!B:C,2,0))%,MIN(T36+V36,VLOOKUP("R700",TSC!B:C,2,0)*VLOOKUP("R101",TSC!B:C,2,0))*(VLOOKUP("T713",TSC!B:C,2,0))%),0)</f>
        <v/>
      </c>
      <c r="CU36">
        <f>IFERROR(INDEX(ADJ!$A$1:$BZ$1000,MATCH(PAYROLL!D36,ADJ!A$1:A$500,0),MATCH(PAYROLL!CU$2,ADJ!$2:$2,0)),0)</f>
        <v/>
      </c>
      <c r="CV36">
        <f>IFERROR(INDEX(ADJ!$A$1:$BZ$1000,MATCH(PAYROLL!D36,ADJ!A$1:A$500,0),MATCH(PAYROLL!CV$2,ADJ!$2:$2,0)),0)</f>
        <v/>
      </c>
      <c r="CW36">
        <f>SUM(CQ36:CV36)</f>
        <v/>
      </c>
      <c r="CX36">
        <f>ROUND(IF(CQ36&gt;0,T36+V36*VLOOKUP("R202",TSC!$B$1:$C$500,2,0),0),0)</f>
        <v/>
      </c>
      <c r="CY36">
        <f>IFERROR(INDEX(CSDA!D$1:D$500,MATCH($CY$2,CSDA!C$1:C$500,0)),0)</f>
        <v/>
      </c>
      <c r="CZ36">
        <f>ROUND(T36*0.7%,0)</f>
        <v/>
      </c>
      <c r="DA36">
        <f>ROUND(T36/12,0)</f>
        <v/>
      </c>
      <c r="DB36">
        <f ref="DB36" t="array">IFERROR(INDEX(CSDA!D$1:D$500,MATCH("Trích giữ"&amp;PAYROLL!DB$2,CSDA!A$1:A$500&amp;CSDA!C$1:C$500,0)),0)</f>
        <v/>
      </c>
      <c r="DC36">
        <f ref="DC36" t="array">IFERROR(INDEX(CSDA!D$1:D$500,MATCH("Trích giữ"&amp;PAYROLL!DC$2,CSDA!A$1:A$500&amp;CSDA!C$1:C$500,0)),0)</f>
        <v/>
      </c>
      <c r="DD36">
        <f ref="DD36" t="array">IFERROR(INDEX(CSDA!D$1:D$500,MATCH("Trích giữ"&amp;PAYROLL!DD$2,CSDA!A$1:A$500&amp;CSDA!C$1:C$500,0)),0)</f>
        <v/>
      </c>
      <c r="DE36">
        <f>IFERROR(INDEX(CSDA!D$1:D$500,MATCH(PAYROLL!DE$2,CSDA!C$1:C$500,0)),0)</f>
        <v/>
      </c>
      <c r="DF36">
        <f ref="DF36" t="array">IFERROR(INDEX(CSDA!D$1:D$500,MATCH("Trích giữ"&amp;PAYROLL!DF$2,CSDA!A$1:A$500&amp;CSDA!C$1:C$500,0)),0)</f>
        <v/>
      </c>
      <c r="DG36">
        <f>ROUND(T36/26,0)</f>
        <v/>
      </c>
      <c r="DH36">
        <f ref="DH36" t="array">IFERROR(INDEX(CSDA!D$1:D$500,MATCH("Trích giữ"&amp;PAYROLL!DH$2,CSDA!A$1:A$500&amp;CSDA!C$1:C$500,0)),0)</f>
        <v/>
      </c>
      <c r="DI36">
        <f>IF(U36=0,T36*21.5%-BK36,0)</f>
        <v/>
      </c>
      <c r="DK36">
        <f ref="DK36" t="array">IFERROR(INDEX(CSDA!D$1:D$500,MATCH("Trích giữ"&amp;PAYROLL!DK$2,CSDA!A$1:A$500&amp;CSDA!C$1:C$500,0)),0)</f>
        <v/>
      </c>
      <c r="DL36">
        <f>IFERROR(INDEX(CSDA!D$1:D$500,MATCH(PAYROLL!DL$2,CSDA!C$1:C$500,0))/12,0)</f>
        <v/>
      </c>
      <c r="DM36">
        <f>SUM(DA36:DL36)</f>
        <v/>
      </c>
      <c r="DN36">
        <f>IFERROR(INDEX(ADJ!$A$1:$BZ$1000,MATCH(PAYROLL!D36,ADJ!A$1:A$500,0),MATCH(PAYROLL!DN$2,ADJ!$2:$2,0)),0)</f>
        <v/>
      </c>
      <c r="DO36">
        <f>IFERROR(SUM(BO36,DM36:DN36,CW36:CZ36)-DT36,0)</f>
        <v/>
      </c>
      <c r="DP36">
        <f ref="DP36" t="array">SUM(BV36*IFERROR(INDEX(CSDA!D$1:D$500,MATCH(BV$2,CSDA!C$1:C$500,0)),0)%,CW36*IFERROR(INDEX(CSDA!D$1:D$500,MATCH(CW$2,CSDA!C$1:C$500,0)),0)%,CZ36*IFERROR(INDEX(CSDA!D$1:D$500,MATCH(CZ$2,CSDA!C$1:C$500,0)),0)%,DA36*IFERROR(INDEX(CSDA!D$1:D$500,MATCH(DA$2,CSDA!C$1:C$500,0)),0)%,DE36*IFERROR(INDEX(CSDA!D$1:D$500,MATCH("Phí dịch vụ"&amp;PAYROLL!DE$2,CSDA!A$1:A$500&amp;CSDA!C$1:C$500,0)),0)%,DB36*IFERROR(INDEX(CSDA!D$1:D$500,MATCH("Phí dịch vụ"&amp;PAYROLL!DB$2,CSDA!A$1:A$500&amp;CSDA!C$1:C$500,0)),0)%,DG36*IFERROR(INDEX(CSDA!D$1:D$500,MATCH("Phí dịch vụ"&amp;PAYROLL!DG$2,CSDA!A$1:A$500&amp;CSDA!C$1:C$500,0)),0)%,DI36*IFERROR(INDEX(CSDA!D$1:D$500,MATCH("Phí dịch vụ"&amp;PAYROLL!DI$2,CSDA!A$1:A$500&amp;CSDA!C$1:C$500,0)),0)%,BM36*IFERROR(INDEX(CSDA!D$1:D$500,MATCH(BM$2,CSDA!C$1:C$500,0)),0)%)-BM36*7%</f>
        <v/>
      </c>
      <c r="DQ36">
        <f>IFERROR(INDEX(ADJ!$A$1:$BZ$1000,MATCH(PAYROLL!D36,ADJ!A$1:A$500,0),MATCH(PAYROLL!DQ$2,ADJ!$2:$2,0)),0)</f>
        <v/>
      </c>
      <c r="DR36">
        <f>IFERROR(INDEX(ADJ!$A$1:$BZ$1000,MATCH(PAYROLL!D36,ADJ!A$1:A$500,0),MATCH(PAYROLL!DR$2,ADJ!$2:$2,0)),0)</f>
        <v/>
      </c>
      <c r="DS36">
        <f>SUM(DP36:DR36)</f>
        <v/>
      </c>
      <c r="DT36">
        <f>EK36</f>
        <v/>
      </c>
      <c r="DU36">
        <f>SUM(DO36:DR36)</f>
        <v/>
      </c>
      <c r="DV36">
        <f>ROUND(DU36*0.1,0)</f>
        <v/>
      </c>
      <c r="DW36">
        <f>DU36+DV36</f>
        <v/>
      </c>
      <c r="DZ36">
        <f>IFERROR(INDEX(ADJ!$A$1:$BZ$1000,MATCH(PAYROLL!$D36,ADJ!A$1:A$500,0),MATCH(PAYROLL!DZ$2,ADJ!$2:$2,0)),0)</f>
        <v/>
      </c>
      <c r="EA36">
        <f>IFERROR(INDEX(ADJ!$A$1:$BZ$1000,MATCH(PAYROLL!$D36,ADJ!A$1:A$500,0),MATCH(PAYROLL!EA$2,ADJ!$2:$2,0)),0)</f>
        <v/>
      </c>
      <c r="EB36">
        <f>IFERROR(INDEX(ADJ!$A$1:$BZ$1000,MATCH(PAYROLL!$D36,ADJ!A$1:A$500,0),MATCH(PAYROLL!EB$2,ADJ!$2:$2,0)),0)</f>
        <v/>
      </c>
      <c r="EC36">
        <f>IFERROR(INDEX(ADJ!$A$1:$BZ$1000,MATCH(PAYROLL!$D36,ADJ!A$1:A$500,0),MATCH(PAYROLL!EC$2,ADJ!$2:$2,0)),0)</f>
        <v/>
      </c>
      <c r="ED36">
        <f>IFERROR(INDEX(ADJ!$A$1:$BZ$1000,MATCH(PAYROLL!$D36,ADJ!A$1:A$500,0),MATCH(PAYROLL!ED$2,ADJ!$2:$2,0)),0)</f>
        <v/>
      </c>
      <c r="EE36">
        <f>IFERROR(INDEX(ADJ!$A$1:$BZ$1000,MATCH(PAYROLL!$D36,ADJ!A$1:A$500,0),MATCH(PAYROLL!EE$2,ADJ!$2:$2,0)),0)</f>
        <v/>
      </c>
      <c r="EF36">
        <f>IFERROR(INDEX(ADJ!$A$1:$BZ$1000,MATCH(PAYROLL!$D36,ADJ!A$1:A$500,0),MATCH(PAYROLL!EF$2,ADJ!$2:$2,0)),0)</f>
        <v/>
      </c>
      <c r="EG36">
        <f>IFERROR(INDEX(ADJ!$A$1:$BZ$1000,MATCH(PAYROLL!$D36,ADJ!A$1:A$500,0),MATCH(PAYROLL!EG$2,ADJ!$2:$2,0)),0)</f>
        <v/>
      </c>
      <c r="EH36">
        <f>IFERROR(INDEX(ADJ!$A$1:$BZ$1000,MATCH(PAYROLL!$D36,ADJ!A$1:A$500,0),MATCH(PAYROLL!EH$2,ADJ!$2:$2,0)),0)</f>
        <v/>
      </c>
      <c r="EI36">
        <f>IFERROR(INDEX(ADJ!$A$1:$BZ$1000,MATCH(PAYROLL!D36,ADJ!A$1:A$500,0),MATCH(PAYROLL!EI$2,ADJ!$2:$2,0)),0)</f>
        <v/>
      </c>
      <c r="EJ36">
        <f>IFERROR(INDEX(ADJ!$A$1:$BZ$1000,MATCH(PAYROLL!$D36,ADJ!A$1:A$500,0),MATCH(PAYROLL!EJ$2,ADJ!$2:$2,0)),0)</f>
        <v/>
      </c>
      <c r="EK36">
        <f>SUM(DZ36:EJ36)</f>
        <v/>
      </c>
    </row>
    <row r="37">
      <c r="A37" t="n">
        <v>35</v>
      </c>
      <c r="B37" t="inlineStr">
        <is>
          <t>Phạm Xuân Chí</t>
        </is>
      </c>
      <c r="D37" t="inlineStr">
        <is>
          <t>157552-01</t>
        </is>
      </c>
      <c r="S37">
        <f>IFERROR(INDEX(PIS!$A$1:$BZ$1000,MATCH($D37,PIS!C$1:C$500,0),MATCH("Lương CB tháng trước",PIS!$1:$1,0)),0)</f>
        <v/>
      </c>
      <c r="T37">
        <f>IFERROR(INDEX(PIS!$A$1:$BZ$1000,MATCH($D37,PIS!C$1:C$500,0),MATCH("Lương CB hiện tại",PIS!$1:$1,0)),0)</f>
        <v/>
      </c>
      <c r="U37">
        <f>IFERROR(INDEX(PIS!$A$1:$BZ$1000,MATCH($D37,PIS!C$1:C$500,0),MATCH("Lương đóng BHBB",PIS!$1:$1,0)),0)</f>
        <v/>
      </c>
      <c r="V37">
        <f>IFERROR(INDEX(PIS!$A$1:$BZ$1000,MATCH($D37,PIS!C$1:C$500,0),MATCH(V$2,PIS!$2:$2,0)),0)</f>
        <v/>
      </c>
      <c r="W37">
        <f>IFERROR(INDEX(PIS!$A$1:$BZ$1000,MATCH($D37,PIS!C$1:C$500,0),MATCH(W$2,PIS!$2:$2,0)),0)</f>
        <v/>
      </c>
      <c r="X37">
        <f>IFERROR(INDEX(PIS!$A$1:$BZ$1000,MATCH($D37,PIS!C$1:C$500,0),MATCH(X$2,PIS!$2:$2,0)),0)</f>
        <v/>
      </c>
      <c r="Y37">
        <f>IFERROR(INDEX(PIS!$A$1:$BZ$1000,MATCH($D37,PIS!C$1:C$500,0),MATCH(Y$2,PIS!$2:$2,0)),0)</f>
        <v/>
      </c>
      <c r="Z37">
        <f>IFERROR(INDEX(PIS!$A$1:$BZ$1000,MATCH($D37,PIS!C$1:C$500,0),MATCH(Z$2,PIS!$2:$2,0)),0)</f>
        <v/>
      </c>
      <c r="AA37">
        <f>IFERROR(INDEX(PIS!$A$1:$BZ$1000,MATCH($D37,PIS!C$1:C$500,0),MATCH(AA$2,PIS!$2:$2,0)),0)</f>
        <v/>
      </c>
      <c r="AB37">
        <f>IFERROR(INDEX(PIS!$A$1:$BZ$1000,MATCH($D37,PIS!C$1:C$500,0),MATCH(AB$2,PIS!$2:$2,0)),0)</f>
        <v/>
      </c>
      <c r="AC37">
        <f>SUM(V37:AB37)</f>
        <v/>
      </c>
      <c r="AD37">
        <f>IFERROR(INDEX(TIMESHEET!$A$1:$AI$5000,MATCH($D37,TIMESHEET!A$1:A$500,0),MATCH("T100",TIMESHEET!$2:$2,0)),0)</f>
        <v/>
      </c>
      <c r="AE37">
        <f>IFERROR(INDEX(TIMESHEET!$A$1:$AI$5000,MATCH($D37,TIMESHEET!A$1:A$500,0),MATCH("T202",TIMESHEET!$2:$2,0)),0)</f>
        <v/>
      </c>
      <c r="AF37">
        <f>IFERROR(INDEX(TIMESHEET!$A$1:$AI$5000,MATCH($D37,TIMESHEET!A$1:A$500,0),MATCH("T302",TIMESHEET!$2:$2,0)),0)</f>
        <v/>
      </c>
      <c r="AG37">
        <f>IFERROR(INDEX(TIMESHEET!$A$1:$AI$5000,MATCH($D37,TIMESHEET!A$1:A$500,0),MATCH("T406",TIMESHEET!$2:$2,0)),0)</f>
        <v/>
      </c>
      <c r="AH37">
        <f>IF(SUM(AE37:AG37)&gt;=26,26,SUM(AE37:AG37))</f>
        <v/>
      </c>
      <c r="AI37">
        <f>IFERROR(INDEX(TIMESHEET!$A$1:$AI$5000,MATCH($D37,TIMESHEET!A$1:A$500,0),MATCH("T701",TIMESHEET!$2:$2,0)),0)</f>
        <v/>
      </c>
      <c r="AJ37">
        <f>IFERROR(IF(INDEX(PIS!N$1:N$500,MATCH(D37,PIS!C$1:C$500,0))="LC4",(T37*0.85)/AD37*AH37,ROUND(T37/AD37*AH37,0)),0)</f>
        <v/>
      </c>
      <c r="AK37">
        <f>IFERROR(INDEX(ADJ!$A$1:$BZ$1000,MATCH(PAYROLL!D37,ADJ!A$1:A$500,0),MATCH(PAYROLL!AK$2,ADJ!$2:$2,0)),0)</f>
        <v/>
      </c>
      <c r="AL37">
        <f>SUM(AJ37:AK37)</f>
        <v/>
      </c>
      <c r="AM37">
        <f>IF(AH37&gt;13,V37,ROUND(V37/AD37*AH37,0))</f>
        <v/>
      </c>
      <c r="AN37">
        <f>IF(AD37=0,0,ROUND(W37/AD37*AI37,0))</f>
        <v/>
      </c>
      <c r="AO37">
        <f>ROUND(X37*AH37,0)</f>
        <v/>
      </c>
      <c r="AP37">
        <f>IF(AD37=0,0,ROUND(Y37/AD37*AH37,0))</f>
        <v/>
      </c>
      <c r="AQ37">
        <f>IFERROR(IF((AE37+AF37+AG37)&gt;13,Z37,ROUND(Z37/AD37*AH37,0)),0)</f>
        <v/>
      </c>
      <c r="AR37">
        <f>IF(AD37=0,0,ROUND(AA66/AD37*AH37,0))</f>
        <v/>
      </c>
      <c r="AS37">
        <f>IFERROR(IF((AE37+AF37+AG37)&gt;13,AB37,ROUND(AB37/AD37*AH37,0)),0)</f>
        <v/>
      </c>
      <c r="AT37">
        <f>IFERROR(INDEX(ADJ!$A$1:$BZ$1000,MATCH(PAYROLL!D37,ADJ!A$1:A$500,0),MATCH(PAYROLL!AT$2,ADJ!$2:$2,0)),0)</f>
        <v/>
      </c>
      <c r="AU37">
        <f>ROUND(SUM(AM37:AT37),0)</f>
        <v/>
      </c>
      <c r="AV37">
        <f>IFERROR(INDEX(TIMESHEET!$A$1:$AI$5000,MATCH(PAYROLL!D37,TIMESHEET!A$1:A$500,0),MATCH("T620",TIMESHEET!$2:$2,0)),0)</f>
        <v/>
      </c>
      <c r="AW37">
        <f>IFERROR(INDEX(TIMESHEET!$A$1:$AI$5000,MATCH(PAYROLL!D37,TIMESHEET!A$1:A$500,0),MATCH("T601",TIMESHEET!$2:$2,0)),0)</f>
        <v/>
      </c>
      <c r="AX37">
        <f>IFERROR(INDEX(TIMESHEET!$A$1:$AI$5000,MATCH(PAYROLL!D37,TIMESHEET!A$1:A$500,0),MATCH("T602",TIMESHEET!$2:$2,0)),0)</f>
        <v/>
      </c>
      <c r="AY37">
        <f>IFERROR(INDEX(TIMESHEET!$A$1:$AI$5000,MATCH(PAYROLL!D37,TIMESHEET!A$1:A$500,0),MATCH("T603",TIMESHEET!$2:$2,0)),0)</f>
        <v/>
      </c>
      <c r="AZ37">
        <f>IFERROR(INDEX(TIMESHEET!$A$1:$AI$5000,MATCH(PAYROLL!D37,TIMESHEET!A$1:A$500,0),MATCH("T611",TIMESHEET!$2:$2,0)),0)</f>
        <v/>
      </c>
      <c r="BA37">
        <f>IFERROR(INDEX(TIMESHEET!$A$1:$AI$5000,MATCH(PAYROLL!D37,TIMESHEET!A$1:A$500,0),MATCH("T612",TIMESHEET!$2:$2,0)),0)</f>
        <v/>
      </c>
      <c r="BB37">
        <f>IFERROR(INDEX(TIMESHEET!$A$1:$AI$5000,MATCH(PAYROLL!D37,TIMESHEET!A$1:A$500,0),MATCH("T613",TIMESHEET!$2:$2,0)),0)</f>
        <v/>
      </c>
      <c r="BC37">
        <f>IFERROR(INDEX(TIMESHEET!$A$1:$AI$5000,MATCH(PAYROLL!D37,TIMESHEET!A$1:A$500,0),MATCH("T500",TIMESHEET!$2:$2,0)),0)</f>
        <v/>
      </c>
      <c r="BD37">
        <f>IFERROR((T37+V37)/AD37/8*(AV37+AW37*1.5+AX37*2+AY37*3+AZ37*2.1+BA37*2.7+BB37*3.9+BC37*0.3),0)</f>
        <v/>
      </c>
      <c r="BE37">
        <f>IFERROR(INDEX(ADJ!$A$1:$BZ$1000,MATCH(PAYROLL!$D37,ADJ!A$1:A$500,0),MATCH(PAYROLL!BE$2,ADJ!$2:$2,0)),0)</f>
        <v/>
      </c>
      <c r="BF37">
        <f>IFERROR(INDEX(ADJ!$A$1:$BZ$1000,MATCH(PAYROLL!D37,ADJ!A$1:A$500,0),MATCH(PAYROLL!BF$2,ADJ!$2:$2,0)),0)</f>
        <v/>
      </c>
      <c r="BG37">
        <f>IFERROR(INDEX(ADJ!$A$1:$BZ$1000,MATCH(PAYROLL!D37,ADJ!A$1:A$500,0),MATCH(PAYROLL!BG$2,ADJ!$2:$2,0)),0)</f>
        <v/>
      </c>
      <c r="BH37">
        <f>IFERROR(INDEX(ADJ!$A$1:$BZ$1000,MATCH(PAYROLL!D37,ADJ!A$1:A$500,0),MATCH(PAYROLL!BH$2,ADJ!$2:$2,0)),0)</f>
        <v/>
      </c>
      <c r="BI37">
        <f>IFERROR(INDEX(ADJ!$A$1:$BZ$1000,MATCH(PAYROLL!D37,ADJ!A$1:A$500,0),MATCH(PAYROLL!BI$2,ADJ!$2:$2,0)),0)</f>
        <v/>
      </c>
      <c r="BJ37">
        <f>SUM(BE37:BI37)</f>
        <v/>
      </c>
      <c r="BK37">
        <f>IFERROR(IF(INDEX(PIS!N$1:N$500,MATCH(D37,PIS!C$1:C$500))="LC12",(T37*21.5%)/AD37*AH37,0),0)</f>
        <v/>
      </c>
      <c r="BL37">
        <f>IFERROR(INDEX(ADJ!$A$1:$BZ$1000,MATCH(PAYROLL!D37,ADJ!A$1:A$500,0),MATCH(PAYROLL!BL$2,ADJ!$2:$2,0)),0)</f>
        <v/>
      </c>
      <c r="BM37">
        <f>IFERROR(INDEX(ADJ!$A$1:$BZ$1000,MATCH(PAYROLL!D37,ADJ!A$1:A$500,0),MATCH(PAYROLL!BM$2,ADJ!$2:$2,0)),0)</f>
        <v/>
      </c>
      <c r="BN37">
        <f>IFERROR(INDEX(ADJ!$A$1:$BZ$1000,MATCH(PAYROLL!D37,ADJ!A$1:A$500,0),MATCH(PAYROLL!BN$2,ADJ!$2:$2,0)),0)</f>
        <v/>
      </c>
      <c r="BO37">
        <f>SUM(AL37,AU37,BD37,BJ37,BK37:BN37)</f>
        <v/>
      </c>
      <c r="BP37">
        <f>BN37+AP37</f>
        <v/>
      </c>
      <c r="BQ37">
        <f>IFERROR(ROUND(IF(LEFT(INDEX(PIS!O$1:O$500,MATCH(D37,PIS!C$1:C$500)),1)="D",T37/8*(BC37*0.3),IF(LEFT(INDEX(PIS!O$1:O$500,MATCH(D37,PIS!C$1:C$500)),1)="H",T37*($BC37*0.3),T37/$AD37/8*($BC37*0.3))),0),0)</f>
        <v/>
      </c>
      <c r="BR37">
        <f>IF(AO37&lt;1,0,MIN(AO37,730000))</f>
        <v/>
      </c>
      <c r="BS37">
        <f>IFERROR(ROUND((BD37-SUM(AV37:BB37)*T37/AD37/8),0)-BQ37,0)</f>
        <v/>
      </c>
      <c r="BT37">
        <f>AN37</f>
        <v/>
      </c>
      <c r="BU37">
        <f>SUM(BP37:BT37)</f>
        <v/>
      </c>
      <c r="BV37">
        <f>BO37-BU37</f>
        <v/>
      </c>
      <c r="BW37">
        <f>IFERROR(IF(RIGHT(INDEX(PIS!O$1:O$500,MATCH(D37,PIS!C$1:C$500)),5)="Gross",MIN(U37+V37,VLOOKUP("R700",TSC!B:C,2,0)*VLOOKUP("R101",TSC!B:C,2,0))*VLOOKUP("R701",TSC!B:C,2,0)%,0),0)</f>
        <v/>
      </c>
      <c r="BX37">
        <f>IFERROR(IF(RIGHT(INDEX(PIS!O$1:O$500,MATCH(D37,PIS!C$1:C$500)),5)="Gross",MIN(U37+V37,VLOOKUP("R700",TSC!B:C,2,0)*VLOOKUP("R101",TSC!B:C,2,0))*VLOOKUP("T704",TSC!B:C,2,0)%,0),0)</f>
        <v/>
      </c>
      <c r="BY37">
        <f>IFERROR(IF(RIGHT(INDEX(PIS!O$1:O$500,MATCH(D37,PIS!C$1:C$500)),5)="Gross",MIN(U37+V37,VLOOKUP("R700",TSC!B:C,2,0)*VLOOKUP("1",TSC!F:G,2,0))*VLOOKUP("T705",TSC!B:C,2,0)%,0),0)</f>
        <v/>
      </c>
      <c r="BZ37">
        <f>IFERROR(INDEX(ADJ!$A$1:$BZ$1000,MATCH(PAYROLL!D37,ADJ!A$1:A$500,0),MATCH(PAYROLL!BZ$2,ADJ!$2:$2,0)),0)</f>
        <v/>
      </c>
      <c r="CA37">
        <f>IFERROR(INDEX(ADJ!$A$1:$BZ$1000,MATCH(PAYROLL!D37,ADJ!A$1:A$500,0),MATCH(PAYROLL!CA$2,ADJ!$2:$2,0)),0)</f>
        <v/>
      </c>
      <c r="CB37">
        <f>SUM(BW37:CA37)</f>
        <v/>
      </c>
      <c r="CC37">
        <f>IFERROR(INDEX(PIS!$A$1:$BZ$1000,MATCH(PAYROLL!D37,PIS!C$1:C$500,0),MATCH(PAYROLL!CC$1,PIS!$1:$1,0)),0)</f>
        <v/>
      </c>
      <c r="CD37">
        <f>IFERROR(IF(OR(INDEX(PIS!P$1:P$500,MATCH(D37,PIS!C$1:C$500,0))="LT2",INDEX(PIS!P$1:P$500,MATCH(D37,PIS!C$1:C$500,0))="P10"),0,SUM(CB37,CC37*VLOOKUP("R601",TSC!B:C,2,0),VLOOKUP("R602",TSC!B:C,2,0))),0)</f>
        <v/>
      </c>
      <c r="CE37">
        <f>MAX(BV37-CD37,0)</f>
        <v/>
      </c>
      <c r="CF37">
        <f>IFERROR(IF(OR(RIGHT(INDEX(PIS!P$1:P$500,MATCH(D37,PIS!C$1:C$500)),5)="P10",RIGHT(INDEX(PIS!P$1:P$500,MATCH(D37,PIS!C$1:C$500)),5)="CK"),0,IF(CE37&lt;=5000000,CE37*5%,IF(CE37&lt;=10000000,CE37*10%-250000,IF(CE37&lt;=18000000,CE37*15%-750000,IF(CE37&lt;=32000000,CE37*20%-1650000,IF(CE37&lt;=52000000,CE37*25%-3250000,IF(CE37&lt;=80000000,BG37*30%-5850000,CE37*35%-9850000))))))),0)</f>
        <v/>
      </c>
      <c r="CG37">
        <f>IFERROR(IF(OR(INDEX(PIS!P$1:P$500,MATCH(D37,PIS!C$1:C$500))="LT",INDEX(PIS!P$1:P$500,MATCH(D37,PIS!C$1:C$500))="CK"),0,IF(CE37&lt;2000000,0,CE37*10%)),0)</f>
        <v/>
      </c>
      <c r="CH37">
        <f>IFERROR(INDEX(ADJ!$A$1:$BZ$1000,MATCH(PAYROLL!D37,ADJ!A$1:A$500,0),MATCH(PAYROLL!CH$2,ADJ!$2:$2,0)),0)</f>
        <v/>
      </c>
      <c r="CI37">
        <f>IFERROR(INDEX(ADJ!$A$1:$BZ$1000,MATCH(PAYROLL!D37,ADJ!A$1:A$500,0),MATCH(PAYROLL!CI$2,ADJ!$2:$2,0)),0)</f>
        <v/>
      </c>
      <c r="CJ37">
        <f>IFERROR(INDEX(ADJ!$A$1:$BZ$1000,MATCH(PAYROLL!D37,ADJ!A$1:A$500,0),MATCH(PAYROLL!CJ$2,ADJ!$2:$2,0)),0)</f>
        <v/>
      </c>
      <c r="CK37">
        <f>SUM(CF37:CJ37)</f>
        <v/>
      </c>
      <c r="CL37">
        <f>ROUND(SUM(CG37:CJ37),0)</f>
        <v/>
      </c>
      <c r="CM37">
        <f>IFERROR(INDEX(CSDA!D$1:D$500,MATCH($CM$2,CSDA!C$1:C$500,0))*INDEX(PIS!V$1:V$500,MATCH(D37,PIS!C$1:C$500))+INDEX(ADJ!$A$1:$BZ$1000,MATCH(PAYROLL!D37,ADJ!A$1:A$500,0),MATCH(PAYROLL!CM$2,ADJ!$2:$2,0)),0)</f>
        <v/>
      </c>
      <c r="CN37">
        <f>IFERROR(INDEX(ADJ!$A$1:$BZ$1000,MATCH(PAYROLL!D37,ADJ!A$1:A$500,0),MATCH(PAYROLL!CN$2,ADJ!$2:$2,0)),0)</f>
        <v/>
      </c>
      <c r="CO37">
        <f>IFERROR(INDEX(ADJ!$A$1:$BZ$1000,MATCH(PAYROLL!D37,ADJ!A$1:A$500,0),MATCH(PAYROLL!CO$2,ADJ!$2:$2,0)),0)</f>
        <v/>
      </c>
      <c r="CP37">
        <f>BO37-CK37-CH37-CL37-CM37-CN37-CO37-CB37</f>
        <v/>
      </c>
      <c r="CQ37">
        <f>IFERROR(IF(RIGHT(INDEX(PIS!O$1:O$500,MATCH(D37,PIS!C$1:C$500,0)),5)="Gross",MIN(U37+V37,VLOOKUP("R700",TSC!B:C,2,0)*VLOOKUP("R101",TSC!B:C,2,0))*(VLOOKUP("T711",TSC!B:C,2,0)+VLOOKUP("T712",TSC!B:C,2,0))%,MIN(T37+V37,VLOOKUP("R700",TSC!B:C,2,0)*VLOOKUP("R101",TSC!B:C,2,0))*(VLOOKUP("T711",TSC!B:C,2,0)+VLOOKUP("T712",TSC!B:C,2,0)+VLOOKUP("R701",TSC!B:C,2,0))%),0)</f>
        <v/>
      </c>
      <c r="CR37">
        <f>IFERROR(IF(RIGHT(INDEX(PIS!O$1:O$500,MATCH(D37,PIS!C$1:C$500,0)),5)="Gross",MIN(U37+V37,VLOOKUP("R700",TSC!B:C,2,0)*VLOOKUP("R101",TSC!B:C,2,0))*(VLOOKUP("T714",TSC!B:C,2,0))%,MIN(T37+V37,VLOOKUP("R700",TSC!B:C,2,0)*VLOOKUP("R101",TSC!B:C,2,0))*(VLOOKUP("T704",TSC!B:C,2,0)+VLOOKUP("T714",TSC!B:C,2,0))%),0)</f>
        <v/>
      </c>
      <c r="CS37">
        <f>IFERROR(IF(RIGHT(INDEX(PIS!O$1:O$500,MATCH(D37,PIS!C$1:C$500,0)),5)="Gross",MIN(U37+V37,VLOOKUP("R700",TSC!B:C,2,0)*VLOOKUP("R101",TSC!B:C,2,0))*VLOOKUP("T705",TSC!B:C,2,0)%,MIN(T37+V37,VLOOKUP("R700",TSC!B:C,2,0)*VLOOKUP("R101",TSC!B:C,2,0))*VLOOKUP("T705",TSC!B:C,2,0)%),0)</f>
        <v/>
      </c>
      <c r="CT37">
        <f>IFERROR(IF(RIGHT(INDEX(PIS!O$1:O$500,MATCH(D37,PIS!C$1:C$500,0)),5)="Gross",MIN(U37+V37,VLOOKUP("R700",TSC!B:C,2,0)*VLOOKUP("R101",TSC!B:C,2,0))*(VLOOKUP("T713",TSC!B:C,2,0))%,MIN(T37+V37,VLOOKUP("R700",TSC!B:C,2,0)*VLOOKUP("R101",TSC!B:C,2,0))*(VLOOKUP("T713",TSC!B:C,2,0))%),0)</f>
        <v/>
      </c>
      <c r="CU37">
        <f>IFERROR(INDEX(ADJ!$A$1:$BZ$1000,MATCH(PAYROLL!D37,ADJ!A$1:A$500,0),MATCH(PAYROLL!CU$2,ADJ!$2:$2,0)),0)</f>
        <v/>
      </c>
      <c r="CV37">
        <f>IFERROR(INDEX(ADJ!$A$1:$BZ$1000,MATCH(PAYROLL!D37,ADJ!A$1:A$500,0),MATCH(PAYROLL!CV$2,ADJ!$2:$2,0)),0)</f>
        <v/>
      </c>
      <c r="CW37">
        <f>SUM(CQ37:CV37)</f>
        <v/>
      </c>
      <c r="CX37">
        <f>ROUND(IF(CQ37&gt;0,T37+V37*VLOOKUP("R202",TSC!$B$1:$C$500,2,0),0),0)</f>
        <v/>
      </c>
      <c r="CY37">
        <f>IFERROR(INDEX(CSDA!D$1:D$500,MATCH($CY$2,CSDA!C$1:C$500,0)),0)</f>
        <v/>
      </c>
      <c r="CZ37">
        <f>ROUND(T37*0.7%,0)</f>
        <v/>
      </c>
      <c r="DA37">
        <f>ROUND(T37/12,0)</f>
        <v/>
      </c>
      <c r="DB37">
        <f ref="DB37" t="array">IFERROR(INDEX(CSDA!D$1:D$500,MATCH("Trích giữ"&amp;PAYROLL!DB$2,CSDA!A$1:A$500&amp;CSDA!C$1:C$500,0)),0)</f>
        <v/>
      </c>
      <c r="DC37">
        <f ref="DC37" t="array">IFERROR(INDEX(CSDA!D$1:D$500,MATCH("Trích giữ"&amp;PAYROLL!DC$2,CSDA!A$1:A$500&amp;CSDA!C$1:C$500,0)),0)</f>
        <v/>
      </c>
      <c r="DD37">
        <f ref="DD37" t="array">IFERROR(INDEX(CSDA!D$1:D$500,MATCH("Trích giữ"&amp;PAYROLL!DD$2,CSDA!A$1:A$500&amp;CSDA!C$1:C$500,0)),0)</f>
        <v/>
      </c>
      <c r="DE37">
        <f>IFERROR(INDEX(CSDA!D$1:D$500,MATCH(PAYROLL!DE$2,CSDA!C$1:C$500,0)),0)</f>
        <v/>
      </c>
      <c r="DF37">
        <f ref="DF37" t="array">IFERROR(INDEX(CSDA!D$1:D$500,MATCH("Trích giữ"&amp;PAYROLL!DF$2,CSDA!A$1:A$500&amp;CSDA!C$1:C$500,0)),0)</f>
        <v/>
      </c>
      <c r="DG37">
        <f>ROUND(T37/26,0)</f>
        <v/>
      </c>
      <c r="DH37">
        <f ref="DH37" t="array">IFERROR(INDEX(CSDA!D$1:D$500,MATCH("Trích giữ"&amp;PAYROLL!DH$2,CSDA!A$1:A$500&amp;CSDA!C$1:C$500,0)),0)</f>
        <v/>
      </c>
      <c r="DI37">
        <f>IF(U37=0,T37*21.5%-BK37,0)</f>
        <v/>
      </c>
      <c r="DK37">
        <f ref="DK37" t="array">IFERROR(INDEX(CSDA!D$1:D$500,MATCH("Trích giữ"&amp;PAYROLL!DK$2,CSDA!A$1:A$500&amp;CSDA!C$1:C$500,0)),0)</f>
        <v/>
      </c>
      <c r="DL37">
        <f>IFERROR(INDEX(CSDA!D$1:D$500,MATCH(PAYROLL!DL$2,CSDA!C$1:C$500,0))/12,0)</f>
        <v/>
      </c>
      <c r="DM37">
        <f>SUM(DA37:DL37)</f>
        <v/>
      </c>
      <c r="DN37">
        <f>IFERROR(INDEX(ADJ!$A$1:$BZ$1000,MATCH(PAYROLL!D37,ADJ!A$1:A$500,0),MATCH(PAYROLL!DN$2,ADJ!$2:$2,0)),0)</f>
        <v/>
      </c>
      <c r="DO37">
        <f>IFERROR(SUM(BO37,DM37:DN37,CW37:CZ37)-DT37,0)</f>
        <v/>
      </c>
      <c r="DP37">
        <f ref="DP37" t="array">SUM(BV37*IFERROR(INDEX(CSDA!D$1:D$500,MATCH(BV$2,CSDA!C$1:C$500,0)),0)%,CW37*IFERROR(INDEX(CSDA!D$1:D$500,MATCH(CW$2,CSDA!C$1:C$500,0)),0)%,CZ37*IFERROR(INDEX(CSDA!D$1:D$500,MATCH(CZ$2,CSDA!C$1:C$500,0)),0)%,DA37*IFERROR(INDEX(CSDA!D$1:D$500,MATCH(DA$2,CSDA!C$1:C$500,0)),0)%,DE37*IFERROR(INDEX(CSDA!D$1:D$500,MATCH("Phí dịch vụ"&amp;PAYROLL!DE$2,CSDA!A$1:A$500&amp;CSDA!C$1:C$500,0)),0)%,DB37*IFERROR(INDEX(CSDA!D$1:D$500,MATCH("Phí dịch vụ"&amp;PAYROLL!DB$2,CSDA!A$1:A$500&amp;CSDA!C$1:C$500,0)),0)%,DG37*IFERROR(INDEX(CSDA!D$1:D$500,MATCH("Phí dịch vụ"&amp;PAYROLL!DG$2,CSDA!A$1:A$500&amp;CSDA!C$1:C$500,0)),0)%,DI37*IFERROR(INDEX(CSDA!D$1:D$500,MATCH("Phí dịch vụ"&amp;PAYROLL!DI$2,CSDA!A$1:A$500&amp;CSDA!C$1:C$500,0)),0)%,BM37*IFERROR(INDEX(CSDA!D$1:D$500,MATCH(BM$2,CSDA!C$1:C$500,0)),0)%)-BM37*7%</f>
        <v/>
      </c>
      <c r="DQ37">
        <f>IFERROR(INDEX(ADJ!$A$1:$BZ$1000,MATCH(PAYROLL!D37,ADJ!A$1:A$500,0),MATCH(PAYROLL!DQ$2,ADJ!$2:$2,0)),0)</f>
        <v/>
      </c>
      <c r="DR37">
        <f>IFERROR(INDEX(ADJ!$A$1:$BZ$1000,MATCH(PAYROLL!D37,ADJ!A$1:A$500,0),MATCH(PAYROLL!DR$2,ADJ!$2:$2,0)),0)</f>
        <v/>
      </c>
      <c r="DS37">
        <f>SUM(DP37:DR37)</f>
        <v/>
      </c>
      <c r="DT37">
        <f>EK37</f>
        <v/>
      </c>
      <c r="DU37">
        <f>SUM(DO37:DR37)</f>
        <v/>
      </c>
      <c r="DV37">
        <f>ROUND(DU37*0.1,0)</f>
        <v/>
      </c>
      <c r="DW37">
        <f>DU37+DV37</f>
        <v/>
      </c>
      <c r="DZ37">
        <f>IFERROR(INDEX(ADJ!$A$1:$BZ$1000,MATCH(PAYROLL!$D37,ADJ!A$1:A$500,0),MATCH(PAYROLL!DZ$2,ADJ!$2:$2,0)),0)</f>
        <v/>
      </c>
      <c r="EA37">
        <f>IFERROR(INDEX(ADJ!$A$1:$BZ$1000,MATCH(PAYROLL!$D37,ADJ!A$1:A$500,0),MATCH(PAYROLL!EA$2,ADJ!$2:$2,0)),0)</f>
        <v/>
      </c>
      <c r="EB37">
        <f>IFERROR(INDEX(ADJ!$A$1:$BZ$1000,MATCH(PAYROLL!$D37,ADJ!A$1:A$500,0),MATCH(PAYROLL!EB$2,ADJ!$2:$2,0)),0)</f>
        <v/>
      </c>
      <c r="EC37">
        <f>IFERROR(INDEX(ADJ!$A$1:$BZ$1000,MATCH(PAYROLL!$D37,ADJ!A$1:A$500,0),MATCH(PAYROLL!EC$2,ADJ!$2:$2,0)),0)</f>
        <v/>
      </c>
      <c r="ED37">
        <f>IFERROR(INDEX(ADJ!$A$1:$BZ$1000,MATCH(PAYROLL!$D37,ADJ!A$1:A$500,0),MATCH(PAYROLL!ED$2,ADJ!$2:$2,0)),0)</f>
        <v/>
      </c>
      <c r="EE37">
        <f>IFERROR(INDEX(ADJ!$A$1:$BZ$1000,MATCH(PAYROLL!$D37,ADJ!A$1:A$500,0),MATCH(PAYROLL!EE$2,ADJ!$2:$2,0)),0)</f>
        <v/>
      </c>
      <c r="EF37">
        <f>IFERROR(INDEX(ADJ!$A$1:$BZ$1000,MATCH(PAYROLL!$D37,ADJ!A$1:A$500,0),MATCH(PAYROLL!EF$2,ADJ!$2:$2,0)),0)</f>
        <v/>
      </c>
      <c r="EG37">
        <f>IFERROR(INDEX(ADJ!$A$1:$BZ$1000,MATCH(PAYROLL!$D37,ADJ!A$1:A$500,0),MATCH(PAYROLL!EG$2,ADJ!$2:$2,0)),0)</f>
        <v/>
      </c>
      <c r="EH37">
        <f>IFERROR(INDEX(ADJ!$A$1:$BZ$1000,MATCH(PAYROLL!$D37,ADJ!A$1:A$500,0),MATCH(PAYROLL!EH$2,ADJ!$2:$2,0)),0)</f>
        <v/>
      </c>
      <c r="EI37">
        <f>IFERROR(INDEX(ADJ!$A$1:$BZ$1000,MATCH(PAYROLL!D37,ADJ!A$1:A$500,0),MATCH(PAYROLL!EI$2,ADJ!$2:$2,0)),0)</f>
        <v/>
      </c>
      <c r="EJ37">
        <f>IFERROR(INDEX(ADJ!$A$1:$BZ$1000,MATCH(PAYROLL!$D37,ADJ!A$1:A$500,0),MATCH(PAYROLL!EJ$2,ADJ!$2:$2,0)),0)</f>
        <v/>
      </c>
      <c r="EK37">
        <f>SUM(DZ37:EJ37)</f>
        <v/>
      </c>
    </row>
    <row r="38">
      <c r="A38" t="n">
        <v>36</v>
      </c>
      <c r="B38" t="inlineStr">
        <is>
          <t>Đoàn Thành Đạt</t>
        </is>
      </c>
      <c r="D38" t="inlineStr">
        <is>
          <t>157312-01</t>
        </is>
      </c>
      <c r="S38">
        <f>IFERROR(INDEX(PIS!$A$1:$BZ$1000,MATCH($D38,PIS!C$1:C$500,0),MATCH("Lương CB tháng trước",PIS!$1:$1,0)),0)</f>
        <v/>
      </c>
      <c r="T38">
        <f>IFERROR(INDEX(PIS!$A$1:$BZ$1000,MATCH($D38,PIS!C$1:C$500,0),MATCH("Lương CB hiện tại",PIS!$1:$1,0)),0)</f>
        <v/>
      </c>
      <c r="U38">
        <f>IFERROR(INDEX(PIS!$A$1:$BZ$1000,MATCH($D38,PIS!C$1:C$500,0),MATCH("Lương đóng BHBB",PIS!$1:$1,0)),0)</f>
        <v/>
      </c>
      <c r="V38">
        <f>IFERROR(INDEX(PIS!$A$1:$BZ$1000,MATCH($D38,PIS!C$1:C$500,0),MATCH(V$2,PIS!$2:$2,0)),0)</f>
        <v/>
      </c>
      <c r="W38">
        <f>IFERROR(INDEX(PIS!$A$1:$BZ$1000,MATCH($D38,PIS!C$1:C$500,0),MATCH(W$2,PIS!$2:$2,0)),0)</f>
        <v/>
      </c>
      <c r="X38">
        <f>IFERROR(INDEX(PIS!$A$1:$BZ$1000,MATCH($D38,PIS!C$1:C$500,0),MATCH(X$2,PIS!$2:$2,0)),0)</f>
        <v/>
      </c>
      <c r="Y38">
        <f>IFERROR(INDEX(PIS!$A$1:$BZ$1000,MATCH($D38,PIS!C$1:C$500,0),MATCH(Y$2,PIS!$2:$2,0)),0)</f>
        <v/>
      </c>
      <c r="Z38">
        <f>IFERROR(INDEX(PIS!$A$1:$BZ$1000,MATCH($D38,PIS!C$1:C$500,0),MATCH(Z$2,PIS!$2:$2,0)),0)</f>
        <v/>
      </c>
      <c r="AA38">
        <f>IFERROR(INDEX(PIS!$A$1:$BZ$1000,MATCH($D38,PIS!C$1:C$500,0),MATCH(AA$2,PIS!$2:$2,0)),0)</f>
        <v/>
      </c>
      <c r="AB38">
        <f>IFERROR(INDEX(PIS!$A$1:$BZ$1000,MATCH($D38,PIS!C$1:C$500,0),MATCH(AB$2,PIS!$2:$2,0)),0)</f>
        <v/>
      </c>
      <c r="AC38">
        <f>SUM(V38:AB38)</f>
        <v/>
      </c>
      <c r="AD38">
        <f>IFERROR(INDEX(TIMESHEET!$A$1:$AI$5000,MATCH($D38,TIMESHEET!A$1:A$500,0),MATCH("T100",TIMESHEET!$2:$2,0)),0)</f>
        <v/>
      </c>
      <c r="AE38">
        <f>IFERROR(INDEX(TIMESHEET!$A$1:$AI$5000,MATCH($D38,TIMESHEET!A$1:A$500,0),MATCH("T202",TIMESHEET!$2:$2,0)),0)</f>
        <v/>
      </c>
      <c r="AF38">
        <f>IFERROR(INDEX(TIMESHEET!$A$1:$AI$5000,MATCH($D38,TIMESHEET!A$1:A$500,0),MATCH("T302",TIMESHEET!$2:$2,0)),0)</f>
        <v/>
      </c>
      <c r="AG38">
        <f>IFERROR(INDEX(TIMESHEET!$A$1:$AI$5000,MATCH($D38,TIMESHEET!A$1:A$500,0),MATCH("T406",TIMESHEET!$2:$2,0)),0)</f>
        <v/>
      </c>
      <c r="AH38">
        <f>IF(SUM(AE38:AG38)&gt;=26,26,SUM(AE38:AG38))</f>
        <v/>
      </c>
      <c r="AI38">
        <f>IFERROR(INDEX(TIMESHEET!$A$1:$AI$5000,MATCH($D38,TIMESHEET!A$1:A$500,0),MATCH("T701",TIMESHEET!$2:$2,0)),0)</f>
        <v/>
      </c>
      <c r="AJ38">
        <f>IFERROR(IF(INDEX(PIS!N$1:N$500,MATCH(D38,PIS!C$1:C$500,0))="LC4",(T38*0.85)/AD38*AH38,ROUND(T38/AD38*AH38,0)),0)</f>
        <v/>
      </c>
      <c r="AK38">
        <f>IFERROR(INDEX(ADJ!$A$1:$BZ$1000,MATCH(PAYROLL!D38,ADJ!A$1:A$500,0),MATCH(PAYROLL!AK$2,ADJ!$2:$2,0)),0)</f>
        <v/>
      </c>
      <c r="AL38">
        <f>SUM(AJ38:AK38)</f>
        <v/>
      </c>
      <c r="AM38">
        <f>IF(AH38&gt;13,V38,ROUND(V38/AD38*AH38,0))</f>
        <v/>
      </c>
      <c r="AN38">
        <f>IF(AD38=0,0,ROUND(W38/AD38*AI38,0))</f>
        <v/>
      </c>
      <c r="AO38">
        <f>ROUND(X38*AH38,0)</f>
        <v/>
      </c>
      <c r="AP38">
        <f>IF(AD38=0,0,ROUND(Y38/AD38*AH38,0))</f>
        <v/>
      </c>
      <c r="AQ38">
        <f>IFERROR(IF((AE38+AF38+AG38)&gt;13,Z38,ROUND(Z38/AD38*AH38,0)),0)</f>
        <v/>
      </c>
      <c r="AR38">
        <f>IF(AD38=0,0,ROUND(AA67/AD38*AH38,0))</f>
        <v/>
      </c>
      <c r="AS38">
        <f>IFERROR(IF((AE38+AF38+AG38)&gt;13,AB38,ROUND(AB38/AD38*AH38,0)),0)</f>
        <v/>
      </c>
      <c r="AT38">
        <f>IFERROR(INDEX(ADJ!$A$1:$BZ$1000,MATCH(PAYROLL!D38,ADJ!A$1:A$500,0),MATCH(PAYROLL!AT$2,ADJ!$2:$2,0)),0)</f>
        <v/>
      </c>
      <c r="AU38">
        <f>ROUND(SUM(AM38:AT38),0)</f>
        <v/>
      </c>
      <c r="AV38">
        <f>IFERROR(INDEX(TIMESHEET!$A$1:$AI$5000,MATCH(PAYROLL!D38,TIMESHEET!A$1:A$500,0),MATCH("T620",TIMESHEET!$2:$2,0)),0)</f>
        <v/>
      </c>
      <c r="AW38">
        <f>IFERROR(INDEX(TIMESHEET!$A$1:$AI$5000,MATCH(PAYROLL!D38,TIMESHEET!A$1:A$500,0),MATCH("T601",TIMESHEET!$2:$2,0)),0)</f>
        <v/>
      </c>
      <c r="AX38">
        <f>IFERROR(INDEX(TIMESHEET!$A$1:$AI$5000,MATCH(PAYROLL!D38,TIMESHEET!A$1:A$500,0),MATCH("T602",TIMESHEET!$2:$2,0)),0)</f>
        <v/>
      </c>
      <c r="AY38">
        <f>IFERROR(INDEX(TIMESHEET!$A$1:$AI$5000,MATCH(PAYROLL!D38,TIMESHEET!A$1:A$500,0),MATCH("T603",TIMESHEET!$2:$2,0)),0)</f>
        <v/>
      </c>
      <c r="AZ38">
        <f>IFERROR(INDEX(TIMESHEET!$A$1:$AI$5000,MATCH(PAYROLL!D38,TIMESHEET!A$1:A$500,0),MATCH("T611",TIMESHEET!$2:$2,0)),0)</f>
        <v/>
      </c>
      <c r="BA38">
        <f>IFERROR(INDEX(TIMESHEET!$A$1:$AI$5000,MATCH(PAYROLL!D38,TIMESHEET!A$1:A$500,0),MATCH("T612",TIMESHEET!$2:$2,0)),0)</f>
        <v/>
      </c>
      <c r="BB38">
        <f>IFERROR(INDEX(TIMESHEET!$A$1:$AI$5000,MATCH(PAYROLL!D38,TIMESHEET!A$1:A$500,0),MATCH("T613",TIMESHEET!$2:$2,0)),0)</f>
        <v/>
      </c>
      <c r="BC38">
        <f>IFERROR(INDEX(TIMESHEET!$A$1:$AI$5000,MATCH(PAYROLL!D38,TIMESHEET!A$1:A$500,0),MATCH("T500",TIMESHEET!$2:$2,0)),0)</f>
        <v/>
      </c>
      <c r="BD38">
        <f>IFERROR((T38+V38)/AD38/8*(AV38+AW38*1.5+AX38*2+AY38*3+AZ38*2.1+BA38*2.7+BB38*3.9+BC38*0.3),0)</f>
        <v/>
      </c>
      <c r="BE38">
        <f>IFERROR(INDEX(ADJ!$A$1:$BZ$1000,MATCH(PAYROLL!$D38,ADJ!A$1:A$500,0),MATCH(PAYROLL!BE$2,ADJ!$2:$2,0)),0)</f>
        <v/>
      </c>
      <c r="BF38">
        <f>IFERROR(INDEX(ADJ!$A$1:$BZ$1000,MATCH(PAYROLL!D38,ADJ!A$1:A$500,0),MATCH(PAYROLL!BF$2,ADJ!$2:$2,0)),0)</f>
        <v/>
      </c>
      <c r="BG38">
        <f>IFERROR(INDEX(ADJ!$A$1:$BZ$1000,MATCH(PAYROLL!D38,ADJ!A$1:A$500,0),MATCH(PAYROLL!BG$2,ADJ!$2:$2,0)),0)</f>
        <v/>
      </c>
      <c r="BH38">
        <f>IFERROR(INDEX(ADJ!$A$1:$BZ$1000,MATCH(PAYROLL!D38,ADJ!A$1:A$500,0),MATCH(PAYROLL!BH$2,ADJ!$2:$2,0)),0)</f>
        <v/>
      </c>
      <c r="BI38">
        <f>IFERROR(INDEX(ADJ!$A$1:$BZ$1000,MATCH(PAYROLL!D38,ADJ!A$1:A$500,0),MATCH(PAYROLL!BI$2,ADJ!$2:$2,0)),0)</f>
        <v/>
      </c>
      <c r="BJ38">
        <f>SUM(BE38:BI38)</f>
        <v/>
      </c>
      <c r="BK38">
        <f>IFERROR(IF(INDEX(PIS!N$1:N$500,MATCH(D38,PIS!C$1:C$500))="LC12",(T38*21.5%)/AD38*AH38,0),0)</f>
        <v/>
      </c>
      <c r="BL38">
        <f>IFERROR(INDEX(ADJ!$A$1:$BZ$1000,MATCH(PAYROLL!D38,ADJ!A$1:A$500,0),MATCH(PAYROLL!BL$2,ADJ!$2:$2,0)),0)</f>
        <v/>
      </c>
      <c r="BM38">
        <f>IFERROR(INDEX(ADJ!$A$1:$BZ$1000,MATCH(PAYROLL!D38,ADJ!A$1:A$500,0),MATCH(PAYROLL!BM$2,ADJ!$2:$2,0)),0)</f>
        <v/>
      </c>
      <c r="BN38">
        <f>IFERROR(INDEX(ADJ!$A$1:$BZ$1000,MATCH(PAYROLL!D38,ADJ!A$1:A$500,0),MATCH(PAYROLL!BN$2,ADJ!$2:$2,0)),0)</f>
        <v/>
      </c>
      <c r="BO38">
        <f>SUM(AL38,AU38,BD38,BJ38,BK38:BN38)</f>
        <v/>
      </c>
      <c r="BP38">
        <f>BN38+AP38</f>
        <v/>
      </c>
      <c r="BQ38">
        <f>IFERROR(ROUND(IF(LEFT(INDEX(PIS!O$1:O$500,MATCH(D38,PIS!C$1:C$500)),1)="D",T38/8*(BC38*0.3),IF(LEFT(INDEX(PIS!O$1:O$500,MATCH(D38,PIS!C$1:C$500)),1)="H",T38*($BC38*0.3),T38/$AD38/8*($BC38*0.3))),0),0)</f>
        <v/>
      </c>
      <c r="BR38">
        <f>IF(AO38&lt;1,0,MIN(AO38,730000))</f>
        <v/>
      </c>
      <c r="BS38">
        <f>IFERROR(ROUND((BD38-SUM(AV38:BB38)*T38/AD38/8),0)-BQ38,0)</f>
        <v/>
      </c>
      <c r="BT38">
        <f>AN38</f>
        <v/>
      </c>
      <c r="BU38">
        <f>SUM(BP38:BT38)</f>
        <v/>
      </c>
      <c r="BV38">
        <f>BO38-BU38</f>
        <v/>
      </c>
      <c r="BW38">
        <f>IFERROR(IF(RIGHT(INDEX(PIS!O$1:O$500,MATCH(D38,PIS!C$1:C$500)),5)="Gross",MIN(U38+V38,VLOOKUP("R700",TSC!B:C,2,0)*VLOOKUP("R101",TSC!B:C,2,0))*VLOOKUP("R701",TSC!B:C,2,0)%,0),0)</f>
        <v/>
      </c>
      <c r="BX38">
        <f>IFERROR(IF(RIGHT(INDEX(PIS!O$1:O$500,MATCH(D38,PIS!C$1:C$500)),5)="Gross",MIN(U38+V38,VLOOKUP("R700",TSC!B:C,2,0)*VLOOKUP("R101",TSC!B:C,2,0))*VLOOKUP("T704",TSC!B:C,2,0)%,0),0)</f>
        <v/>
      </c>
      <c r="BY38">
        <f>IFERROR(IF(RIGHT(INDEX(PIS!O$1:O$500,MATCH(D38,PIS!C$1:C$500)),5)="Gross",MIN(U38+V38,VLOOKUP("R700",TSC!B:C,2,0)*VLOOKUP("1",TSC!F:G,2,0))*VLOOKUP("T705",TSC!B:C,2,0)%,0),0)</f>
        <v/>
      </c>
      <c r="BZ38">
        <f>IFERROR(INDEX(ADJ!$A$1:$BZ$1000,MATCH(PAYROLL!D38,ADJ!A$1:A$500,0),MATCH(PAYROLL!BZ$2,ADJ!$2:$2,0)),0)</f>
        <v/>
      </c>
      <c r="CA38">
        <f>IFERROR(INDEX(ADJ!$A$1:$BZ$1000,MATCH(PAYROLL!D38,ADJ!A$1:A$500,0),MATCH(PAYROLL!CA$2,ADJ!$2:$2,0)),0)</f>
        <v/>
      </c>
      <c r="CB38">
        <f>SUM(BW38:CA38)</f>
        <v/>
      </c>
      <c r="CC38">
        <f>IFERROR(INDEX(PIS!$A$1:$BZ$1000,MATCH(PAYROLL!D38,PIS!C$1:C$500,0),MATCH(PAYROLL!CC$1,PIS!$1:$1,0)),0)</f>
        <v/>
      </c>
      <c r="CD38">
        <f>IFERROR(IF(OR(INDEX(PIS!P$1:P$500,MATCH(D38,PIS!C$1:C$500,0))="LT2",INDEX(PIS!P$1:P$500,MATCH(D38,PIS!C$1:C$500,0))="P10"),0,SUM(CB38,CC38*VLOOKUP("R601",TSC!B:C,2,0),VLOOKUP("R602",TSC!B:C,2,0))),0)</f>
        <v/>
      </c>
      <c r="CE38">
        <f>MAX(BV38-CD38,0)</f>
        <v/>
      </c>
      <c r="CF38">
        <f>IFERROR(IF(OR(RIGHT(INDEX(PIS!P$1:P$500,MATCH(D38,PIS!C$1:C$500)),5)="P10",RIGHT(INDEX(PIS!P$1:P$500,MATCH(D38,PIS!C$1:C$500)),5)="CK"),0,IF(CE38&lt;=5000000,CE38*5%,IF(CE38&lt;=10000000,CE38*10%-250000,IF(CE38&lt;=18000000,CE38*15%-750000,IF(CE38&lt;=32000000,CE38*20%-1650000,IF(CE38&lt;=52000000,CE38*25%-3250000,IF(CE38&lt;=80000000,BG38*30%-5850000,CE38*35%-9850000))))))),0)</f>
        <v/>
      </c>
      <c r="CG38">
        <f>IFERROR(IF(OR(INDEX(PIS!P$1:P$500,MATCH(D38,PIS!C$1:C$500))="LT",INDEX(PIS!P$1:P$500,MATCH(D38,PIS!C$1:C$500))="CK"),0,IF(CE38&lt;2000000,0,CE38*10%)),0)</f>
        <v/>
      </c>
      <c r="CH38">
        <f>IFERROR(INDEX(ADJ!$A$1:$BZ$1000,MATCH(PAYROLL!D38,ADJ!A$1:A$500,0),MATCH(PAYROLL!CH$2,ADJ!$2:$2,0)),0)</f>
        <v/>
      </c>
      <c r="CI38">
        <f>IFERROR(INDEX(ADJ!$A$1:$BZ$1000,MATCH(PAYROLL!D38,ADJ!A$1:A$500,0),MATCH(PAYROLL!CI$2,ADJ!$2:$2,0)),0)</f>
        <v/>
      </c>
      <c r="CJ38">
        <f>IFERROR(INDEX(ADJ!$A$1:$BZ$1000,MATCH(PAYROLL!D38,ADJ!A$1:A$500,0),MATCH(PAYROLL!CJ$2,ADJ!$2:$2,0)),0)</f>
        <v/>
      </c>
      <c r="CK38">
        <f>SUM(CF38:CJ38)</f>
        <v/>
      </c>
      <c r="CL38">
        <f>ROUND(SUM(CG38:CJ38),0)</f>
        <v/>
      </c>
      <c r="CM38">
        <f>IFERROR(INDEX(CSDA!D$1:D$500,MATCH($CM$2,CSDA!C$1:C$500,0))*INDEX(PIS!V$1:V$500,MATCH(D38,PIS!C$1:C$500))+INDEX(ADJ!$A$1:$BZ$1000,MATCH(PAYROLL!D38,ADJ!A$1:A$500,0),MATCH(PAYROLL!CM$2,ADJ!$2:$2,0)),0)</f>
        <v/>
      </c>
      <c r="CN38">
        <f>IFERROR(INDEX(ADJ!$A$1:$BZ$1000,MATCH(PAYROLL!D38,ADJ!A$1:A$500,0),MATCH(PAYROLL!CN$2,ADJ!$2:$2,0)),0)</f>
        <v/>
      </c>
      <c r="CO38">
        <f>IFERROR(INDEX(ADJ!$A$1:$BZ$1000,MATCH(PAYROLL!D38,ADJ!A$1:A$500,0),MATCH(PAYROLL!CO$2,ADJ!$2:$2,0)),0)</f>
        <v/>
      </c>
      <c r="CP38">
        <f>BO38-CK38-CH38-CL38-CM38-CN38-CO38-CB38</f>
        <v/>
      </c>
      <c r="CQ38">
        <f>IFERROR(IF(RIGHT(INDEX(PIS!O$1:O$500,MATCH(D38,PIS!C$1:C$500,0)),5)="Gross",MIN(U38+V38,VLOOKUP("R700",TSC!B:C,2,0)*VLOOKUP("R101",TSC!B:C,2,0))*(VLOOKUP("T711",TSC!B:C,2,0)+VLOOKUP("T712",TSC!B:C,2,0))%,MIN(T38+V38,VLOOKUP("R700",TSC!B:C,2,0)*VLOOKUP("R101",TSC!B:C,2,0))*(VLOOKUP("T711",TSC!B:C,2,0)+VLOOKUP("T712",TSC!B:C,2,0)+VLOOKUP("R701",TSC!B:C,2,0))%),0)</f>
        <v/>
      </c>
      <c r="CR38">
        <f>IFERROR(IF(RIGHT(INDEX(PIS!O$1:O$500,MATCH(D38,PIS!C$1:C$500,0)),5)="Gross",MIN(U38+V38,VLOOKUP("R700",TSC!B:C,2,0)*VLOOKUP("R101",TSC!B:C,2,0))*(VLOOKUP("T714",TSC!B:C,2,0))%,MIN(T38+V38,VLOOKUP("R700",TSC!B:C,2,0)*VLOOKUP("R101",TSC!B:C,2,0))*(VLOOKUP("T704",TSC!B:C,2,0)+VLOOKUP("T714",TSC!B:C,2,0))%),0)</f>
        <v/>
      </c>
      <c r="CS38">
        <f>IFERROR(IF(RIGHT(INDEX(PIS!O$1:O$500,MATCH(D38,PIS!C$1:C$500,0)),5)="Gross",MIN(U38+V38,VLOOKUP("R700",TSC!B:C,2,0)*VLOOKUP("R101",TSC!B:C,2,0))*VLOOKUP("T705",TSC!B:C,2,0)%,MIN(T38+V38,VLOOKUP("R700",TSC!B:C,2,0)*VLOOKUP("R101",TSC!B:C,2,0))*VLOOKUP("T705",TSC!B:C,2,0)%),0)</f>
        <v/>
      </c>
      <c r="CT38">
        <f>IFERROR(IF(RIGHT(INDEX(PIS!O$1:O$500,MATCH(D38,PIS!C$1:C$500,0)),5)="Gross",MIN(U38+V38,VLOOKUP("R700",TSC!B:C,2,0)*VLOOKUP("R101",TSC!B:C,2,0))*(VLOOKUP("T713",TSC!B:C,2,0))%,MIN(T38+V38,VLOOKUP("R700",TSC!B:C,2,0)*VLOOKUP("R101",TSC!B:C,2,0))*(VLOOKUP("T713",TSC!B:C,2,0))%),0)</f>
        <v/>
      </c>
      <c r="CU38">
        <f>IFERROR(INDEX(ADJ!$A$1:$BZ$1000,MATCH(PAYROLL!D38,ADJ!A$1:A$500,0),MATCH(PAYROLL!CU$2,ADJ!$2:$2,0)),0)</f>
        <v/>
      </c>
      <c r="CV38">
        <f>IFERROR(INDEX(ADJ!$A$1:$BZ$1000,MATCH(PAYROLL!D38,ADJ!A$1:A$500,0),MATCH(PAYROLL!CV$2,ADJ!$2:$2,0)),0)</f>
        <v/>
      </c>
      <c r="CW38">
        <f>SUM(CQ38:CV38)</f>
        <v/>
      </c>
      <c r="CX38">
        <f>ROUND(IF(CQ38&gt;0,T38+V38*VLOOKUP("R202",TSC!$B$1:$C$500,2,0),0),0)</f>
        <v/>
      </c>
      <c r="CY38">
        <f>IFERROR(INDEX(CSDA!D$1:D$500,MATCH($CY$2,CSDA!C$1:C$500,0)),0)</f>
        <v/>
      </c>
      <c r="CZ38">
        <f>ROUND(T38*0.7%,0)</f>
        <v/>
      </c>
      <c r="DA38">
        <f>ROUND(T38/12,0)</f>
        <v/>
      </c>
      <c r="DB38">
        <f ref="DB38" t="array">IFERROR(INDEX(CSDA!D$1:D$500,MATCH("Trích giữ"&amp;PAYROLL!DB$2,CSDA!A$1:A$500&amp;CSDA!C$1:C$500,0)),0)</f>
        <v/>
      </c>
      <c r="DC38">
        <f ref="DC38" t="array">IFERROR(INDEX(CSDA!D$1:D$500,MATCH("Trích giữ"&amp;PAYROLL!DC$2,CSDA!A$1:A$500&amp;CSDA!C$1:C$500,0)),0)</f>
        <v/>
      </c>
      <c r="DD38">
        <f ref="DD38" t="array">IFERROR(INDEX(CSDA!D$1:D$500,MATCH("Trích giữ"&amp;PAYROLL!DD$2,CSDA!A$1:A$500&amp;CSDA!C$1:C$500,0)),0)</f>
        <v/>
      </c>
      <c r="DE38">
        <f>IFERROR(INDEX(CSDA!D$1:D$500,MATCH(PAYROLL!DE$2,CSDA!C$1:C$500,0)),0)</f>
        <v/>
      </c>
      <c r="DF38">
        <f ref="DF38" t="array">IFERROR(INDEX(CSDA!D$1:D$500,MATCH("Trích giữ"&amp;PAYROLL!DF$2,CSDA!A$1:A$500&amp;CSDA!C$1:C$500,0)),0)</f>
        <v/>
      </c>
      <c r="DG38">
        <f>ROUND(T38/26,0)</f>
        <v/>
      </c>
      <c r="DH38">
        <f ref="DH38" t="array">IFERROR(INDEX(CSDA!D$1:D$500,MATCH("Trích giữ"&amp;PAYROLL!DH$2,CSDA!A$1:A$500&amp;CSDA!C$1:C$500,0)),0)</f>
        <v/>
      </c>
      <c r="DI38">
        <f>IF(U38=0,T38*21.5%-BK38,0)</f>
        <v/>
      </c>
      <c r="DK38">
        <f ref="DK38" t="array">IFERROR(INDEX(CSDA!D$1:D$500,MATCH("Trích giữ"&amp;PAYROLL!DK$2,CSDA!A$1:A$500&amp;CSDA!C$1:C$500,0)),0)</f>
        <v/>
      </c>
      <c r="DL38">
        <f>IFERROR(INDEX(CSDA!D$1:D$500,MATCH(PAYROLL!DL$2,CSDA!C$1:C$500,0))/12,0)</f>
        <v/>
      </c>
      <c r="DM38">
        <f>SUM(DA38:DL38)</f>
        <v/>
      </c>
      <c r="DN38">
        <f>IFERROR(INDEX(ADJ!$A$1:$BZ$1000,MATCH(PAYROLL!D38,ADJ!A$1:A$500,0),MATCH(PAYROLL!DN$2,ADJ!$2:$2,0)),0)</f>
        <v/>
      </c>
      <c r="DO38">
        <f>IFERROR(SUM(BO38,DM38:DN38,CW38:CZ38)-DT38,0)</f>
        <v/>
      </c>
      <c r="DP38">
        <f ref="DP38" t="array">SUM(BV38*IFERROR(INDEX(CSDA!D$1:D$500,MATCH(BV$2,CSDA!C$1:C$500,0)),0)%,CW38*IFERROR(INDEX(CSDA!D$1:D$500,MATCH(CW$2,CSDA!C$1:C$500,0)),0)%,CZ38*IFERROR(INDEX(CSDA!D$1:D$500,MATCH(CZ$2,CSDA!C$1:C$500,0)),0)%,DA38*IFERROR(INDEX(CSDA!D$1:D$500,MATCH(DA$2,CSDA!C$1:C$500,0)),0)%,DE38*IFERROR(INDEX(CSDA!D$1:D$500,MATCH("Phí dịch vụ"&amp;PAYROLL!DE$2,CSDA!A$1:A$500&amp;CSDA!C$1:C$500,0)),0)%,DB38*IFERROR(INDEX(CSDA!D$1:D$500,MATCH("Phí dịch vụ"&amp;PAYROLL!DB$2,CSDA!A$1:A$500&amp;CSDA!C$1:C$500,0)),0)%,DG38*IFERROR(INDEX(CSDA!D$1:D$500,MATCH("Phí dịch vụ"&amp;PAYROLL!DG$2,CSDA!A$1:A$500&amp;CSDA!C$1:C$500,0)),0)%,DI38*IFERROR(INDEX(CSDA!D$1:D$500,MATCH("Phí dịch vụ"&amp;PAYROLL!DI$2,CSDA!A$1:A$500&amp;CSDA!C$1:C$500,0)),0)%,BM38*IFERROR(INDEX(CSDA!D$1:D$500,MATCH(BM$2,CSDA!C$1:C$500,0)),0)%)-BM38*7%</f>
        <v/>
      </c>
      <c r="DQ38">
        <f>IFERROR(INDEX(ADJ!$A$1:$BZ$1000,MATCH(PAYROLL!D38,ADJ!A$1:A$500,0),MATCH(PAYROLL!DQ$2,ADJ!$2:$2,0)),0)</f>
        <v/>
      </c>
      <c r="DR38">
        <f>IFERROR(INDEX(ADJ!$A$1:$BZ$1000,MATCH(PAYROLL!D38,ADJ!A$1:A$500,0),MATCH(PAYROLL!DR$2,ADJ!$2:$2,0)),0)</f>
        <v/>
      </c>
      <c r="DS38">
        <f>SUM(DP38:DR38)</f>
        <v/>
      </c>
      <c r="DT38">
        <f>EK38</f>
        <v/>
      </c>
      <c r="DU38">
        <f>SUM(DO38:DR38)</f>
        <v/>
      </c>
      <c r="DV38">
        <f>ROUND(DU38*0.1,0)</f>
        <v/>
      </c>
      <c r="DW38">
        <f>DU38+DV38</f>
        <v/>
      </c>
      <c r="DZ38">
        <f>IFERROR(INDEX(ADJ!$A$1:$BZ$1000,MATCH(PAYROLL!$D38,ADJ!A$1:A$500,0),MATCH(PAYROLL!DZ$2,ADJ!$2:$2,0)),0)</f>
        <v/>
      </c>
      <c r="EA38">
        <f>IFERROR(INDEX(ADJ!$A$1:$BZ$1000,MATCH(PAYROLL!$D38,ADJ!A$1:A$500,0),MATCH(PAYROLL!EA$2,ADJ!$2:$2,0)),0)</f>
        <v/>
      </c>
      <c r="EB38">
        <f>IFERROR(INDEX(ADJ!$A$1:$BZ$1000,MATCH(PAYROLL!$D38,ADJ!A$1:A$500,0),MATCH(PAYROLL!EB$2,ADJ!$2:$2,0)),0)</f>
        <v/>
      </c>
      <c r="EC38">
        <f>IFERROR(INDEX(ADJ!$A$1:$BZ$1000,MATCH(PAYROLL!$D38,ADJ!A$1:A$500,0),MATCH(PAYROLL!EC$2,ADJ!$2:$2,0)),0)</f>
        <v/>
      </c>
      <c r="ED38">
        <f>IFERROR(INDEX(ADJ!$A$1:$BZ$1000,MATCH(PAYROLL!$D38,ADJ!A$1:A$500,0),MATCH(PAYROLL!ED$2,ADJ!$2:$2,0)),0)</f>
        <v/>
      </c>
      <c r="EE38">
        <f>IFERROR(INDEX(ADJ!$A$1:$BZ$1000,MATCH(PAYROLL!$D38,ADJ!A$1:A$500,0),MATCH(PAYROLL!EE$2,ADJ!$2:$2,0)),0)</f>
        <v/>
      </c>
      <c r="EF38">
        <f>IFERROR(INDEX(ADJ!$A$1:$BZ$1000,MATCH(PAYROLL!$D38,ADJ!A$1:A$500,0),MATCH(PAYROLL!EF$2,ADJ!$2:$2,0)),0)</f>
        <v/>
      </c>
      <c r="EG38">
        <f>IFERROR(INDEX(ADJ!$A$1:$BZ$1000,MATCH(PAYROLL!$D38,ADJ!A$1:A$500,0),MATCH(PAYROLL!EG$2,ADJ!$2:$2,0)),0)</f>
        <v/>
      </c>
      <c r="EH38">
        <f>IFERROR(INDEX(ADJ!$A$1:$BZ$1000,MATCH(PAYROLL!$D38,ADJ!A$1:A$500,0),MATCH(PAYROLL!EH$2,ADJ!$2:$2,0)),0)</f>
        <v/>
      </c>
      <c r="EI38">
        <f>IFERROR(INDEX(ADJ!$A$1:$BZ$1000,MATCH(PAYROLL!D38,ADJ!A$1:A$500,0),MATCH(PAYROLL!EI$2,ADJ!$2:$2,0)),0)</f>
        <v/>
      </c>
      <c r="EJ38">
        <f>IFERROR(INDEX(ADJ!$A$1:$BZ$1000,MATCH(PAYROLL!$D38,ADJ!A$1:A$500,0),MATCH(PAYROLL!EJ$2,ADJ!$2:$2,0)),0)</f>
        <v/>
      </c>
      <c r="EK38">
        <f>SUM(DZ38:EJ38)</f>
        <v/>
      </c>
    </row>
    <row r="39">
      <c r="A39" t="n">
        <v>37</v>
      </c>
      <c r="B39" t="inlineStr">
        <is>
          <t>Phạm Thành Hiếu</t>
        </is>
      </c>
      <c r="D39" t="inlineStr">
        <is>
          <t>157169-01</t>
        </is>
      </c>
      <c r="S39">
        <f>IFERROR(INDEX(PIS!$A$1:$BZ$1000,MATCH($D39,PIS!C$1:C$500,0),MATCH("Lương CB tháng trước",PIS!$1:$1,0)),0)</f>
        <v/>
      </c>
      <c r="T39">
        <f>IFERROR(INDEX(PIS!$A$1:$BZ$1000,MATCH($D39,PIS!C$1:C$500,0),MATCH("Lương CB hiện tại",PIS!$1:$1,0)),0)</f>
        <v/>
      </c>
      <c r="U39">
        <f>IFERROR(INDEX(PIS!$A$1:$BZ$1000,MATCH($D39,PIS!C$1:C$500,0),MATCH("Lương đóng BHBB",PIS!$1:$1,0)),0)</f>
        <v/>
      </c>
      <c r="V39">
        <f>IFERROR(INDEX(PIS!$A$1:$BZ$1000,MATCH($D39,PIS!C$1:C$500,0),MATCH(V$2,PIS!$2:$2,0)),0)</f>
        <v/>
      </c>
      <c r="W39">
        <f>IFERROR(INDEX(PIS!$A$1:$BZ$1000,MATCH($D39,PIS!C$1:C$500,0),MATCH(W$2,PIS!$2:$2,0)),0)</f>
        <v/>
      </c>
      <c r="X39">
        <f>IFERROR(INDEX(PIS!$A$1:$BZ$1000,MATCH($D39,PIS!C$1:C$500,0),MATCH(X$2,PIS!$2:$2,0)),0)</f>
        <v/>
      </c>
      <c r="Y39">
        <f>IFERROR(INDEX(PIS!$A$1:$BZ$1000,MATCH($D39,PIS!C$1:C$500,0),MATCH(Y$2,PIS!$2:$2,0)),0)</f>
        <v/>
      </c>
      <c r="Z39">
        <f>IFERROR(INDEX(PIS!$A$1:$BZ$1000,MATCH($D39,PIS!C$1:C$500,0),MATCH(Z$2,PIS!$2:$2,0)),0)</f>
        <v/>
      </c>
      <c r="AA39">
        <f>IFERROR(INDEX(PIS!$A$1:$BZ$1000,MATCH($D39,PIS!C$1:C$500,0),MATCH(AA$2,PIS!$2:$2,0)),0)</f>
        <v/>
      </c>
      <c r="AB39">
        <f>IFERROR(INDEX(PIS!$A$1:$BZ$1000,MATCH($D39,PIS!C$1:C$500,0),MATCH(AB$2,PIS!$2:$2,0)),0)</f>
        <v/>
      </c>
      <c r="AC39">
        <f>SUM(V39:AB39)</f>
        <v/>
      </c>
      <c r="AD39">
        <f>IFERROR(INDEX(TIMESHEET!$A$1:$AI$5000,MATCH($D39,TIMESHEET!A$1:A$500,0),MATCH("T100",TIMESHEET!$2:$2,0)),0)</f>
        <v/>
      </c>
      <c r="AE39">
        <f>IFERROR(INDEX(TIMESHEET!$A$1:$AI$5000,MATCH($D39,TIMESHEET!A$1:A$500,0),MATCH("T202",TIMESHEET!$2:$2,0)),0)</f>
        <v/>
      </c>
      <c r="AF39">
        <f>IFERROR(INDEX(TIMESHEET!$A$1:$AI$5000,MATCH($D39,TIMESHEET!A$1:A$500,0),MATCH("T302",TIMESHEET!$2:$2,0)),0)</f>
        <v/>
      </c>
      <c r="AG39">
        <f>IFERROR(INDEX(TIMESHEET!$A$1:$AI$5000,MATCH($D39,TIMESHEET!A$1:A$500,0),MATCH("T406",TIMESHEET!$2:$2,0)),0)</f>
        <v/>
      </c>
      <c r="AH39">
        <f>IF(SUM(AE39:AG39)&gt;=26,26,SUM(AE39:AG39))</f>
        <v/>
      </c>
      <c r="AI39">
        <f>IFERROR(INDEX(TIMESHEET!$A$1:$AI$5000,MATCH($D39,TIMESHEET!A$1:A$500,0),MATCH("T701",TIMESHEET!$2:$2,0)),0)</f>
        <v/>
      </c>
      <c r="AJ39">
        <f>IFERROR(IF(INDEX(PIS!N$1:N$500,MATCH(D39,PIS!C$1:C$500,0))="LC4",(T39*0.85)/AD39*AH39,ROUND(T39/AD39*AH39,0)),0)</f>
        <v/>
      </c>
      <c r="AK39">
        <f>IFERROR(INDEX(ADJ!$A$1:$BZ$1000,MATCH(PAYROLL!D39,ADJ!A$1:A$500,0),MATCH(PAYROLL!AK$2,ADJ!$2:$2,0)),0)</f>
        <v/>
      </c>
      <c r="AL39">
        <f>SUM(AJ39:AK39)</f>
        <v/>
      </c>
      <c r="AM39">
        <f>IF(AH39&gt;13,V39,ROUND(V39/AD39*AH39,0))</f>
        <v/>
      </c>
      <c r="AN39">
        <f>IF(AD39=0,0,ROUND(W39/AD39*AI39,0))</f>
        <v/>
      </c>
      <c r="AO39">
        <f>ROUND(X39*AH39,0)</f>
        <v/>
      </c>
      <c r="AP39">
        <f>IF(AD39=0,0,ROUND(Y39/AD39*AH39,0))</f>
        <v/>
      </c>
      <c r="AQ39">
        <f>IFERROR(IF((AE39+AF39+AG39)&gt;13,Z39,ROUND(Z39/AD39*AH39,0)),0)</f>
        <v/>
      </c>
      <c r="AR39">
        <f>IF(AD39=0,0,ROUND(AA68/AD39*AH39,0))</f>
        <v/>
      </c>
      <c r="AS39">
        <f>IFERROR(IF((AE39+AF39+AG39)&gt;13,AB39,ROUND(AB39/AD39*AH39,0)),0)</f>
        <v/>
      </c>
      <c r="AT39">
        <f>IFERROR(INDEX(ADJ!$A$1:$BZ$1000,MATCH(PAYROLL!D39,ADJ!A$1:A$500,0),MATCH(PAYROLL!AT$2,ADJ!$2:$2,0)),0)</f>
        <v/>
      </c>
      <c r="AU39">
        <f>ROUND(SUM(AM39:AT39),0)</f>
        <v/>
      </c>
      <c r="AV39">
        <f>IFERROR(INDEX(TIMESHEET!$A$1:$AI$5000,MATCH(PAYROLL!D39,TIMESHEET!A$1:A$500,0),MATCH("T620",TIMESHEET!$2:$2,0)),0)</f>
        <v/>
      </c>
      <c r="AW39">
        <f>IFERROR(INDEX(TIMESHEET!$A$1:$AI$5000,MATCH(PAYROLL!D39,TIMESHEET!A$1:A$500,0),MATCH("T601",TIMESHEET!$2:$2,0)),0)</f>
        <v/>
      </c>
      <c r="AX39">
        <f>IFERROR(INDEX(TIMESHEET!$A$1:$AI$5000,MATCH(PAYROLL!D39,TIMESHEET!A$1:A$500,0),MATCH("T602",TIMESHEET!$2:$2,0)),0)</f>
        <v/>
      </c>
      <c r="AY39">
        <f>IFERROR(INDEX(TIMESHEET!$A$1:$AI$5000,MATCH(PAYROLL!D39,TIMESHEET!A$1:A$500,0),MATCH("T603",TIMESHEET!$2:$2,0)),0)</f>
        <v/>
      </c>
      <c r="AZ39">
        <f>IFERROR(INDEX(TIMESHEET!$A$1:$AI$5000,MATCH(PAYROLL!D39,TIMESHEET!A$1:A$500,0),MATCH("T611",TIMESHEET!$2:$2,0)),0)</f>
        <v/>
      </c>
      <c r="BA39">
        <f>IFERROR(INDEX(TIMESHEET!$A$1:$AI$5000,MATCH(PAYROLL!D39,TIMESHEET!A$1:A$500,0),MATCH("T612",TIMESHEET!$2:$2,0)),0)</f>
        <v/>
      </c>
      <c r="BB39">
        <f>IFERROR(INDEX(TIMESHEET!$A$1:$AI$5000,MATCH(PAYROLL!D39,TIMESHEET!A$1:A$500,0),MATCH("T613",TIMESHEET!$2:$2,0)),0)</f>
        <v/>
      </c>
      <c r="BC39">
        <f>IFERROR(INDEX(TIMESHEET!$A$1:$AI$5000,MATCH(PAYROLL!D39,TIMESHEET!A$1:A$500,0),MATCH("T500",TIMESHEET!$2:$2,0)),0)</f>
        <v/>
      </c>
      <c r="BD39">
        <f>IFERROR((T39+V39)/AD39/8*(AV39+AW39*1.5+AX39*2+AY39*3+AZ39*2.1+BA39*2.7+BB39*3.9+BC39*0.3),0)</f>
        <v/>
      </c>
      <c r="BE39">
        <f>IFERROR(INDEX(ADJ!$A$1:$BZ$1000,MATCH(PAYROLL!$D39,ADJ!A$1:A$500,0),MATCH(PAYROLL!BE$2,ADJ!$2:$2,0)),0)</f>
        <v/>
      </c>
      <c r="BF39">
        <f>IFERROR(INDEX(ADJ!$A$1:$BZ$1000,MATCH(PAYROLL!D39,ADJ!A$1:A$500,0),MATCH(PAYROLL!BF$2,ADJ!$2:$2,0)),0)</f>
        <v/>
      </c>
      <c r="BG39">
        <f>IFERROR(INDEX(ADJ!$A$1:$BZ$1000,MATCH(PAYROLL!D39,ADJ!A$1:A$500,0),MATCH(PAYROLL!BG$2,ADJ!$2:$2,0)),0)</f>
        <v/>
      </c>
      <c r="BH39">
        <f>IFERROR(INDEX(ADJ!$A$1:$BZ$1000,MATCH(PAYROLL!D39,ADJ!A$1:A$500,0),MATCH(PAYROLL!BH$2,ADJ!$2:$2,0)),0)</f>
        <v/>
      </c>
      <c r="BI39">
        <f>IFERROR(INDEX(ADJ!$A$1:$BZ$1000,MATCH(PAYROLL!D39,ADJ!A$1:A$500,0),MATCH(PAYROLL!BI$2,ADJ!$2:$2,0)),0)</f>
        <v/>
      </c>
      <c r="BJ39">
        <f>SUM(BE39:BI39)</f>
        <v/>
      </c>
      <c r="BK39">
        <f>IFERROR(IF(INDEX(PIS!N$1:N$500,MATCH(D39,PIS!C$1:C$500))="LC12",(T39*21.5%)/AD39*AH39,0),0)</f>
        <v/>
      </c>
      <c r="BL39">
        <f>IFERROR(INDEX(ADJ!$A$1:$BZ$1000,MATCH(PAYROLL!D39,ADJ!A$1:A$500,0),MATCH(PAYROLL!BL$2,ADJ!$2:$2,0)),0)</f>
        <v/>
      </c>
      <c r="BM39">
        <f>IFERROR(INDEX(ADJ!$A$1:$BZ$1000,MATCH(PAYROLL!D39,ADJ!A$1:A$500,0),MATCH(PAYROLL!BM$2,ADJ!$2:$2,0)),0)</f>
        <v/>
      </c>
      <c r="BN39">
        <f>IFERROR(INDEX(ADJ!$A$1:$BZ$1000,MATCH(PAYROLL!D39,ADJ!A$1:A$500,0),MATCH(PAYROLL!BN$2,ADJ!$2:$2,0)),0)</f>
        <v/>
      </c>
      <c r="BO39">
        <f>SUM(AL39,AU39,BD39,BJ39,BK39:BN39)</f>
        <v/>
      </c>
      <c r="BP39">
        <f>BN39+AP39</f>
        <v/>
      </c>
      <c r="BQ39">
        <f>IFERROR(ROUND(IF(LEFT(INDEX(PIS!O$1:O$500,MATCH(D39,PIS!C$1:C$500)),1)="D",T39/8*(BC39*0.3),IF(LEFT(INDEX(PIS!O$1:O$500,MATCH(D39,PIS!C$1:C$500)),1)="H",T39*($BC39*0.3),T39/$AD39/8*($BC39*0.3))),0),0)</f>
        <v/>
      </c>
      <c r="BR39">
        <f>IF(AO39&lt;1,0,MIN(AO39,730000))</f>
        <v/>
      </c>
      <c r="BS39">
        <f>IFERROR(ROUND((BD39-SUM(AV39:BB39)*T39/AD39/8),0)-BQ39,0)</f>
        <v/>
      </c>
      <c r="BT39">
        <f>AN39</f>
        <v/>
      </c>
      <c r="BU39">
        <f>SUM(BP39:BT39)</f>
        <v/>
      </c>
      <c r="BV39">
        <f>BO39-BU39</f>
        <v/>
      </c>
      <c r="BW39">
        <f>IFERROR(IF(RIGHT(INDEX(PIS!O$1:O$500,MATCH(D39,PIS!C$1:C$500)),5)="Gross",MIN(U39+V39,VLOOKUP("R700",TSC!B:C,2,0)*VLOOKUP("R101",TSC!B:C,2,0))*VLOOKUP("R701",TSC!B:C,2,0)%,0),0)</f>
        <v/>
      </c>
      <c r="BX39">
        <f>IFERROR(IF(RIGHT(INDEX(PIS!O$1:O$500,MATCH(D39,PIS!C$1:C$500)),5)="Gross",MIN(U39+V39,VLOOKUP("R700",TSC!B:C,2,0)*VLOOKUP("R101",TSC!B:C,2,0))*VLOOKUP("T704",TSC!B:C,2,0)%,0),0)</f>
        <v/>
      </c>
      <c r="BY39">
        <f>IFERROR(IF(RIGHT(INDEX(PIS!O$1:O$500,MATCH(D39,PIS!C$1:C$500)),5)="Gross",MIN(U39+V39,VLOOKUP("R700",TSC!B:C,2,0)*VLOOKUP("1",TSC!F:G,2,0))*VLOOKUP("T705",TSC!B:C,2,0)%,0),0)</f>
        <v/>
      </c>
      <c r="BZ39">
        <f>IFERROR(INDEX(ADJ!$A$1:$BZ$1000,MATCH(PAYROLL!D39,ADJ!A$1:A$500,0),MATCH(PAYROLL!BZ$2,ADJ!$2:$2,0)),0)</f>
        <v/>
      </c>
      <c r="CA39">
        <f>IFERROR(INDEX(ADJ!$A$1:$BZ$1000,MATCH(PAYROLL!D39,ADJ!A$1:A$500,0),MATCH(PAYROLL!CA$2,ADJ!$2:$2,0)),0)</f>
        <v/>
      </c>
      <c r="CB39">
        <f>SUM(BW39:CA39)</f>
        <v/>
      </c>
      <c r="CC39">
        <f>IFERROR(INDEX(PIS!$A$1:$BZ$1000,MATCH(PAYROLL!D39,PIS!C$1:C$500,0),MATCH(PAYROLL!CC$1,PIS!$1:$1,0)),0)</f>
        <v/>
      </c>
      <c r="CD39">
        <f>IFERROR(IF(OR(INDEX(PIS!P$1:P$500,MATCH(D39,PIS!C$1:C$500,0))="LT2",INDEX(PIS!P$1:P$500,MATCH(D39,PIS!C$1:C$500,0))="P10"),0,SUM(CB39,CC39*VLOOKUP("R601",TSC!B:C,2,0),VLOOKUP("R602",TSC!B:C,2,0))),0)</f>
        <v/>
      </c>
      <c r="CE39">
        <f>MAX(BV39-CD39,0)</f>
        <v/>
      </c>
      <c r="CF39">
        <f>IFERROR(IF(OR(RIGHT(INDEX(PIS!P$1:P$500,MATCH(D39,PIS!C$1:C$500)),5)="P10",RIGHT(INDEX(PIS!P$1:P$500,MATCH(D39,PIS!C$1:C$500)),5)="CK"),0,IF(CE39&lt;=5000000,CE39*5%,IF(CE39&lt;=10000000,CE39*10%-250000,IF(CE39&lt;=18000000,CE39*15%-750000,IF(CE39&lt;=32000000,CE39*20%-1650000,IF(CE39&lt;=52000000,CE39*25%-3250000,IF(CE39&lt;=80000000,BG39*30%-5850000,CE39*35%-9850000))))))),0)</f>
        <v/>
      </c>
      <c r="CG39">
        <f>IFERROR(IF(OR(INDEX(PIS!P$1:P$500,MATCH(D39,PIS!C$1:C$500))="LT",INDEX(PIS!P$1:P$500,MATCH(D39,PIS!C$1:C$500))="CK"),0,IF(CE39&lt;2000000,0,CE39*10%)),0)</f>
        <v/>
      </c>
      <c r="CH39">
        <f>IFERROR(INDEX(ADJ!$A$1:$BZ$1000,MATCH(PAYROLL!D39,ADJ!A$1:A$500,0),MATCH(PAYROLL!CH$2,ADJ!$2:$2,0)),0)</f>
        <v/>
      </c>
      <c r="CI39">
        <f>IFERROR(INDEX(ADJ!$A$1:$BZ$1000,MATCH(PAYROLL!D39,ADJ!A$1:A$500,0),MATCH(PAYROLL!CI$2,ADJ!$2:$2,0)),0)</f>
        <v/>
      </c>
      <c r="CJ39">
        <f>IFERROR(INDEX(ADJ!$A$1:$BZ$1000,MATCH(PAYROLL!D39,ADJ!A$1:A$500,0),MATCH(PAYROLL!CJ$2,ADJ!$2:$2,0)),0)</f>
        <v/>
      </c>
      <c r="CK39">
        <f>SUM(CF39:CJ39)</f>
        <v/>
      </c>
      <c r="CL39">
        <f>ROUND(SUM(CG39:CJ39),0)</f>
        <v/>
      </c>
      <c r="CM39">
        <f>IFERROR(INDEX(CSDA!D$1:D$500,MATCH($CM$2,CSDA!C$1:C$500,0))*INDEX(PIS!V$1:V$500,MATCH(D39,PIS!C$1:C$500))+INDEX(ADJ!$A$1:$BZ$1000,MATCH(PAYROLL!D39,ADJ!A$1:A$500,0),MATCH(PAYROLL!CM$2,ADJ!$2:$2,0)),0)</f>
        <v/>
      </c>
      <c r="CN39">
        <f>IFERROR(INDEX(ADJ!$A$1:$BZ$1000,MATCH(PAYROLL!D39,ADJ!A$1:A$500,0),MATCH(PAYROLL!CN$2,ADJ!$2:$2,0)),0)</f>
        <v/>
      </c>
      <c r="CO39">
        <f>IFERROR(INDEX(ADJ!$A$1:$BZ$1000,MATCH(PAYROLL!D39,ADJ!A$1:A$500,0),MATCH(PAYROLL!CO$2,ADJ!$2:$2,0)),0)</f>
        <v/>
      </c>
      <c r="CP39">
        <f>BO39-CK39-CH39-CL39-CM39-CN39-CO39-CB39</f>
        <v/>
      </c>
      <c r="CQ39">
        <f>IFERROR(IF(RIGHT(INDEX(PIS!O$1:O$500,MATCH(D39,PIS!C$1:C$500,0)),5)="Gross",MIN(U39+V39,VLOOKUP("R700",TSC!B:C,2,0)*VLOOKUP("R101",TSC!B:C,2,0))*(VLOOKUP("T711",TSC!B:C,2,0)+VLOOKUP("T712",TSC!B:C,2,0))%,MIN(T39+V39,VLOOKUP("R700",TSC!B:C,2,0)*VLOOKUP("R101",TSC!B:C,2,0))*(VLOOKUP("T711",TSC!B:C,2,0)+VLOOKUP("T712",TSC!B:C,2,0)+VLOOKUP("R701",TSC!B:C,2,0))%),0)</f>
        <v/>
      </c>
      <c r="CR39">
        <f>IFERROR(IF(RIGHT(INDEX(PIS!O$1:O$500,MATCH(D39,PIS!C$1:C$500,0)),5)="Gross",MIN(U39+V39,VLOOKUP("R700",TSC!B:C,2,0)*VLOOKUP("R101",TSC!B:C,2,0))*(VLOOKUP("T714",TSC!B:C,2,0))%,MIN(T39+V39,VLOOKUP("R700",TSC!B:C,2,0)*VLOOKUP("R101",TSC!B:C,2,0))*(VLOOKUP("T704",TSC!B:C,2,0)+VLOOKUP("T714",TSC!B:C,2,0))%),0)</f>
        <v/>
      </c>
      <c r="CS39">
        <f>IFERROR(IF(RIGHT(INDEX(PIS!O$1:O$500,MATCH(D39,PIS!C$1:C$500,0)),5)="Gross",MIN(U39+V39,VLOOKUP("R700",TSC!B:C,2,0)*VLOOKUP("R101",TSC!B:C,2,0))*VLOOKUP("T705",TSC!B:C,2,0)%,MIN(T39+V39,VLOOKUP("R700",TSC!B:C,2,0)*VLOOKUP("R101",TSC!B:C,2,0))*VLOOKUP("T705",TSC!B:C,2,0)%),0)</f>
        <v/>
      </c>
      <c r="CT39">
        <f>IFERROR(IF(RIGHT(INDEX(PIS!O$1:O$500,MATCH(D39,PIS!C$1:C$500,0)),5)="Gross",MIN(U39+V39,VLOOKUP("R700",TSC!B:C,2,0)*VLOOKUP("R101",TSC!B:C,2,0))*(VLOOKUP("T713",TSC!B:C,2,0))%,MIN(T39+V39,VLOOKUP("R700",TSC!B:C,2,0)*VLOOKUP("R101",TSC!B:C,2,0))*(VLOOKUP("T713",TSC!B:C,2,0))%),0)</f>
        <v/>
      </c>
      <c r="CU39">
        <f>IFERROR(INDEX(ADJ!$A$1:$BZ$1000,MATCH(PAYROLL!D39,ADJ!A$1:A$500,0),MATCH(PAYROLL!CU$2,ADJ!$2:$2,0)),0)</f>
        <v/>
      </c>
      <c r="CV39">
        <f>IFERROR(INDEX(ADJ!$A$1:$BZ$1000,MATCH(PAYROLL!D39,ADJ!A$1:A$500,0),MATCH(PAYROLL!CV$2,ADJ!$2:$2,0)),0)</f>
        <v/>
      </c>
      <c r="CW39">
        <f>SUM(CQ39:CV39)</f>
        <v/>
      </c>
      <c r="CX39">
        <f>ROUND(IF(CQ39&gt;0,T39+V39*VLOOKUP("R202",TSC!$B$1:$C$500,2,0),0),0)</f>
        <v/>
      </c>
      <c r="CY39">
        <f>IFERROR(INDEX(CSDA!D$1:D$500,MATCH($CY$2,CSDA!C$1:C$500,0)),0)</f>
        <v/>
      </c>
      <c r="CZ39">
        <f>ROUND(T39*0.7%,0)</f>
        <v/>
      </c>
      <c r="DA39">
        <f>ROUND(T39/12,0)</f>
        <v/>
      </c>
      <c r="DB39">
        <f ref="DB39" t="array">IFERROR(INDEX(CSDA!D$1:D$500,MATCH("Trích giữ"&amp;PAYROLL!DB$2,CSDA!A$1:A$500&amp;CSDA!C$1:C$500,0)),0)</f>
        <v/>
      </c>
      <c r="DC39">
        <f ref="DC39" t="array">IFERROR(INDEX(CSDA!D$1:D$500,MATCH("Trích giữ"&amp;PAYROLL!DC$2,CSDA!A$1:A$500&amp;CSDA!C$1:C$500,0)),0)</f>
        <v/>
      </c>
      <c r="DD39">
        <f ref="DD39" t="array">IFERROR(INDEX(CSDA!D$1:D$500,MATCH("Trích giữ"&amp;PAYROLL!DD$2,CSDA!A$1:A$500&amp;CSDA!C$1:C$500,0)),0)</f>
        <v/>
      </c>
      <c r="DE39">
        <f>IFERROR(INDEX(CSDA!D$1:D$500,MATCH(PAYROLL!DE$2,CSDA!C$1:C$500,0)),0)</f>
        <v/>
      </c>
      <c r="DF39">
        <f ref="DF39" t="array">IFERROR(INDEX(CSDA!D$1:D$500,MATCH("Trích giữ"&amp;PAYROLL!DF$2,CSDA!A$1:A$500&amp;CSDA!C$1:C$500,0)),0)</f>
        <v/>
      </c>
      <c r="DG39">
        <f>ROUND(T39/26,0)</f>
        <v/>
      </c>
      <c r="DH39">
        <f ref="DH39" t="array">IFERROR(INDEX(CSDA!D$1:D$500,MATCH("Trích giữ"&amp;PAYROLL!DH$2,CSDA!A$1:A$500&amp;CSDA!C$1:C$500,0)),0)</f>
        <v/>
      </c>
      <c r="DI39">
        <f>IF(U39=0,T39*21.5%-BK39,0)</f>
        <v/>
      </c>
      <c r="DK39">
        <f ref="DK39" t="array">IFERROR(INDEX(CSDA!D$1:D$500,MATCH("Trích giữ"&amp;PAYROLL!DK$2,CSDA!A$1:A$500&amp;CSDA!C$1:C$500,0)),0)</f>
        <v/>
      </c>
      <c r="DL39">
        <f>IFERROR(INDEX(CSDA!D$1:D$500,MATCH(PAYROLL!DL$2,CSDA!C$1:C$500,0))/12,0)</f>
        <v/>
      </c>
      <c r="DM39">
        <f>SUM(DA39:DL39)</f>
        <v/>
      </c>
      <c r="DN39">
        <f>IFERROR(INDEX(ADJ!$A$1:$BZ$1000,MATCH(PAYROLL!D39,ADJ!A$1:A$500,0),MATCH(PAYROLL!DN$2,ADJ!$2:$2,0)),0)</f>
        <v/>
      </c>
      <c r="DO39">
        <f>IFERROR(SUM(BO39,DM39:DN39,CW39:CZ39)-DT39,0)</f>
        <v/>
      </c>
      <c r="DP39">
        <f ref="DP39" t="array">SUM(BV39*IFERROR(INDEX(CSDA!D$1:D$500,MATCH(BV$2,CSDA!C$1:C$500,0)),0)%,CW39*IFERROR(INDEX(CSDA!D$1:D$500,MATCH(CW$2,CSDA!C$1:C$500,0)),0)%,CZ39*IFERROR(INDEX(CSDA!D$1:D$500,MATCH(CZ$2,CSDA!C$1:C$500,0)),0)%,DA39*IFERROR(INDEX(CSDA!D$1:D$500,MATCH(DA$2,CSDA!C$1:C$500,0)),0)%,DE39*IFERROR(INDEX(CSDA!D$1:D$500,MATCH("Phí dịch vụ"&amp;PAYROLL!DE$2,CSDA!A$1:A$500&amp;CSDA!C$1:C$500,0)),0)%,DB39*IFERROR(INDEX(CSDA!D$1:D$500,MATCH("Phí dịch vụ"&amp;PAYROLL!DB$2,CSDA!A$1:A$500&amp;CSDA!C$1:C$500,0)),0)%,DG39*IFERROR(INDEX(CSDA!D$1:D$500,MATCH("Phí dịch vụ"&amp;PAYROLL!DG$2,CSDA!A$1:A$500&amp;CSDA!C$1:C$500,0)),0)%,DI39*IFERROR(INDEX(CSDA!D$1:D$500,MATCH("Phí dịch vụ"&amp;PAYROLL!DI$2,CSDA!A$1:A$500&amp;CSDA!C$1:C$500,0)),0)%,BM39*IFERROR(INDEX(CSDA!D$1:D$500,MATCH(BM$2,CSDA!C$1:C$500,0)),0)%)-BM39*7%</f>
        <v/>
      </c>
      <c r="DQ39">
        <f>IFERROR(INDEX(ADJ!$A$1:$BZ$1000,MATCH(PAYROLL!D39,ADJ!A$1:A$500,0),MATCH(PAYROLL!DQ$2,ADJ!$2:$2,0)),0)</f>
        <v/>
      </c>
      <c r="DR39">
        <f>IFERROR(INDEX(ADJ!$A$1:$BZ$1000,MATCH(PAYROLL!D39,ADJ!A$1:A$500,0),MATCH(PAYROLL!DR$2,ADJ!$2:$2,0)),0)</f>
        <v/>
      </c>
      <c r="DS39">
        <f>SUM(DP39:DR39)</f>
        <v/>
      </c>
      <c r="DT39">
        <f>EK39</f>
        <v/>
      </c>
      <c r="DU39">
        <f>SUM(DO39:DR39)</f>
        <v/>
      </c>
      <c r="DV39">
        <f>ROUND(DU39*0.1,0)</f>
        <v/>
      </c>
      <c r="DW39">
        <f>DU39+DV39</f>
        <v/>
      </c>
      <c r="DZ39">
        <f>IFERROR(INDEX(ADJ!$A$1:$BZ$1000,MATCH(PAYROLL!$D39,ADJ!A$1:A$500,0),MATCH(PAYROLL!DZ$2,ADJ!$2:$2,0)),0)</f>
        <v/>
      </c>
      <c r="EA39">
        <f>IFERROR(INDEX(ADJ!$A$1:$BZ$1000,MATCH(PAYROLL!$D39,ADJ!A$1:A$500,0),MATCH(PAYROLL!EA$2,ADJ!$2:$2,0)),0)</f>
        <v/>
      </c>
      <c r="EB39">
        <f>IFERROR(INDEX(ADJ!$A$1:$BZ$1000,MATCH(PAYROLL!$D39,ADJ!A$1:A$500,0),MATCH(PAYROLL!EB$2,ADJ!$2:$2,0)),0)</f>
        <v/>
      </c>
      <c r="EC39">
        <f>IFERROR(INDEX(ADJ!$A$1:$BZ$1000,MATCH(PAYROLL!$D39,ADJ!A$1:A$500,0),MATCH(PAYROLL!EC$2,ADJ!$2:$2,0)),0)</f>
        <v/>
      </c>
      <c r="ED39">
        <f>IFERROR(INDEX(ADJ!$A$1:$BZ$1000,MATCH(PAYROLL!$D39,ADJ!A$1:A$500,0),MATCH(PAYROLL!ED$2,ADJ!$2:$2,0)),0)</f>
        <v/>
      </c>
      <c r="EE39">
        <f>IFERROR(INDEX(ADJ!$A$1:$BZ$1000,MATCH(PAYROLL!$D39,ADJ!A$1:A$500,0),MATCH(PAYROLL!EE$2,ADJ!$2:$2,0)),0)</f>
        <v/>
      </c>
      <c r="EF39">
        <f>IFERROR(INDEX(ADJ!$A$1:$BZ$1000,MATCH(PAYROLL!$D39,ADJ!A$1:A$500,0),MATCH(PAYROLL!EF$2,ADJ!$2:$2,0)),0)</f>
        <v/>
      </c>
      <c r="EG39">
        <f>IFERROR(INDEX(ADJ!$A$1:$BZ$1000,MATCH(PAYROLL!$D39,ADJ!A$1:A$500,0),MATCH(PAYROLL!EG$2,ADJ!$2:$2,0)),0)</f>
        <v/>
      </c>
      <c r="EH39">
        <f>IFERROR(INDEX(ADJ!$A$1:$BZ$1000,MATCH(PAYROLL!$D39,ADJ!A$1:A$500,0),MATCH(PAYROLL!EH$2,ADJ!$2:$2,0)),0)</f>
        <v/>
      </c>
      <c r="EI39">
        <f>IFERROR(INDEX(ADJ!$A$1:$BZ$1000,MATCH(PAYROLL!D39,ADJ!A$1:A$500,0),MATCH(PAYROLL!EI$2,ADJ!$2:$2,0)),0)</f>
        <v/>
      </c>
      <c r="EJ39">
        <f>IFERROR(INDEX(ADJ!$A$1:$BZ$1000,MATCH(PAYROLL!$D39,ADJ!A$1:A$500,0),MATCH(PAYROLL!EJ$2,ADJ!$2:$2,0)),0)</f>
        <v/>
      </c>
      <c r="EK39">
        <f>SUM(DZ39:EJ39)</f>
        <v/>
      </c>
    </row>
    <row r="40">
      <c r="A40" t="n">
        <v>38</v>
      </c>
      <c r="B40" t="inlineStr">
        <is>
          <t>Hoàng Tuấn Tài</t>
        </is>
      </c>
      <c r="D40" t="inlineStr">
        <is>
          <t>158605-01</t>
        </is>
      </c>
      <c r="S40">
        <f>IFERROR(INDEX(PIS!$A$1:$BZ$1000,MATCH($D40,PIS!C$1:C$500,0),MATCH("Lương CB tháng trước",PIS!$1:$1,0)),0)</f>
        <v/>
      </c>
      <c r="T40">
        <f>IFERROR(INDEX(PIS!$A$1:$BZ$1000,MATCH($D40,PIS!C$1:C$500,0),MATCH("Lương CB hiện tại",PIS!$1:$1,0)),0)</f>
        <v/>
      </c>
      <c r="U40">
        <f>IFERROR(INDEX(PIS!$A$1:$BZ$1000,MATCH($D40,PIS!C$1:C$500,0),MATCH("Lương đóng BHBB",PIS!$1:$1,0)),0)</f>
        <v/>
      </c>
      <c r="V40">
        <f>IFERROR(INDEX(PIS!$A$1:$BZ$1000,MATCH($D40,PIS!C$1:C$500,0),MATCH(V$2,PIS!$2:$2,0)),0)</f>
        <v/>
      </c>
      <c r="W40">
        <f>IFERROR(INDEX(PIS!$A$1:$BZ$1000,MATCH($D40,PIS!C$1:C$500,0),MATCH(W$2,PIS!$2:$2,0)),0)</f>
        <v/>
      </c>
      <c r="X40">
        <f>IFERROR(INDEX(PIS!$A$1:$BZ$1000,MATCH($D40,PIS!C$1:C$500,0),MATCH(X$2,PIS!$2:$2,0)),0)</f>
        <v/>
      </c>
      <c r="Y40">
        <f>IFERROR(INDEX(PIS!$A$1:$BZ$1000,MATCH($D40,PIS!C$1:C$500,0),MATCH(Y$2,PIS!$2:$2,0)),0)</f>
        <v/>
      </c>
      <c r="Z40">
        <f>IFERROR(INDEX(PIS!$A$1:$BZ$1000,MATCH($D40,PIS!C$1:C$500,0),MATCH(Z$2,PIS!$2:$2,0)),0)</f>
        <v/>
      </c>
      <c r="AA40">
        <f>IFERROR(INDEX(PIS!$A$1:$BZ$1000,MATCH($D40,PIS!C$1:C$500,0),MATCH(AA$2,PIS!$2:$2,0)),0)</f>
        <v/>
      </c>
      <c r="AB40">
        <f>IFERROR(INDEX(PIS!$A$1:$BZ$1000,MATCH($D40,PIS!C$1:C$500,0),MATCH(AB$2,PIS!$2:$2,0)),0)</f>
        <v/>
      </c>
      <c r="AC40">
        <f>SUM(V40:AB40)</f>
        <v/>
      </c>
      <c r="AD40">
        <f>IFERROR(INDEX(TIMESHEET!$A$1:$AI$5000,MATCH($D40,TIMESHEET!A$1:A$500,0),MATCH("T100",TIMESHEET!$2:$2,0)),0)</f>
        <v/>
      </c>
      <c r="AE40">
        <f>IFERROR(INDEX(TIMESHEET!$A$1:$AI$5000,MATCH($D40,TIMESHEET!A$1:A$500,0),MATCH("T202",TIMESHEET!$2:$2,0)),0)</f>
        <v/>
      </c>
      <c r="AF40">
        <f>IFERROR(INDEX(TIMESHEET!$A$1:$AI$5000,MATCH($D40,TIMESHEET!A$1:A$500,0),MATCH("T302",TIMESHEET!$2:$2,0)),0)</f>
        <v/>
      </c>
      <c r="AG40">
        <f>IFERROR(INDEX(TIMESHEET!$A$1:$AI$5000,MATCH($D40,TIMESHEET!A$1:A$500,0),MATCH("T406",TIMESHEET!$2:$2,0)),0)</f>
        <v/>
      </c>
      <c r="AH40">
        <f>IF(SUM(AE40:AG40)&gt;=26,26,SUM(AE40:AG40))</f>
        <v/>
      </c>
      <c r="AI40">
        <f>IFERROR(INDEX(TIMESHEET!$A$1:$AI$5000,MATCH($D40,TIMESHEET!A$1:A$500,0),MATCH("T701",TIMESHEET!$2:$2,0)),0)</f>
        <v/>
      </c>
      <c r="AJ40">
        <f>IFERROR(IF(INDEX(PIS!N$1:N$500,MATCH(D40,PIS!C$1:C$500,0))="LC4",(T40*0.85)/AD40*AH40,ROUND(T40/AD40*AH40,0)),0)</f>
        <v/>
      </c>
      <c r="AK40">
        <f>IFERROR(INDEX(ADJ!$A$1:$BZ$1000,MATCH(PAYROLL!D40,ADJ!A$1:A$500,0),MATCH(PAYROLL!AK$2,ADJ!$2:$2,0)),0)</f>
        <v/>
      </c>
      <c r="AL40">
        <f>SUM(AJ40:AK40)</f>
        <v/>
      </c>
      <c r="AM40">
        <f>IF(AH40&gt;13,V40,ROUND(V40/AD40*AH40,0))</f>
        <v/>
      </c>
      <c r="AN40">
        <f>IF(AD40=0,0,ROUND(W40/AD40*AI40,0))</f>
        <v/>
      </c>
      <c r="AO40">
        <f>ROUND(X40*AH40,0)</f>
        <v/>
      </c>
      <c r="AP40">
        <f>IF(AD40=0,0,ROUND(Y40/AD40*AH40,0))</f>
        <v/>
      </c>
      <c r="AQ40">
        <f>IFERROR(IF((AE40+AF40+AG40)&gt;13,Z40,ROUND(Z40/AD40*AH40,0)),0)</f>
        <v/>
      </c>
      <c r="AR40">
        <f>IF(AD40=0,0,ROUND(AA69/AD40*AH40,0))</f>
        <v/>
      </c>
      <c r="AS40">
        <f>IFERROR(IF((AE40+AF40+AG40)&gt;13,AB40,ROUND(AB40/AD40*AH40,0)),0)</f>
        <v/>
      </c>
      <c r="AT40">
        <f>IFERROR(INDEX(ADJ!$A$1:$BZ$1000,MATCH(PAYROLL!D40,ADJ!A$1:A$500,0),MATCH(PAYROLL!AT$2,ADJ!$2:$2,0)),0)</f>
        <v/>
      </c>
      <c r="AU40">
        <f>ROUND(SUM(AM40:AT40),0)</f>
        <v/>
      </c>
      <c r="AV40">
        <f>IFERROR(INDEX(TIMESHEET!$A$1:$AI$5000,MATCH(PAYROLL!D40,TIMESHEET!A$1:A$500,0),MATCH("T620",TIMESHEET!$2:$2,0)),0)</f>
        <v/>
      </c>
      <c r="AW40">
        <f>IFERROR(INDEX(TIMESHEET!$A$1:$AI$5000,MATCH(PAYROLL!D40,TIMESHEET!A$1:A$500,0),MATCH("T601",TIMESHEET!$2:$2,0)),0)</f>
        <v/>
      </c>
      <c r="AX40">
        <f>IFERROR(INDEX(TIMESHEET!$A$1:$AI$5000,MATCH(PAYROLL!D40,TIMESHEET!A$1:A$500,0),MATCH("T602",TIMESHEET!$2:$2,0)),0)</f>
        <v/>
      </c>
      <c r="AY40">
        <f>IFERROR(INDEX(TIMESHEET!$A$1:$AI$5000,MATCH(PAYROLL!D40,TIMESHEET!A$1:A$500,0),MATCH("T603",TIMESHEET!$2:$2,0)),0)</f>
        <v/>
      </c>
      <c r="AZ40">
        <f>IFERROR(INDEX(TIMESHEET!$A$1:$AI$5000,MATCH(PAYROLL!D40,TIMESHEET!A$1:A$500,0),MATCH("T611",TIMESHEET!$2:$2,0)),0)</f>
        <v/>
      </c>
      <c r="BA40">
        <f>IFERROR(INDEX(TIMESHEET!$A$1:$AI$5000,MATCH(PAYROLL!D40,TIMESHEET!A$1:A$500,0),MATCH("T612",TIMESHEET!$2:$2,0)),0)</f>
        <v/>
      </c>
      <c r="BB40">
        <f>IFERROR(INDEX(TIMESHEET!$A$1:$AI$5000,MATCH(PAYROLL!D40,TIMESHEET!A$1:A$500,0),MATCH("T613",TIMESHEET!$2:$2,0)),0)</f>
        <v/>
      </c>
      <c r="BC40">
        <f>IFERROR(INDEX(TIMESHEET!$A$1:$AI$5000,MATCH(PAYROLL!D40,TIMESHEET!A$1:A$500,0),MATCH("T500",TIMESHEET!$2:$2,0)),0)</f>
        <v/>
      </c>
      <c r="BD40">
        <f>IFERROR((T40+V40)/AD40/8*(AV40+AW40*1.5+AX40*2+AY40*3+AZ40*2.1+BA40*2.7+BB40*3.9+BC40*0.3),0)</f>
        <v/>
      </c>
      <c r="BE40">
        <f>IFERROR(INDEX(ADJ!$A$1:$BZ$1000,MATCH(PAYROLL!$D40,ADJ!A$1:A$500,0),MATCH(PAYROLL!BE$2,ADJ!$2:$2,0)),0)</f>
        <v/>
      </c>
      <c r="BF40">
        <f>IFERROR(INDEX(ADJ!$A$1:$BZ$1000,MATCH(PAYROLL!D40,ADJ!A$1:A$500,0),MATCH(PAYROLL!BF$2,ADJ!$2:$2,0)),0)</f>
        <v/>
      </c>
      <c r="BG40">
        <f>IFERROR(INDEX(ADJ!$A$1:$BZ$1000,MATCH(PAYROLL!D40,ADJ!A$1:A$500,0),MATCH(PAYROLL!BG$2,ADJ!$2:$2,0)),0)</f>
        <v/>
      </c>
      <c r="BH40">
        <f>IFERROR(INDEX(ADJ!$A$1:$BZ$1000,MATCH(PAYROLL!D40,ADJ!A$1:A$500,0),MATCH(PAYROLL!BH$2,ADJ!$2:$2,0)),0)</f>
        <v/>
      </c>
      <c r="BI40">
        <f>IFERROR(INDEX(ADJ!$A$1:$BZ$1000,MATCH(PAYROLL!D40,ADJ!A$1:A$500,0),MATCH(PAYROLL!BI$2,ADJ!$2:$2,0)),0)</f>
        <v/>
      </c>
      <c r="BJ40">
        <f>SUM(BE40:BI40)</f>
        <v/>
      </c>
      <c r="BK40">
        <f>IFERROR(IF(INDEX(PIS!N$1:N$500,MATCH(D40,PIS!C$1:C$500))="LC12",(T40*21.5%)/AD40*AH40,0),0)</f>
        <v/>
      </c>
      <c r="BL40">
        <f>IFERROR(INDEX(ADJ!$A$1:$BZ$1000,MATCH(PAYROLL!D40,ADJ!A$1:A$500,0),MATCH(PAYROLL!BL$2,ADJ!$2:$2,0)),0)</f>
        <v/>
      </c>
      <c r="BM40">
        <f>IFERROR(INDEX(ADJ!$A$1:$BZ$1000,MATCH(PAYROLL!D40,ADJ!A$1:A$500,0),MATCH(PAYROLL!BM$2,ADJ!$2:$2,0)),0)</f>
        <v/>
      </c>
      <c r="BN40">
        <f>IFERROR(INDEX(ADJ!$A$1:$BZ$1000,MATCH(PAYROLL!D40,ADJ!A$1:A$500,0),MATCH(PAYROLL!BN$2,ADJ!$2:$2,0)),0)</f>
        <v/>
      </c>
      <c r="BO40">
        <f>SUM(AL40,AU40,BD40,BJ40,BK40:BN40)</f>
        <v/>
      </c>
      <c r="BP40">
        <f>BN40+AP40</f>
        <v/>
      </c>
      <c r="BQ40">
        <f>IFERROR(ROUND(IF(LEFT(INDEX(PIS!O$1:O$500,MATCH(D40,PIS!C$1:C$500)),1)="D",T40/8*(BC40*0.3),IF(LEFT(INDEX(PIS!O$1:O$500,MATCH(D40,PIS!C$1:C$500)),1)="H",T40*($BC40*0.3),T40/$AD40/8*($BC40*0.3))),0),0)</f>
        <v/>
      </c>
      <c r="BR40">
        <f>IF(AO40&lt;1,0,MIN(AO40,730000))</f>
        <v/>
      </c>
      <c r="BS40">
        <f>IFERROR(ROUND((BD40-SUM(AV40:BB40)*T40/AD40/8),0)-BQ40,0)</f>
        <v/>
      </c>
      <c r="BT40">
        <f>AN40</f>
        <v/>
      </c>
      <c r="BU40">
        <f>SUM(BP40:BT40)</f>
        <v/>
      </c>
      <c r="BV40">
        <f>BO40-BU40</f>
        <v/>
      </c>
      <c r="BW40">
        <f>IFERROR(IF(RIGHT(INDEX(PIS!O$1:O$500,MATCH(D40,PIS!C$1:C$500)),5)="Gross",MIN(U40+V40,VLOOKUP("R700",TSC!B:C,2,0)*VLOOKUP("R101",TSC!B:C,2,0))*VLOOKUP("R701",TSC!B:C,2,0)%,0),0)</f>
        <v/>
      </c>
      <c r="BX40">
        <f>IFERROR(IF(RIGHT(INDEX(PIS!O$1:O$500,MATCH(D40,PIS!C$1:C$500)),5)="Gross",MIN(U40+V40,VLOOKUP("R700",TSC!B:C,2,0)*VLOOKUP("R101",TSC!B:C,2,0))*VLOOKUP("T704",TSC!B:C,2,0)%,0),0)</f>
        <v/>
      </c>
      <c r="BY40">
        <f>IFERROR(IF(RIGHT(INDEX(PIS!O$1:O$500,MATCH(D40,PIS!C$1:C$500)),5)="Gross",MIN(U40+V40,VLOOKUP("R700",TSC!B:C,2,0)*VLOOKUP("1",TSC!F:G,2,0))*VLOOKUP("T705",TSC!B:C,2,0)%,0),0)</f>
        <v/>
      </c>
      <c r="BZ40">
        <f>IFERROR(INDEX(ADJ!$A$1:$BZ$1000,MATCH(PAYROLL!D40,ADJ!A$1:A$500,0),MATCH(PAYROLL!BZ$2,ADJ!$2:$2,0)),0)</f>
        <v/>
      </c>
      <c r="CA40">
        <f>IFERROR(INDEX(ADJ!$A$1:$BZ$1000,MATCH(PAYROLL!D40,ADJ!A$1:A$500,0),MATCH(PAYROLL!CA$2,ADJ!$2:$2,0)),0)</f>
        <v/>
      </c>
      <c r="CB40">
        <f>SUM(BW40:CA40)</f>
        <v/>
      </c>
      <c r="CC40">
        <f>IFERROR(INDEX(PIS!$A$1:$BZ$1000,MATCH(PAYROLL!D40,PIS!C$1:C$500,0),MATCH(PAYROLL!CC$1,PIS!$1:$1,0)),0)</f>
        <v/>
      </c>
      <c r="CD40">
        <f>IFERROR(IF(OR(INDEX(PIS!P$1:P$500,MATCH(D40,PIS!C$1:C$500,0))="LT2",INDEX(PIS!P$1:P$500,MATCH(D40,PIS!C$1:C$500,0))="P10"),0,SUM(CB40,CC40*VLOOKUP("R601",TSC!B:C,2,0),VLOOKUP("R602",TSC!B:C,2,0))),0)</f>
        <v/>
      </c>
      <c r="CE40">
        <f>MAX(BV40-CD40,0)</f>
        <v/>
      </c>
      <c r="CF40">
        <f>IFERROR(IF(OR(RIGHT(INDEX(PIS!P$1:P$500,MATCH(D40,PIS!C$1:C$500)),5)="P10",RIGHT(INDEX(PIS!P$1:P$500,MATCH(D40,PIS!C$1:C$500)),5)="CK"),0,IF(CE40&lt;=5000000,CE40*5%,IF(CE40&lt;=10000000,CE40*10%-250000,IF(CE40&lt;=18000000,CE40*15%-750000,IF(CE40&lt;=32000000,CE40*20%-1650000,IF(CE40&lt;=52000000,CE40*25%-3250000,IF(CE40&lt;=80000000,BG40*30%-5850000,CE40*35%-9850000))))))),0)</f>
        <v/>
      </c>
      <c r="CG40">
        <f>IFERROR(IF(OR(INDEX(PIS!P$1:P$500,MATCH(D40,PIS!C$1:C$500))="LT",INDEX(PIS!P$1:P$500,MATCH(D40,PIS!C$1:C$500))="CK"),0,IF(CE40&lt;2000000,0,CE40*10%)),0)</f>
        <v/>
      </c>
      <c r="CH40">
        <f>IFERROR(INDEX(ADJ!$A$1:$BZ$1000,MATCH(PAYROLL!D40,ADJ!A$1:A$500,0),MATCH(PAYROLL!CH$2,ADJ!$2:$2,0)),0)</f>
        <v/>
      </c>
      <c r="CI40">
        <f>IFERROR(INDEX(ADJ!$A$1:$BZ$1000,MATCH(PAYROLL!D40,ADJ!A$1:A$500,0),MATCH(PAYROLL!CI$2,ADJ!$2:$2,0)),0)</f>
        <v/>
      </c>
      <c r="CJ40">
        <f>IFERROR(INDEX(ADJ!$A$1:$BZ$1000,MATCH(PAYROLL!D40,ADJ!A$1:A$500,0),MATCH(PAYROLL!CJ$2,ADJ!$2:$2,0)),0)</f>
        <v/>
      </c>
      <c r="CK40">
        <f>SUM(CF40:CJ40)</f>
        <v/>
      </c>
      <c r="CL40">
        <f>ROUND(SUM(CG40:CJ40),0)</f>
        <v/>
      </c>
      <c r="CM40">
        <f>IFERROR(INDEX(CSDA!D$1:D$500,MATCH($CM$2,CSDA!C$1:C$500,0))*INDEX(PIS!V$1:V$500,MATCH(D40,PIS!C$1:C$500))+INDEX(ADJ!$A$1:$BZ$1000,MATCH(PAYROLL!D40,ADJ!A$1:A$500,0),MATCH(PAYROLL!CM$2,ADJ!$2:$2,0)),0)</f>
        <v/>
      </c>
      <c r="CN40">
        <f>IFERROR(INDEX(ADJ!$A$1:$BZ$1000,MATCH(PAYROLL!D40,ADJ!A$1:A$500,0),MATCH(PAYROLL!CN$2,ADJ!$2:$2,0)),0)</f>
        <v/>
      </c>
      <c r="CO40">
        <f>IFERROR(INDEX(ADJ!$A$1:$BZ$1000,MATCH(PAYROLL!D40,ADJ!A$1:A$500,0),MATCH(PAYROLL!CO$2,ADJ!$2:$2,0)),0)</f>
        <v/>
      </c>
      <c r="CP40">
        <f>BO40-CK40-CH40-CL40-CM40-CN40-CO40-CB40</f>
        <v/>
      </c>
      <c r="CQ40">
        <f>IFERROR(IF(RIGHT(INDEX(PIS!O$1:O$500,MATCH(D40,PIS!C$1:C$500,0)),5)="Gross",MIN(U40+V40,VLOOKUP("R700",TSC!B:C,2,0)*VLOOKUP("R101",TSC!B:C,2,0))*(VLOOKUP("T711",TSC!B:C,2,0)+VLOOKUP("T712",TSC!B:C,2,0))%,MIN(T40+V40,VLOOKUP("R700",TSC!B:C,2,0)*VLOOKUP("R101",TSC!B:C,2,0))*(VLOOKUP("T711",TSC!B:C,2,0)+VLOOKUP("T712",TSC!B:C,2,0)+VLOOKUP("R701",TSC!B:C,2,0))%),0)</f>
        <v/>
      </c>
      <c r="CR40">
        <f>IFERROR(IF(RIGHT(INDEX(PIS!O$1:O$500,MATCH(D40,PIS!C$1:C$500,0)),5)="Gross",MIN(U40+V40,VLOOKUP("R700",TSC!B:C,2,0)*VLOOKUP("R101",TSC!B:C,2,0))*(VLOOKUP("T714",TSC!B:C,2,0))%,MIN(T40+V40,VLOOKUP("R700",TSC!B:C,2,0)*VLOOKUP("R101",TSC!B:C,2,0))*(VLOOKUP("T704",TSC!B:C,2,0)+VLOOKUP("T714",TSC!B:C,2,0))%),0)</f>
        <v/>
      </c>
      <c r="CS40">
        <f>IFERROR(IF(RIGHT(INDEX(PIS!O$1:O$500,MATCH(D40,PIS!C$1:C$500,0)),5)="Gross",MIN(U40+V40,VLOOKUP("R700",TSC!B:C,2,0)*VLOOKUP("R101",TSC!B:C,2,0))*VLOOKUP("T705",TSC!B:C,2,0)%,MIN(T40+V40,VLOOKUP("R700",TSC!B:C,2,0)*VLOOKUP("R101",TSC!B:C,2,0))*VLOOKUP("T705",TSC!B:C,2,0)%),0)</f>
        <v/>
      </c>
      <c r="CT40">
        <f>IFERROR(IF(RIGHT(INDEX(PIS!O$1:O$500,MATCH(D40,PIS!C$1:C$500,0)),5)="Gross",MIN(U40+V40,VLOOKUP("R700",TSC!B:C,2,0)*VLOOKUP("R101",TSC!B:C,2,0))*(VLOOKUP("T713",TSC!B:C,2,0))%,MIN(T40+V40,VLOOKUP("R700",TSC!B:C,2,0)*VLOOKUP("R101",TSC!B:C,2,0))*(VLOOKUP("T713",TSC!B:C,2,0))%),0)</f>
        <v/>
      </c>
      <c r="CU40">
        <f>IFERROR(INDEX(ADJ!$A$1:$BZ$1000,MATCH(PAYROLL!D40,ADJ!A$1:A$500,0),MATCH(PAYROLL!CU$2,ADJ!$2:$2,0)),0)</f>
        <v/>
      </c>
      <c r="CV40">
        <f>IFERROR(INDEX(ADJ!$A$1:$BZ$1000,MATCH(PAYROLL!D40,ADJ!A$1:A$500,0),MATCH(PAYROLL!CV$2,ADJ!$2:$2,0)),0)</f>
        <v/>
      </c>
      <c r="CW40">
        <f>SUM(CQ40:CV40)</f>
        <v/>
      </c>
      <c r="CX40">
        <f>ROUND(IF(CQ40&gt;0,T40+V40*VLOOKUP("R202",TSC!$B$1:$C$500,2,0),0),0)</f>
        <v/>
      </c>
      <c r="CY40">
        <f>IFERROR(INDEX(CSDA!D$1:D$500,MATCH($CY$2,CSDA!C$1:C$500,0)),0)</f>
        <v/>
      </c>
      <c r="CZ40">
        <f>ROUND(T40*0.7%,0)</f>
        <v/>
      </c>
      <c r="DA40">
        <f>ROUND(T40/12,0)</f>
        <v/>
      </c>
      <c r="DB40">
        <f ref="DB40" t="array">IFERROR(INDEX(CSDA!D$1:D$500,MATCH("Trích giữ"&amp;PAYROLL!DB$2,CSDA!A$1:A$500&amp;CSDA!C$1:C$500,0)),0)</f>
        <v/>
      </c>
      <c r="DC40">
        <f ref="DC40" t="array">IFERROR(INDEX(CSDA!D$1:D$500,MATCH("Trích giữ"&amp;PAYROLL!DC$2,CSDA!A$1:A$500&amp;CSDA!C$1:C$500,0)),0)</f>
        <v/>
      </c>
      <c r="DD40">
        <f ref="DD40" t="array">IFERROR(INDEX(CSDA!D$1:D$500,MATCH("Trích giữ"&amp;PAYROLL!DD$2,CSDA!A$1:A$500&amp;CSDA!C$1:C$500,0)),0)</f>
        <v/>
      </c>
      <c r="DE40">
        <f>IFERROR(INDEX(CSDA!D$1:D$500,MATCH(PAYROLL!DE$2,CSDA!C$1:C$500,0)),0)</f>
        <v/>
      </c>
      <c r="DF40">
        <f ref="DF40" t="array">IFERROR(INDEX(CSDA!D$1:D$500,MATCH("Trích giữ"&amp;PAYROLL!DF$2,CSDA!A$1:A$500&amp;CSDA!C$1:C$500,0)),0)</f>
        <v/>
      </c>
      <c r="DG40">
        <f>ROUND(T40/26,0)</f>
        <v/>
      </c>
      <c r="DH40">
        <f ref="DH40" t="array">IFERROR(INDEX(CSDA!D$1:D$500,MATCH("Trích giữ"&amp;PAYROLL!DH$2,CSDA!A$1:A$500&amp;CSDA!C$1:C$500,0)),0)</f>
        <v/>
      </c>
      <c r="DI40">
        <f>IF(U40=0,T40*21.5%-BK40,0)</f>
        <v/>
      </c>
      <c r="DK40">
        <f ref="DK40" t="array">IFERROR(INDEX(CSDA!D$1:D$500,MATCH("Trích giữ"&amp;PAYROLL!DK$2,CSDA!A$1:A$500&amp;CSDA!C$1:C$500,0)),0)</f>
        <v/>
      </c>
      <c r="DL40">
        <f>IFERROR(INDEX(CSDA!D$1:D$500,MATCH(PAYROLL!DL$2,CSDA!C$1:C$500,0))/12,0)</f>
        <v/>
      </c>
      <c r="DM40">
        <f>SUM(DA40:DL40)</f>
        <v/>
      </c>
      <c r="DN40">
        <f>IFERROR(INDEX(ADJ!$A$1:$BZ$1000,MATCH(PAYROLL!D40,ADJ!A$1:A$500,0),MATCH(PAYROLL!DN$2,ADJ!$2:$2,0)),0)</f>
        <v/>
      </c>
      <c r="DO40">
        <f>IFERROR(SUM(BO40,DM40:DN40,CW40:CZ40)-DT40,0)</f>
        <v/>
      </c>
      <c r="DP40">
        <f ref="DP40" t="array">SUM(BV40*IFERROR(INDEX(CSDA!D$1:D$500,MATCH(BV$2,CSDA!C$1:C$500,0)),0)%,CW40*IFERROR(INDEX(CSDA!D$1:D$500,MATCH(CW$2,CSDA!C$1:C$500,0)),0)%,CZ40*IFERROR(INDEX(CSDA!D$1:D$500,MATCH(CZ$2,CSDA!C$1:C$500,0)),0)%,DA40*IFERROR(INDEX(CSDA!D$1:D$500,MATCH(DA$2,CSDA!C$1:C$500,0)),0)%,DE40*IFERROR(INDEX(CSDA!D$1:D$500,MATCH("Phí dịch vụ"&amp;PAYROLL!DE$2,CSDA!A$1:A$500&amp;CSDA!C$1:C$500,0)),0)%,DB40*IFERROR(INDEX(CSDA!D$1:D$500,MATCH("Phí dịch vụ"&amp;PAYROLL!DB$2,CSDA!A$1:A$500&amp;CSDA!C$1:C$500,0)),0)%,DG40*IFERROR(INDEX(CSDA!D$1:D$500,MATCH("Phí dịch vụ"&amp;PAYROLL!DG$2,CSDA!A$1:A$500&amp;CSDA!C$1:C$500,0)),0)%,DI40*IFERROR(INDEX(CSDA!D$1:D$500,MATCH("Phí dịch vụ"&amp;PAYROLL!DI$2,CSDA!A$1:A$500&amp;CSDA!C$1:C$500,0)),0)%,BM40*IFERROR(INDEX(CSDA!D$1:D$500,MATCH(BM$2,CSDA!C$1:C$500,0)),0)%)-BM40*7%</f>
        <v/>
      </c>
      <c r="DQ40">
        <f>IFERROR(INDEX(ADJ!$A$1:$BZ$1000,MATCH(PAYROLL!D40,ADJ!A$1:A$500,0),MATCH(PAYROLL!DQ$2,ADJ!$2:$2,0)),0)</f>
        <v/>
      </c>
      <c r="DR40">
        <f>IFERROR(INDEX(ADJ!$A$1:$BZ$1000,MATCH(PAYROLL!D40,ADJ!A$1:A$500,0),MATCH(PAYROLL!DR$2,ADJ!$2:$2,0)),0)</f>
        <v/>
      </c>
      <c r="DS40">
        <f>SUM(DP40:DR40)</f>
        <v/>
      </c>
      <c r="DT40">
        <f>EK40</f>
        <v/>
      </c>
      <c r="DU40">
        <f>SUM(DO40:DR40)</f>
        <v/>
      </c>
      <c r="DV40">
        <f>ROUND(DU40*0.1,0)</f>
        <v/>
      </c>
      <c r="DW40">
        <f>DU40+DV40</f>
        <v/>
      </c>
      <c r="DZ40">
        <f>IFERROR(INDEX(ADJ!$A$1:$BZ$1000,MATCH(PAYROLL!$D40,ADJ!A$1:A$500,0),MATCH(PAYROLL!DZ$2,ADJ!$2:$2,0)),0)</f>
        <v/>
      </c>
      <c r="EA40">
        <f>IFERROR(INDEX(ADJ!$A$1:$BZ$1000,MATCH(PAYROLL!$D40,ADJ!A$1:A$500,0),MATCH(PAYROLL!EA$2,ADJ!$2:$2,0)),0)</f>
        <v/>
      </c>
      <c r="EB40">
        <f>IFERROR(INDEX(ADJ!$A$1:$BZ$1000,MATCH(PAYROLL!$D40,ADJ!A$1:A$500,0),MATCH(PAYROLL!EB$2,ADJ!$2:$2,0)),0)</f>
        <v/>
      </c>
      <c r="EC40">
        <f>IFERROR(INDEX(ADJ!$A$1:$BZ$1000,MATCH(PAYROLL!$D40,ADJ!A$1:A$500,0),MATCH(PAYROLL!EC$2,ADJ!$2:$2,0)),0)</f>
        <v/>
      </c>
      <c r="ED40">
        <f>IFERROR(INDEX(ADJ!$A$1:$BZ$1000,MATCH(PAYROLL!$D40,ADJ!A$1:A$500,0),MATCH(PAYROLL!ED$2,ADJ!$2:$2,0)),0)</f>
        <v/>
      </c>
      <c r="EE40">
        <f>IFERROR(INDEX(ADJ!$A$1:$BZ$1000,MATCH(PAYROLL!$D40,ADJ!A$1:A$500,0),MATCH(PAYROLL!EE$2,ADJ!$2:$2,0)),0)</f>
        <v/>
      </c>
      <c r="EF40">
        <f>IFERROR(INDEX(ADJ!$A$1:$BZ$1000,MATCH(PAYROLL!$D40,ADJ!A$1:A$500,0),MATCH(PAYROLL!EF$2,ADJ!$2:$2,0)),0)</f>
        <v/>
      </c>
      <c r="EG40">
        <f>IFERROR(INDEX(ADJ!$A$1:$BZ$1000,MATCH(PAYROLL!$D40,ADJ!A$1:A$500,0),MATCH(PAYROLL!EG$2,ADJ!$2:$2,0)),0)</f>
        <v/>
      </c>
      <c r="EH40">
        <f>IFERROR(INDEX(ADJ!$A$1:$BZ$1000,MATCH(PAYROLL!$D40,ADJ!A$1:A$500,0),MATCH(PAYROLL!EH$2,ADJ!$2:$2,0)),0)</f>
        <v/>
      </c>
      <c r="EI40">
        <f>IFERROR(INDEX(ADJ!$A$1:$BZ$1000,MATCH(PAYROLL!D40,ADJ!A$1:A$500,0),MATCH(PAYROLL!EI$2,ADJ!$2:$2,0)),0)</f>
        <v/>
      </c>
      <c r="EJ40">
        <f>IFERROR(INDEX(ADJ!$A$1:$BZ$1000,MATCH(PAYROLL!$D40,ADJ!A$1:A$500,0),MATCH(PAYROLL!EJ$2,ADJ!$2:$2,0)),0)</f>
        <v/>
      </c>
      <c r="EK40">
        <f>SUM(DZ40:EJ40)</f>
        <v/>
      </c>
    </row>
    <row r="41">
      <c r="A41" t="n">
        <v>39</v>
      </c>
      <c r="B41" t="inlineStr">
        <is>
          <t>Nguyễn Thị Diệp Hồng</t>
        </is>
      </c>
      <c r="D41" t="inlineStr">
        <is>
          <t>156513-02</t>
        </is>
      </c>
      <c r="S41">
        <f>IFERROR(INDEX(PIS!$A$1:$BZ$1000,MATCH($D41,PIS!C$1:C$500,0),MATCH("Lương CB tháng trước",PIS!$1:$1,0)),0)</f>
        <v/>
      </c>
      <c r="T41">
        <f>IFERROR(INDEX(PIS!$A$1:$BZ$1000,MATCH($D41,PIS!C$1:C$500,0),MATCH("Lương CB hiện tại",PIS!$1:$1,0)),0)</f>
        <v/>
      </c>
      <c r="U41">
        <f>IFERROR(INDEX(PIS!$A$1:$BZ$1000,MATCH($D41,PIS!C$1:C$500,0),MATCH("Lương đóng BHBB",PIS!$1:$1,0)),0)</f>
        <v/>
      </c>
      <c r="V41">
        <f>IFERROR(INDEX(PIS!$A$1:$BZ$1000,MATCH($D41,PIS!C$1:C$500,0),MATCH(V$2,PIS!$2:$2,0)),0)</f>
        <v/>
      </c>
      <c r="W41">
        <f>IFERROR(INDEX(PIS!$A$1:$BZ$1000,MATCH($D41,PIS!C$1:C$500,0),MATCH(W$2,PIS!$2:$2,0)),0)</f>
        <v/>
      </c>
      <c r="X41">
        <f>IFERROR(INDEX(PIS!$A$1:$BZ$1000,MATCH($D41,PIS!C$1:C$500,0),MATCH(X$2,PIS!$2:$2,0)),0)</f>
        <v/>
      </c>
      <c r="Y41">
        <f>IFERROR(INDEX(PIS!$A$1:$BZ$1000,MATCH($D41,PIS!C$1:C$500,0),MATCH(Y$2,PIS!$2:$2,0)),0)</f>
        <v/>
      </c>
      <c r="Z41">
        <f>IFERROR(INDEX(PIS!$A$1:$BZ$1000,MATCH($D41,PIS!C$1:C$500,0),MATCH(Z$2,PIS!$2:$2,0)),0)</f>
        <v/>
      </c>
      <c r="AA41">
        <f>IFERROR(INDEX(PIS!$A$1:$BZ$1000,MATCH($D41,PIS!C$1:C$500,0),MATCH(AA$2,PIS!$2:$2,0)),0)</f>
        <v/>
      </c>
      <c r="AB41">
        <f>IFERROR(INDEX(PIS!$A$1:$BZ$1000,MATCH($D41,PIS!C$1:C$500,0),MATCH(AB$2,PIS!$2:$2,0)),0)</f>
        <v/>
      </c>
      <c r="AC41">
        <f>SUM(V41:AB41)</f>
        <v/>
      </c>
      <c r="AD41">
        <f>IFERROR(INDEX(TIMESHEET!$A$1:$AI$5000,MATCH($D41,TIMESHEET!A$1:A$500,0),MATCH("T100",TIMESHEET!$2:$2,0)),0)</f>
        <v/>
      </c>
      <c r="AE41">
        <f>IFERROR(INDEX(TIMESHEET!$A$1:$AI$5000,MATCH($D41,TIMESHEET!A$1:A$500,0),MATCH("T202",TIMESHEET!$2:$2,0)),0)</f>
        <v/>
      </c>
      <c r="AF41">
        <f>IFERROR(INDEX(TIMESHEET!$A$1:$AI$5000,MATCH($D41,TIMESHEET!A$1:A$500,0),MATCH("T302",TIMESHEET!$2:$2,0)),0)</f>
        <v/>
      </c>
      <c r="AG41">
        <f>IFERROR(INDEX(TIMESHEET!$A$1:$AI$5000,MATCH($D41,TIMESHEET!A$1:A$500,0),MATCH("T406",TIMESHEET!$2:$2,0)),0)</f>
        <v/>
      </c>
      <c r="AH41">
        <f>IF(SUM(AE41:AG41)&gt;=26,26,SUM(AE41:AG41))</f>
        <v/>
      </c>
      <c r="AI41">
        <f>IFERROR(INDEX(TIMESHEET!$A$1:$AI$5000,MATCH($D41,TIMESHEET!A$1:A$500,0),MATCH("T701",TIMESHEET!$2:$2,0)),0)</f>
        <v/>
      </c>
      <c r="AJ41">
        <f>IFERROR(IF(INDEX(PIS!N$1:N$500,MATCH(D41,PIS!C$1:C$500,0))="LC4",(T41*0.85)/AD41*AH41,ROUND(T41/AD41*AH41,0)),0)</f>
        <v/>
      </c>
      <c r="AK41">
        <f>IFERROR(INDEX(ADJ!$A$1:$BZ$1000,MATCH(PAYROLL!D41,ADJ!A$1:A$500,0),MATCH(PAYROLL!AK$2,ADJ!$2:$2,0)),0)</f>
        <v/>
      </c>
      <c r="AL41">
        <f>SUM(AJ41:AK41)</f>
        <v/>
      </c>
      <c r="AM41">
        <f>IF(AH41&gt;13,V41,ROUND(V41/AD41*AH41,0))</f>
        <v/>
      </c>
      <c r="AN41">
        <f>IF(AD41=0,0,ROUND(W41/AD41*AI41,0))</f>
        <v/>
      </c>
      <c r="AO41">
        <f>ROUND(X41*AH41,0)</f>
        <v/>
      </c>
      <c r="AP41">
        <f>IF(AD41=0,0,ROUND(Y41/AD41*AH41,0))</f>
        <v/>
      </c>
      <c r="AQ41">
        <f>IFERROR(IF((AE41+AF41+AG41)&gt;13,Z41,ROUND(Z41/AD41*AH41,0)),0)</f>
        <v/>
      </c>
      <c r="AR41">
        <f>IF(AD41=0,0,ROUND(AA70/AD41*AH41,0))</f>
        <v/>
      </c>
      <c r="AS41">
        <f>IFERROR(IF((AE41+AF41+AG41)&gt;13,AB41,ROUND(AB41/AD41*AH41,0)),0)</f>
        <v/>
      </c>
      <c r="AT41">
        <f>IFERROR(INDEX(ADJ!$A$1:$BZ$1000,MATCH(PAYROLL!D41,ADJ!A$1:A$500,0),MATCH(PAYROLL!AT$2,ADJ!$2:$2,0)),0)</f>
        <v/>
      </c>
      <c r="AU41">
        <f>ROUND(SUM(AM41:AT41),0)</f>
        <v/>
      </c>
      <c r="AV41">
        <f>IFERROR(INDEX(TIMESHEET!$A$1:$AI$5000,MATCH(PAYROLL!D41,TIMESHEET!A$1:A$500,0),MATCH("T620",TIMESHEET!$2:$2,0)),0)</f>
        <v/>
      </c>
      <c r="AW41">
        <f>IFERROR(INDEX(TIMESHEET!$A$1:$AI$5000,MATCH(PAYROLL!D41,TIMESHEET!A$1:A$500,0),MATCH("T601",TIMESHEET!$2:$2,0)),0)</f>
        <v/>
      </c>
      <c r="AX41">
        <f>IFERROR(INDEX(TIMESHEET!$A$1:$AI$5000,MATCH(PAYROLL!D41,TIMESHEET!A$1:A$500,0),MATCH("T602",TIMESHEET!$2:$2,0)),0)</f>
        <v/>
      </c>
      <c r="AY41">
        <f>IFERROR(INDEX(TIMESHEET!$A$1:$AI$5000,MATCH(PAYROLL!D41,TIMESHEET!A$1:A$500,0),MATCH("T603",TIMESHEET!$2:$2,0)),0)</f>
        <v/>
      </c>
      <c r="AZ41">
        <f>IFERROR(INDEX(TIMESHEET!$A$1:$AI$5000,MATCH(PAYROLL!D41,TIMESHEET!A$1:A$500,0),MATCH("T611",TIMESHEET!$2:$2,0)),0)</f>
        <v/>
      </c>
      <c r="BA41">
        <f>IFERROR(INDEX(TIMESHEET!$A$1:$AI$5000,MATCH(PAYROLL!D41,TIMESHEET!A$1:A$500,0),MATCH("T612",TIMESHEET!$2:$2,0)),0)</f>
        <v/>
      </c>
      <c r="BB41">
        <f>IFERROR(INDEX(TIMESHEET!$A$1:$AI$5000,MATCH(PAYROLL!D41,TIMESHEET!A$1:A$500,0),MATCH("T613",TIMESHEET!$2:$2,0)),0)</f>
        <v/>
      </c>
      <c r="BC41">
        <f>IFERROR(INDEX(TIMESHEET!$A$1:$AI$5000,MATCH(PAYROLL!D41,TIMESHEET!A$1:A$500,0),MATCH("T500",TIMESHEET!$2:$2,0)),0)</f>
        <v/>
      </c>
      <c r="BD41">
        <f>IFERROR((T41+V41)/AD41/8*(AV41+AW41*1.5+AX41*2+AY41*3+AZ41*2.1+BA41*2.7+BB41*3.9+BC41*0.3),0)</f>
        <v/>
      </c>
      <c r="BE41">
        <f>IFERROR(INDEX(ADJ!$A$1:$BZ$1000,MATCH(PAYROLL!$D41,ADJ!A$1:A$500,0),MATCH(PAYROLL!BE$2,ADJ!$2:$2,0)),0)</f>
        <v/>
      </c>
      <c r="BF41">
        <f>IFERROR(INDEX(ADJ!$A$1:$BZ$1000,MATCH(PAYROLL!D41,ADJ!A$1:A$500,0),MATCH(PAYROLL!BF$2,ADJ!$2:$2,0)),0)</f>
        <v/>
      </c>
      <c r="BG41">
        <f>IFERROR(INDEX(ADJ!$A$1:$BZ$1000,MATCH(PAYROLL!D41,ADJ!A$1:A$500,0),MATCH(PAYROLL!BG$2,ADJ!$2:$2,0)),0)</f>
        <v/>
      </c>
      <c r="BH41">
        <f>IFERROR(INDEX(ADJ!$A$1:$BZ$1000,MATCH(PAYROLL!D41,ADJ!A$1:A$500,0),MATCH(PAYROLL!BH$2,ADJ!$2:$2,0)),0)</f>
        <v/>
      </c>
      <c r="BI41">
        <f>IFERROR(INDEX(ADJ!$A$1:$BZ$1000,MATCH(PAYROLL!D41,ADJ!A$1:A$500,0),MATCH(PAYROLL!BI$2,ADJ!$2:$2,0)),0)</f>
        <v/>
      </c>
      <c r="BJ41">
        <f>SUM(BE41:BI41)</f>
        <v/>
      </c>
      <c r="BK41">
        <f>IFERROR(IF(INDEX(PIS!N$1:N$500,MATCH(D41,PIS!C$1:C$500))="LC12",(T41*21.5%)/AD41*AH41,0),0)</f>
        <v/>
      </c>
      <c r="BL41">
        <f>IFERROR(INDEX(ADJ!$A$1:$BZ$1000,MATCH(PAYROLL!D41,ADJ!A$1:A$500,0),MATCH(PAYROLL!BL$2,ADJ!$2:$2,0)),0)</f>
        <v/>
      </c>
      <c r="BM41">
        <f>IFERROR(INDEX(ADJ!$A$1:$BZ$1000,MATCH(PAYROLL!D41,ADJ!A$1:A$500,0),MATCH(PAYROLL!BM$2,ADJ!$2:$2,0)),0)</f>
        <v/>
      </c>
      <c r="BN41">
        <f>IFERROR(INDEX(ADJ!$A$1:$BZ$1000,MATCH(PAYROLL!D41,ADJ!A$1:A$500,0),MATCH(PAYROLL!BN$2,ADJ!$2:$2,0)),0)</f>
        <v/>
      </c>
      <c r="BO41">
        <f>SUM(AL41,AU41,BD41,BJ41,BK41:BN41)</f>
        <v/>
      </c>
      <c r="BP41">
        <f>BN41+AP41</f>
        <v/>
      </c>
      <c r="BQ41">
        <f>IFERROR(ROUND(IF(LEFT(INDEX(PIS!O$1:O$500,MATCH(D41,PIS!C$1:C$500)),1)="D",T41/8*(BC41*0.3),IF(LEFT(INDEX(PIS!O$1:O$500,MATCH(D41,PIS!C$1:C$500)),1)="H",T41*($BC41*0.3),T41/$AD41/8*($BC41*0.3))),0),0)</f>
        <v/>
      </c>
      <c r="BR41">
        <f>IF(AO41&lt;1,0,MIN(AO41,730000))</f>
        <v/>
      </c>
      <c r="BS41">
        <f>IFERROR(ROUND((BD41-SUM(AV41:BB41)*T41/AD41/8),0)-BQ41,0)</f>
        <v/>
      </c>
      <c r="BT41">
        <f>AN41</f>
        <v/>
      </c>
      <c r="BU41">
        <f>SUM(BP41:BT41)</f>
        <v/>
      </c>
      <c r="BV41">
        <f>BO41-BU41</f>
        <v/>
      </c>
      <c r="BW41">
        <f>IFERROR(IF(RIGHT(INDEX(PIS!O$1:O$500,MATCH(D41,PIS!C$1:C$500)),5)="Gross",MIN(U41+V41,VLOOKUP("R700",TSC!B:C,2,0)*VLOOKUP("R101",TSC!B:C,2,0))*VLOOKUP("R701",TSC!B:C,2,0)%,0),0)</f>
        <v/>
      </c>
      <c r="BX41">
        <f>IFERROR(IF(RIGHT(INDEX(PIS!O$1:O$500,MATCH(D41,PIS!C$1:C$500)),5)="Gross",MIN(U41+V41,VLOOKUP("R700",TSC!B:C,2,0)*VLOOKUP("R101",TSC!B:C,2,0))*VLOOKUP("T704",TSC!B:C,2,0)%,0),0)</f>
        <v/>
      </c>
      <c r="BY41">
        <f>IFERROR(IF(RIGHT(INDEX(PIS!O$1:O$500,MATCH(D41,PIS!C$1:C$500)),5)="Gross",MIN(U41+V41,VLOOKUP("R700",TSC!B:C,2,0)*VLOOKUP("1",TSC!F:G,2,0))*VLOOKUP("T705",TSC!B:C,2,0)%,0),0)</f>
        <v/>
      </c>
      <c r="BZ41">
        <f>IFERROR(INDEX(ADJ!$A$1:$BZ$1000,MATCH(PAYROLL!D41,ADJ!A$1:A$500,0),MATCH(PAYROLL!BZ$2,ADJ!$2:$2,0)),0)</f>
        <v/>
      </c>
      <c r="CA41">
        <f>IFERROR(INDEX(ADJ!$A$1:$BZ$1000,MATCH(PAYROLL!D41,ADJ!A$1:A$500,0),MATCH(PAYROLL!CA$2,ADJ!$2:$2,0)),0)</f>
        <v/>
      </c>
      <c r="CB41">
        <f>SUM(BW41:CA41)</f>
        <v/>
      </c>
      <c r="CC41">
        <f>IFERROR(INDEX(PIS!$A$1:$BZ$1000,MATCH(PAYROLL!D41,PIS!C$1:C$500,0),MATCH(PAYROLL!CC$1,PIS!$1:$1,0)),0)</f>
        <v/>
      </c>
      <c r="CD41">
        <f>IFERROR(IF(OR(INDEX(PIS!P$1:P$500,MATCH(D41,PIS!C$1:C$500,0))="LT2",INDEX(PIS!P$1:P$500,MATCH(D41,PIS!C$1:C$500,0))="P10"),0,SUM(CB41,CC41*VLOOKUP("R601",TSC!B:C,2,0),VLOOKUP("R602",TSC!B:C,2,0))),0)</f>
        <v/>
      </c>
      <c r="CE41">
        <f>MAX(BV41-CD41,0)</f>
        <v/>
      </c>
      <c r="CF41">
        <f>IFERROR(IF(OR(RIGHT(INDEX(PIS!P$1:P$500,MATCH(D41,PIS!C$1:C$500)),5)="P10",RIGHT(INDEX(PIS!P$1:P$500,MATCH(D41,PIS!C$1:C$500)),5)="CK"),0,IF(CE41&lt;=5000000,CE41*5%,IF(CE41&lt;=10000000,CE41*10%-250000,IF(CE41&lt;=18000000,CE41*15%-750000,IF(CE41&lt;=32000000,CE41*20%-1650000,IF(CE41&lt;=52000000,CE41*25%-3250000,IF(CE41&lt;=80000000,BG41*30%-5850000,CE41*35%-9850000))))))),0)</f>
        <v/>
      </c>
      <c r="CG41">
        <f>IFERROR(IF(OR(INDEX(PIS!P$1:P$500,MATCH(D41,PIS!C$1:C$500))="LT",INDEX(PIS!P$1:P$500,MATCH(D41,PIS!C$1:C$500))="CK"),0,IF(CE41&lt;2000000,0,CE41*10%)),0)</f>
        <v/>
      </c>
      <c r="CH41">
        <f>IFERROR(INDEX(ADJ!$A$1:$BZ$1000,MATCH(PAYROLL!D41,ADJ!A$1:A$500,0),MATCH(PAYROLL!CH$2,ADJ!$2:$2,0)),0)</f>
        <v/>
      </c>
      <c r="CI41">
        <f>IFERROR(INDEX(ADJ!$A$1:$BZ$1000,MATCH(PAYROLL!D41,ADJ!A$1:A$500,0),MATCH(PAYROLL!CI$2,ADJ!$2:$2,0)),0)</f>
        <v/>
      </c>
      <c r="CJ41">
        <f>IFERROR(INDEX(ADJ!$A$1:$BZ$1000,MATCH(PAYROLL!D41,ADJ!A$1:A$500,0),MATCH(PAYROLL!CJ$2,ADJ!$2:$2,0)),0)</f>
        <v/>
      </c>
      <c r="CK41">
        <f>SUM(CF41:CJ41)</f>
        <v/>
      </c>
      <c r="CL41">
        <f>ROUND(SUM(CG41:CJ41),0)</f>
        <v/>
      </c>
      <c r="CM41">
        <f>IFERROR(INDEX(CSDA!D$1:D$500,MATCH($CM$2,CSDA!C$1:C$500,0))*INDEX(PIS!V$1:V$500,MATCH(D41,PIS!C$1:C$500))+INDEX(ADJ!$A$1:$BZ$1000,MATCH(PAYROLL!D41,ADJ!A$1:A$500,0),MATCH(PAYROLL!CM$2,ADJ!$2:$2,0)),0)</f>
        <v/>
      </c>
      <c r="CN41">
        <f>IFERROR(INDEX(ADJ!$A$1:$BZ$1000,MATCH(PAYROLL!D41,ADJ!A$1:A$500,0),MATCH(PAYROLL!CN$2,ADJ!$2:$2,0)),0)</f>
        <v/>
      </c>
      <c r="CO41">
        <f>IFERROR(INDEX(ADJ!$A$1:$BZ$1000,MATCH(PAYROLL!D41,ADJ!A$1:A$500,0),MATCH(PAYROLL!CO$2,ADJ!$2:$2,0)),0)</f>
        <v/>
      </c>
      <c r="CP41">
        <f>BO41-CK41-CH41-CL41-CM41-CN41-CO41-CB41</f>
        <v/>
      </c>
      <c r="CQ41">
        <f>IFERROR(IF(RIGHT(INDEX(PIS!O$1:O$500,MATCH(D41,PIS!C$1:C$500,0)),5)="Gross",MIN(U41+V41,VLOOKUP("R700",TSC!B:C,2,0)*VLOOKUP("R101",TSC!B:C,2,0))*(VLOOKUP("T711",TSC!B:C,2,0)+VLOOKUP("T712",TSC!B:C,2,0))%,MIN(T41+V41,VLOOKUP("R700",TSC!B:C,2,0)*VLOOKUP("R101",TSC!B:C,2,0))*(VLOOKUP("T711",TSC!B:C,2,0)+VLOOKUP("T712",TSC!B:C,2,0)+VLOOKUP("R701",TSC!B:C,2,0))%),0)</f>
        <v/>
      </c>
      <c r="CR41">
        <f>IFERROR(IF(RIGHT(INDEX(PIS!O$1:O$500,MATCH(D41,PIS!C$1:C$500,0)),5)="Gross",MIN(U41+V41,VLOOKUP("R700",TSC!B:C,2,0)*VLOOKUP("R101",TSC!B:C,2,0))*(VLOOKUP("T714",TSC!B:C,2,0))%,MIN(T41+V41,VLOOKUP("R700",TSC!B:C,2,0)*VLOOKUP("R101",TSC!B:C,2,0))*(VLOOKUP("T704",TSC!B:C,2,0)+VLOOKUP("T714",TSC!B:C,2,0))%),0)</f>
        <v/>
      </c>
      <c r="CS41">
        <f>IFERROR(IF(RIGHT(INDEX(PIS!O$1:O$500,MATCH(D41,PIS!C$1:C$500,0)),5)="Gross",MIN(U41+V41,VLOOKUP("R700",TSC!B:C,2,0)*VLOOKUP("R101",TSC!B:C,2,0))*VLOOKUP("T705",TSC!B:C,2,0)%,MIN(T41+V41,VLOOKUP("R700",TSC!B:C,2,0)*VLOOKUP("R101",TSC!B:C,2,0))*VLOOKUP("T705",TSC!B:C,2,0)%),0)</f>
        <v/>
      </c>
      <c r="CT41">
        <f>IFERROR(IF(RIGHT(INDEX(PIS!O$1:O$500,MATCH(D41,PIS!C$1:C$500,0)),5)="Gross",MIN(U41+V41,VLOOKUP("R700",TSC!B:C,2,0)*VLOOKUP("R101",TSC!B:C,2,0))*(VLOOKUP("T713",TSC!B:C,2,0))%,MIN(T41+V41,VLOOKUP("R700",TSC!B:C,2,0)*VLOOKUP("R101",TSC!B:C,2,0))*(VLOOKUP("T713",TSC!B:C,2,0))%),0)</f>
        <v/>
      </c>
      <c r="CU41">
        <f>IFERROR(INDEX(ADJ!$A$1:$BZ$1000,MATCH(PAYROLL!D41,ADJ!A$1:A$500,0),MATCH(PAYROLL!CU$2,ADJ!$2:$2,0)),0)</f>
        <v/>
      </c>
      <c r="CV41">
        <f>IFERROR(INDEX(ADJ!$A$1:$BZ$1000,MATCH(PAYROLL!D41,ADJ!A$1:A$500,0),MATCH(PAYROLL!CV$2,ADJ!$2:$2,0)),0)</f>
        <v/>
      </c>
      <c r="CW41">
        <f>SUM(CQ41:CV41)</f>
        <v/>
      </c>
      <c r="CX41">
        <f>ROUND(IF(CQ41&gt;0,T41+V41*VLOOKUP("R202",TSC!$B$1:$C$500,2,0),0),0)</f>
        <v/>
      </c>
      <c r="CY41">
        <f>IFERROR(INDEX(CSDA!D$1:D$500,MATCH($CY$2,CSDA!C$1:C$500,0)),0)</f>
        <v/>
      </c>
      <c r="CZ41">
        <f>ROUND(T41*0.7%,0)</f>
        <v/>
      </c>
      <c r="DA41">
        <f>ROUND(T41/12,0)</f>
        <v/>
      </c>
      <c r="DB41">
        <f ref="DB41" t="array">IFERROR(INDEX(CSDA!D$1:D$500,MATCH("Trích giữ"&amp;PAYROLL!DB$2,CSDA!A$1:A$500&amp;CSDA!C$1:C$500,0)),0)</f>
        <v/>
      </c>
      <c r="DC41">
        <f ref="DC41" t="array">IFERROR(INDEX(CSDA!D$1:D$500,MATCH("Trích giữ"&amp;PAYROLL!DC$2,CSDA!A$1:A$500&amp;CSDA!C$1:C$500,0)),0)</f>
        <v/>
      </c>
      <c r="DD41">
        <f ref="DD41" t="array">IFERROR(INDEX(CSDA!D$1:D$500,MATCH("Trích giữ"&amp;PAYROLL!DD$2,CSDA!A$1:A$500&amp;CSDA!C$1:C$500,0)),0)</f>
        <v/>
      </c>
      <c r="DE41">
        <f>IFERROR(INDEX(CSDA!D$1:D$500,MATCH(PAYROLL!DE$2,CSDA!C$1:C$500,0)),0)</f>
        <v/>
      </c>
      <c r="DF41">
        <f ref="DF41" t="array">IFERROR(INDEX(CSDA!D$1:D$500,MATCH("Trích giữ"&amp;PAYROLL!DF$2,CSDA!A$1:A$500&amp;CSDA!C$1:C$500,0)),0)</f>
        <v/>
      </c>
      <c r="DG41">
        <f>ROUND(T41/26,0)</f>
        <v/>
      </c>
      <c r="DH41">
        <f ref="DH41" t="array">IFERROR(INDEX(CSDA!D$1:D$500,MATCH("Trích giữ"&amp;PAYROLL!DH$2,CSDA!A$1:A$500&amp;CSDA!C$1:C$500,0)),0)</f>
        <v/>
      </c>
      <c r="DI41">
        <f>IF(U41=0,T41*21.5%-BK41,0)</f>
        <v/>
      </c>
      <c r="DK41">
        <f ref="DK41" t="array">IFERROR(INDEX(CSDA!D$1:D$500,MATCH("Trích giữ"&amp;PAYROLL!DK$2,CSDA!A$1:A$500&amp;CSDA!C$1:C$500,0)),0)</f>
        <v/>
      </c>
      <c r="DL41">
        <f>IFERROR(INDEX(CSDA!D$1:D$500,MATCH(PAYROLL!DL$2,CSDA!C$1:C$500,0))/12,0)</f>
        <v/>
      </c>
      <c r="DM41">
        <f>SUM(DA41:DL41)</f>
        <v/>
      </c>
      <c r="DN41">
        <f>IFERROR(INDEX(ADJ!$A$1:$BZ$1000,MATCH(PAYROLL!D41,ADJ!A$1:A$500,0),MATCH(PAYROLL!DN$2,ADJ!$2:$2,0)),0)</f>
        <v/>
      </c>
      <c r="DO41">
        <f>IFERROR(SUM(BO41,DM41:DN41,CW41:CZ41)-DT41,0)</f>
        <v/>
      </c>
      <c r="DP41">
        <f ref="DP41" t="array">SUM(BV41*IFERROR(INDEX(CSDA!D$1:D$500,MATCH(BV$2,CSDA!C$1:C$500,0)),0)%,CW41*IFERROR(INDEX(CSDA!D$1:D$500,MATCH(CW$2,CSDA!C$1:C$500,0)),0)%,CZ41*IFERROR(INDEX(CSDA!D$1:D$500,MATCH(CZ$2,CSDA!C$1:C$500,0)),0)%,DA41*IFERROR(INDEX(CSDA!D$1:D$500,MATCH(DA$2,CSDA!C$1:C$500,0)),0)%,DE41*IFERROR(INDEX(CSDA!D$1:D$500,MATCH("Phí dịch vụ"&amp;PAYROLL!DE$2,CSDA!A$1:A$500&amp;CSDA!C$1:C$500,0)),0)%,DB41*IFERROR(INDEX(CSDA!D$1:D$500,MATCH("Phí dịch vụ"&amp;PAYROLL!DB$2,CSDA!A$1:A$500&amp;CSDA!C$1:C$500,0)),0)%,DG41*IFERROR(INDEX(CSDA!D$1:D$500,MATCH("Phí dịch vụ"&amp;PAYROLL!DG$2,CSDA!A$1:A$500&amp;CSDA!C$1:C$500,0)),0)%,DI41*IFERROR(INDEX(CSDA!D$1:D$500,MATCH("Phí dịch vụ"&amp;PAYROLL!DI$2,CSDA!A$1:A$500&amp;CSDA!C$1:C$500,0)),0)%,BM41*IFERROR(INDEX(CSDA!D$1:D$500,MATCH(BM$2,CSDA!C$1:C$500,0)),0)%)-BM41*7%</f>
        <v/>
      </c>
      <c r="DQ41">
        <f>IFERROR(INDEX(ADJ!$A$1:$BZ$1000,MATCH(PAYROLL!D41,ADJ!A$1:A$500,0),MATCH(PAYROLL!DQ$2,ADJ!$2:$2,0)),0)</f>
        <v/>
      </c>
      <c r="DR41">
        <f>IFERROR(INDEX(ADJ!$A$1:$BZ$1000,MATCH(PAYROLL!D41,ADJ!A$1:A$500,0),MATCH(PAYROLL!DR$2,ADJ!$2:$2,0)),0)</f>
        <v/>
      </c>
      <c r="DS41">
        <f>SUM(DP41:DR41)</f>
        <v/>
      </c>
      <c r="DT41">
        <f>EK41</f>
        <v/>
      </c>
      <c r="DU41">
        <f>SUM(DO41:DR41)</f>
        <v/>
      </c>
      <c r="DV41">
        <f>ROUND(DU41*0.1,0)</f>
        <v/>
      </c>
      <c r="DW41">
        <f>DU41+DV41</f>
        <v/>
      </c>
      <c r="DZ41">
        <f>IFERROR(INDEX(ADJ!$A$1:$BZ$1000,MATCH(PAYROLL!$D41,ADJ!A$1:A$500,0),MATCH(PAYROLL!DZ$2,ADJ!$2:$2,0)),0)</f>
        <v/>
      </c>
      <c r="EA41">
        <f>IFERROR(INDEX(ADJ!$A$1:$BZ$1000,MATCH(PAYROLL!$D41,ADJ!A$1:A$500,0),MATCH(PAYROLL!EA$2,ADJ!$2:$2,0)),0)</f>
        <v/>
      </c>
      <c r="EB41">
        <f>IFERROR(INDEX(ADJ!$A$1:$BZ$1000,MATCH(PAYROLL!$D41,ADJ!A$1:A$500,0),MATCH(PAYROLL!EB$2,ADJ!$2:$2,0)),0)</f>
        <v/>
      </c>
      <c r="EC41">
        <f>IFERROR(INDEX(ADJ!$A$1:$BZ$1000,MATCH(PAYROLL!$D41,ADJ!A$1:A$500,0),MATCH(PAYROLL!EC$2,ADJ!$2:$2,0)),0)</f>
        <v/>
      </c>
      <c r="ED41">
        <f>IFERROR(INDEX(ADJ!$A$1:$BZ$1000,MATCH(PAYROLL!$D41,ADJ!A$1:A$500,0),MATCH(PAYROLL!ED$2,ADJ!$2:$2,0)),0)</f>
        <v/>
      </c>
      <c r="EE41">
        <f>IFERROR(INDEX(ADJ!$A$1:$BZ$1000,MATCH(PAYROLL!$D41,ADJ!A$1:A$500,0),MATCH(PAYROLL!EE$2,ADJ!$2:$2,0)),0)</f>
        <v/>
      </c>
      <c r="EF41">
        <f>IFERROR(INDEX(ADJ!$A$1:$BZ$1000,MATCH(PAYROLL!$D41,ADJ!A$1:A$500,0),MATCH(PAYROLL!EF$2,ADJ!$2:$2,0)),0)</f>
        <v/>
      </c>
      <c r="EG41">
        <f>IFERROR(INDEX(ADJ!$A$1:$BZ$1000,MATCH(PAYROLL!$D41,ADJ!A$1:A$500,0),MATCH(PAYROLL!EG$2,ADJ!$2:$2,0)),0)</f>
        <v/>
      </c>
      <c r="EH41">
        <f>IFERROR(INDEX(ADJ!$A$1:$BZ$1000,MATCH(PAYROLL!$D41,ADJ!A$1:A$500,0),MATCH(PAYROLL!EH$2,ADJ!$2:$2,0)),0)</f>
        <v/>
      </c>
      <c r="EI41">
        <f>IFERROR(INDEX(ADJ!$A$1:$BZ$1000,MATCH(PAYROLL!D41,ADJ!A$1:A$500,0),MATCH(PAYROLL!EI$2,ADJ!$2:$2,0)),0)</f>
        <v/>
      </c>
      <c r="EJ41">
        <f>IFERROR(INDEX(ADJ!$A$1:$BZ$1000,MATCH(PAYROLL!$D41,ADJ!A$1:A$500,0),MATCH(PAYROLL!EJ$2,ADJ!$2:$2,0)),0)</f>
        <v/>
      </c>
      <c r="EK41">
        <f>SUM(DZ41:EJ41)</f>
        <v/>
      </c>
    </row>
    <row r="42">
      <c r="A42" t="n">
        <v>40</v>
      </c>
      <c r="B42" t="inlineStr">
        <is>
          <t>Nguyễn Khánh Ninh</t>
        </is>
      </c>
      <c r="D42" t="inlineStr">
        <is>
          <t>158028-01</t>
        </is>
      </c>
      <c r="S42">
        <f>IFERROR(INDEX(PIS!$A$1:$BZ$1000,MATCH($D42,PIS!C$1:C$500,0),MATCH("Lương CB tháng trước",PIS!$1:$1,0)),0)</f>
        <v/>
      </c>
      <c r="T42">
        <f>IFERROR(INDEX(PIS!$A$1:$BZ$1000,MATCH($D42,PIS!C$1:C$500,0),MATCH("Lương CB hiện tại",PIS!$1:$1,0)),0)</f>
        <v/>
      </c>
      <c r="U42">
        <f>IFERROR(INDEX(PIS!$A$1:$BZ$1000,MATCH($D42,PIS!C$1:C$500,0),MATCH("Lương đóng BHBB",PIS!$1:$1,0)),0)</f>
        <v/>
      </c>
      <c r="V42">
        <f>IFERROR(INDEX(PIS!$A$1:$BZ$1000,MATCH($D42,PIS!C$1:C$500,0),MATCH(V$2,PIS!$2:$2,0)),0)</f>
        <v/>
      </c>
      <c r="W42">
        <f>IFERROR(INDEX(PIS!$A$1:$BZ$1000,MATCH($D42,PIS!C$1:C$500,0),MATCH(W$2,PIS!$2:$2,0)),0)</f>
        <v/>
      </c>
      <c r="X42">
        <f>IFERROR(INDEX(PIS!$A$1:$BZ$1000,MATCH($D42,PIS!C$1:C$500,0),MATCH(X$2,PIS!$2:$2,0)),0)</f>
        <v/>
      </c>
      <c r="Y42">
        <f>IFERROR(INDEX(PIS!$A$1:$BZ$1000,MATCH($D42,PIS!C$1:C$500,0),MATCH(Y$2,PIS!$2:$2,0)),0)</f>
        <v/>
      </c>
      <c r="Z42">
        <f>IFERROR(INDEX(PIS!$A$1:$BZ$1000,MATCH($D42,PIS!C$1:C$500,0),MATCH(Z$2,PIS!$2:$2,0)),0)</f>
        <v/>
      </c>
      <c r="AA42">
        <f>IFERROR(INDEX(PIS!$A$1:$BZ$1000,MATCH($D42,PIS!C$1:C$500,0),MATCH(AA$2,PIS!$2:$2,0)),0)</f>
        <v/>
      </c>
      <c r="AB42">
        <f>IFERROR(INDEX(PIS!$A$1:$BZ$1000,MATCH($D42,PIS!C$1:C$500,0),MATCH(AB$2,PIS!$2:$2,0)),0)</f>
        <v/>
      </c>
      <c r="AC42">
        <f>SUM(V42:AB42)</f>
        <v/>
      </c>
      <c r="AD42">
        <f>IFERROR(INDEX(TIMESHEET!$A$1:$AI$5000,MATCH($D42,TIMESHEET!A$1:A$500,0),MATCH("T100",TIMESHEET!$2:$2,0)),0)</f>
        <v/>
      </c>
      <c r="AE42">
        <f>IFERROR(INDEX(TIMESHEET!$A$1:$AI$5000,MATCH($D42,TIMESHEET!A$1:A$500,0),MATCH("T202",TIMESHEET!$2:$2,0)),0)</f>
        <v/>
      </c>
      <c r="AF42">
        <f>IFERROR(INDEX(TIMESHEET!$A$1:$AI$5000,MATCH($D42,TIMESHEET!A$1:A$500,0),MATCH("T302",TIMESHEET!$2:$2,0)),0)</f>
        <v/>
      </c>
      <c r="AG42">
        <f>IFERROR(INDEX(TIMESHEET!$A$1:$AI$5000,MATCH($D42,TIMESHEET!A$1:A$500,0),MATCH("T406",TIMESHEET!$2:$2,0)),0)</f>
        <v/>
      </c>
      <c r="AH42">
        <f>IF(SUM(AE42:AG42)&gt;=26,26,SUM(AE42:AG42))</f>
        <v/>
      </c>
      <c r="AI42">
        <f>IFERROR(INDEX(TIMESHEET!$A$1:$AI$5000,MATCH($D42,TIMESHEET!A$1:A$500,0),MATCH("T701",TIMESHEET!$2:$2,0)),0)</f>
        <v/>
      </c>
      <c r="AJ42">
        <f>IFERROR(IF(INDEX(PIS!N$1:N$500,MATCH(D42,PIS!C$1:C$500,0))="LC4",(T42*0.85)/AD42*AH42,ROUND(T42/AD42*AH42,0)),0)</f>
        <v/>
      </c>
      <c r="AK42">
        <f>IFERROR(INDEX(ADJ!$A$1:$BZ$1000,MATCH(PAYROLL!D42,ADJ!A$1:A$500,0),MATCH(PAYROLL!AK$2,ADJ!$2:$2,0)),0)</f>
        <v/>
      </c>
      <c r="AL42">
        <f>SUM(AJ42:AK42)</f>
        <v/>
      </c>
      <c r="AM42">
        <f>IF(AH42&gt;13,V42,ROUND(V42/AD42*AH42,0))</f>
        <v/>
      </c>
      <c r="AN42">
        <f>IF(AD42=0,0,ROUND(W42/AD42*AI42,0))</f>
        <v/>
      </c>
      <c r="AO42">
        <f>ROUND(X42*AH42,0)</f>
        <v/>
      </c>
      <c r="AP42">
        <f>IF(AD42=0,0,ROUND(Y42/AD42*AH42,0))</f>
        <v/>
      </c>
      <c r="AQ42">
        <f>IFERROR(IF((AE42+AF42+AG42)&gt;13,Z42,ROUND(Z42/AD42*AH42,0)),0)</f>
        <v/>
      </c>
      <c r="AR42">
        <f>IF(AD42=0,0,ROUND(AA71/AD42*AH42,0))</f>
        <v/>
      </c>
      <c r="AS42">
        <f>IFERROR(IF((AE42+AF42+AG42)&gt;13,AB42,ROUND(AB42/AD42*AH42,0)),0)</f>
        <v/>
      </c>
      <c r="AT42">
        <f>IFERROR(INDEX(ADJ!$A$1:$BZ$1000,MATCH(PAYROLL!D42,ADJ!A$1:A$500,0),MATCH(PAYROLL!AT$2,ADJ!$2:$2,0)),0)</f>
        <v/>
      </c>
      <c r="AU42">
        <f>ROUND(SUM(AM42:AT42),0)</f>
        <v/>
      </c>
      <c r="AV42">
        <f>IFERROR(INDEX(TIMESHEET!$A$1:$AI$5000,MATCH(PAYROLL!D42,TIMESHEET!A$1:A$500,0),MATCH("T620",TIMESHEET!$2:$2,0)),0)</f>
        <v/>
      </c>
      <c r="AW42">
        <f>IFERROR(INDEX(TIMESHEET!$A$1:$AI$5000,MATCH(PAYROLL!D42,TIMESHEET!A$1:A$500,0),MATCH("T601",TIMESHEET!$2:$2,0)),0)</f>
        <v/>
      </c>
      <c r="AX42">
        <f>IFERROR(INDEX(TIMESHEET!$A$1:$AI$5000,MATCH(PAYROLL!D42,TIMESHEET!A$1:A$500,0),MATCH("T602",TIMESHEET!$2:$2,0)),0)</f>
        <v/>
      </c>
      <c r="AY42">
        <f>IFERROR(INDEX(TIMESHEET!$A$1:$AI$5000,MATCH(PAYROLL!D42,TIMESHEET!A$1:A$500,0),MATCH("T603",TIMESHEET!$2:$2,0)),0)</f>
        <v/>
      </c>
      <c r="AZ42">
        <f>IFERROR(INDEX(TIMESHEET!$A$1:$AI$5000,MATCH(PAYROLL!D42,TIMESHEET!A$1:A$500,0),MATCH("T611",TIMESHEET!$2:$2,0)),0)</f>
        <v/>
      </c>
      <c r="BA42">
        <f>IFERROR(INDEX(TIMESHEET!$A$1:$AI$5000,MATCH(PAYROLL!D42,TIMESHEET!A$1:A$500,0),MATCH("T612",TIMESHEET!$2:$2,0)),0)</f>
        <v/>
      </c>
      <c r="BB42">
        <f>IFERROR(INDEX(TIMESHEET!$A$1:$AI$5000,MATCH(PAYROLL!D42,TIMESHEET!A$1:A$500,0),MATCH("T613",TIMESHEET!$2:$2,0)),0)</f>
        <v/>
      </c>
      <c r="BC42">
        <f>IFERROR(INDEX(TIMESHEET!$A$1:$AI$5000,MATCH(PAYROLL!D42,TIMESHEET!A$1:A$500,0),MATCH("T500",TIMESHEET!$2:$2,0)),0)</f>
        <v/>
      </c>
      <c r="BD42">
        <f>IFERROR((T42+V42)/AD42/8*(AV42+AW42*1.5+AX42*2+AY42*3+AZ42*2.1+BA42*2.7+BB42*3.9+BC42*0.3),0)</f>
        <v/>
      </c>
      <c r="BE42">
        <f>IFERROR(INDEX(ADJ!$A$1:$BZ$1000,MATCH(PAYROLL!$D42,ADJ!A$1:A$500,0),MATCH(PAYROLL!BE$2,ADJ!$2:$2,0)),0)</f>
        <v/>
      </c>
      <c r="BF42">
        <f>IFERROR(INDEX(ADJ!$A$1:$BZ$1000,MATCH(PAYROLL!D42,ADJ!A$1:A$500,0),MATCH(PAYROLL!BF$2,ADJ!$2:$2,0)),0)</f>
        <v/>
      </c>
      <c r="BG42">
        <f>IFERROR(INDEX(ADJ!$A$1:$BZ$1000,MATCH(PAYROLL!D42,ADJ!A$1:A$500,0),MATCH(PAYROLL!BG$2,ADJ!$2:$2,0)),0)</f>
        <v/>
      </c>
      <c r="BH42">
        <f>IFERROR(INDEX(ADJ!$A$1:$BZ$1000,MATCH(PAYROLL!D42,ADJ!A$1:A$500,0),MATCH(PAYROLL!BH$2,ADJ!$2:$2,0)),0)</f>
        <v/>
      </c>
      <c r="BI42">
        <f>IFERROR(INDEX(ADJ!$A$1:$BZ$1000,MATCH(PAYROLL!D42,ADJ!A$1:A$500,0),MATCH(PAYROLL!BI$2,ADJ!$2:$2,0)),0)</f>
        <v/>
      </c>
      <c r="BJ42">
        <f>SUM(BE42:BI42)</f>
        <v/>
      </c>
      <c r="BK42">
        <f>IFERROR(IF(INDEX(PIS!N$1:N$500,MATCH(D42,PIS!C$1:C$500))="LC12",(T42*21.5%)/AD42*AH42,0),0)</f>
        <v/>
      </c>
      <c r="BL42">
        <f>IFERROR(INDEX(ADJ!$A$1:$BZ$1000,MATCH(PAYROLL!D42,ADJ!A$1:A$500,0),MATCH(PAYROLL!BL$2,ADJ!$2:$2,0)),0)</f>
        <v/>
      </c>
      <c r="BM42">
        <f>IFERROR(INDEX(ADJ!$A$1:$BZ$1000,MATCH(PAYROLL!D42,ADJ!A$1:A$500,0),MATCH(PAYROLL!BM$2,ADJ!$2:$2,0)),0)</f>
        <v/>
      </c>
      <c r="BN42">
        <f>IFERROR(INDEX(ADJ!$A$1:$BZ$1000,MATCH(PAYROLL!D42,ADJ!A$1:A$500,0),MATCH(PAYROLL!BN$2,ADJ!$2:$2,0)),0)</f>
        <v/>
      </c>
      <c r="BO42">
        <f>SUM(AL42,AU42,BD42,BJ42,BK42:BN42)</f>
        <v/>
      </c>
      <c r="BP42">
        <f>BN42+AP42</f>
        <v/>
      </c>
      <c r="BQ42">
        <f>IFERROR(ROUND(IF(LEFT(INDEX(PIS!O$1:O$500,MATCH(D42,PIS!C$1:C$500)),1)="D",T42/8*(BC42*0.3),IF(LEFT(INDEX(PIS!O$1:O$500,MATCH(D42,PIS!C$1:C$500)),1)="H",T42*($BC42*0.3),T42/$AD42/8*($BC42*0.3))),0),0)</f>
        <v/>
      </c>
      <c r="BR42">
        <f>IF(AO42&lt;1,0,MIN(AO42,730000))</f>
        <v/>
      </c>
      <c r="BS42">
        <f>IFERROR(ROUND((BD42-SUM(AV42:BB42)*T42/AD42/8),0)-BQ42,0)</f>
        <v/>
      </c>
      <c r="BT42">
        <f>AN42</f>
        <v/>
      </c>
      <c r="BU42">
        <f>SUM(BP42:BT42)</f>
        <v/>
      </c>
      <c r="BV42">
        <f>BO42-BU42</f>
        <v/>
      </c>
      <c r="BW42">
        <f>IFERROR(IF(RIGHT(INDEX(PIS!O$1:O$500,MATCH(D42,PIS!C$1:C$500)),5)="Gross",MIN(U42+V42,VLOOKUP("R700",TSC!B:C,2,0)*VLOOKUP("R101",TSC!B:C,2,0))*VLOOKUP("R701",TSC!B:C,2,0)%,0),0)</f>
        <v/>
      </c>
      <c r="BX42">
        <f>IFERROR(IF(RIGHT(INDEX(PIS!O$1:O$500,MATCH(D42,PIS!C$1:C$500)),5)="Gross",MIN(U42+V42,VLOOKUP("R700",TSC!B:C,2,0)*VLOOKUP("R101",TSC!B:C,2,0))*VLOOKUP("T704",TSC!B:C,2,0)%,0),0)</f>
        <v/>
      </c>
      <c r="BY42">
        <f>IFERROR(IF(RIGHT(INDEX(PIS!O$1:O$500,MATCH(D42,PIS!C$1:C$500)),5)="Gross",MIN(U42+V42,VLOOKUP("R700",TSC!B:C,2,0)*VLOOKUP("1",TSC!F:G,2,0))*VLOOKUP("T705",TSC!B:C,2,0)%,0),0)</f>
        <v/>
      </c>
      <c r="BZ42">
        <f>IFERROR(INDEX(ADJ!$A$1:$BZ$1000,MATCH(PAYROLL!D42,ADJ!A$1:A$500,0),MATCH(PAYROLL!BZ$2,ADJ!$2:$2,0)),0)</f>
        <v/>
      </c>
      <c r="CA42">
        <f>IFERROR(INDEX(ADJ!$A$1:$BZ$1000,MATCH(PAYROLL!D42,ADJ!A$1:A$500,0),MATCH(PAYROLL!CA$2,ADJ!$2:$2,0)),0)</f>
        <v/>
      </c>
      <c r="CB42">
        <f>SUM(BW42:CA42)</f>
        <v/>
      </c>
      <c r="CC42">
        <f>IFERROR(INDEX(PIS!$A$1:$BZ$1000,MATCH(PAYROLL!D42,PIS!C$1:C$500,0),MATCH(PAYROLL!CC$1,PIS!$1:$1,0)),0)</f>
        <v/>
      </c>
      <c r="CD42">
        <f>IFERROR(IF(OR(INDEX(PIS!P$1:P$500,MATCH(D42,PIS!C$1:C$500,0))="LT2",INDEX(PIS!P$1:P$500,MATCH(D42,PIS!C$1:C$500,0))="P10"),0,SUM(CB42,CC42*VLOOKUP("R601",TSC!B:C,2,0),VLOOKUP("R602",TSC!B:C,2,0))),0)</f>
        <v/>
      </c>
      <c r="CE42">
        <f>MAX(BV42-CD42,0)</f>
        <v/>
      </c>
      <c r="CF42">
        <f>IFERROR(IF(OR(RIGHT(INDEX(PIS!P$1:P$500,MATCH(D42,PIS!C$1:C$500)),5)="P10",RIGHT(INDEX(PIS!P$1:P$500,MATCH(D42,PIS!C$1:C$500)),5)="CK"),0,IF(CE42&lt;=5000000,CE42*5%,IF(CE42&lt;=10000000,CE42*10%-250000,IF(CE42&lt;=18000000,CE42*15%-750000,IF(CE42&lt;=32000000,CE42*20%-1650000,IF(CE42&lt;=52000000,CE42*25%-3250000,IF(CE42&lt;=80000000,BG42*30%-5850000,CE42*35%-9850000))))))),0)</f>
        <v/>
      </c>
      <c r="CG42">
        <f>IFERROR(IF(OR(INDEX(PIS!P$1:P$500,MATCH(D42,PIS!C$1:C$500))="LT",INDEX(PIS!P$1:P$500,MATCH(D42,PIS!C$1:C$500))="CK"),0,IF(CE42&lt;2000000,0,CE42*10%)),0)</f>
        <v/>
      </c>
      <c r="CH42">
        <f>IFERROR(INDEX(ADJ!$A$1:$BZ$1000,MATCH(PAYROLL!D42,ADJ!A$1:A$500,0),MATCH(PAYROLL!CH$2,ADJ!$2:$2,0)),0)</f>
        <v/>
      </c>
      <c r="CI42">
        <f>IFERROR(INDEX(ADJ!$A$1:$BZ$1000,MATCH(PAYROLL!D42,ADJ!A$1:A$500,0),MATCH(PAYROLL!CI$2,ADJ!$2:$2,0)),0)</f>
        <v/>
      </c>
      <c r="CJ42">
        <f>IFERROR(INDEX(ADJ!$A$1:$BZ$1000,MATCH(PAYROLL!D42,ADJ!A$1:A$500,0),MATCH(PAYROLL!CJ$2,ADJ!$2:$2,0)),0)</f>
        <v/>
      </c>
      <c r="CK42">
        <f>SUM(CF42:CJ42)</f>
        <v/>
      </c>
      <c r="CL42">
        <f>ROUND(SUM(CG42:CJ42),0)</f>
        <v/>
      </c>
      <c r="CM42">
        <f>IFERROR(INDEX(CSDA!D$1:D$500,MATCH($CM$2,CSDA!C$1:C$500,0))*INDEX(PIS!V$1:V$500,MATCH(D42,PIS!C$1:C$500))+INDEX(ADJ!$A$1:$BZ$1000,MATCH(PAYROLL!D42,ADJ!A$1:A$500,0),MATCH(PAYROLL!CM$2,ADJ!$2:$2,0)),0)</f>
        <v/>
      </c>
      <c r="CN42">
        <f>IFERROR(INDEX(ADJ!$A$1:$BZ$1000,MATCH(PAYROLL!D42,ADJ!A$1:A$500,0),MATCH(PAYROLL!CN$2,ADJ!$2:$2,0)),0)</f>
        <v/>
      </c>
      <c r="CO42">
        <f>IFERROR(INDEX(ADJ!$A$1:$BZ$1000,MATCH(PAYROLL!D42,ADJ!A$1:A$500,0),MATCH(PAYROLL!CO$2,ADJ!$2:$2,0)),0)</f>
        <v/>
      </c>
      <c r="CP42">
        <f>BO42-CK42-CH42-CL42-CM42-CN42-CO42-CB42</f>
        <v/>
      </c>
      <c r="CQ42">
        <f>IFERROR(IF(RIGHT(INDEX(PIS!O$1:O$500,MATCH(D42,PIS!C$1:C$500,0)),5)="Gross",MIN(U42+V42,VLOOKUP("R700",TSC!B:C,2,0)*VLOOKUP("R101",TSC!B:C,2,0))*(VLOOKUP("T711",TSC!B:C,2,0)+VLOOKUP("T712",TSC!B:C,2,0))%,MIN(T42+V42,VLOOKUP("R700",TSC!B:C,2,0)*VLOOKUP("R101",TSC!B:C,2,0))*(VLOOKUP("T711",TSC!B:C,2,0)+VLOOKUP("T712",TSC!B:C,2,0)+VLOOKUP("R701",TSC!B:C,2,0))%),0)</f>
        <v/>
      </c>
      <c r="CR42">
        <f>IFERROR(IF(RIGHT(INDEX(PIS!O$1:O$500,MATCH(D42,PIS!C$1:C$500,0)),5)="Gross",MIN(U42+V42,VLOOKUP("R700",TSC!B:C,2,0)*VLOOKUP("R101",TSC!B:C,2,0))*(VLOOKUP("T714",TSC!B:C,2,0))%,MIN(T42+V42,VLOOKUP("R700",TSC!B:C,2,0)*VLOOKUP("R101",TSC!B:C,2,0))*(VLOOKUP("T704",TSC!B:C,2,0)+VLOOKUP("T714",TSC!B:C,2,0))%),0)</f>
        <v/>
      </c>
      <c r="CS42">
        <f>IFERROR(IF(RIGHT(INDEX(PIS!O$1:O$500,MATCH(D42,PIS!C$1:C$500,0)),5)="Gross",MIN(U42+V42,VLOOKUP("R700",TSC!B:C,2,0)*VLOOKUP("R101",TSC!B:C,2,0))*VLOOKUP("T705",TSC!B:C,2,0)%,MIN(T42+V42,VLOOKUP("R700",TSC!B:C,2,0)*VLOOKUP("R101",TSC!B:C,2,0))*VLOOKUP("T705",TSC!B:C,2,0)%),0)</f>
        <v/>
      </c>
      <c r="CT42">
        <f>IFERROR(IF(RIGHT(INDEX(PIS!O$1:O$500,MATCH(D42,PIS!C$1:C$500,0)),5)="Gross",MIN(U42+V42,VLOOKUP("R700",TSC!B:C,2,0)*VLOOKUP("R101",TSC!B:C,2,0))*(VLOOKUP("T713",TSC!B:C,2,0))%,MIN(T42+V42,VLOOKUP("R700",TSC!B:C,2,0)*VLOOKUP("R101",TSC!B:C,2,0))*(VLOOKUP("T713",TSC!B:C,2,0))%),0)</f>
        <v/>
      </c>
      <c r="CU42">
        <f>IFERROR(INDEX(ADJ!$A$1:$BZ$1000,MATCH(PAYROLL!D42,ADJ!A$1:A$500,0),MATCH(PAYROLL!CU$2,ADJ!$2:$2,0)),0)</f>
        <v/>
      </c>
      <c r="CV42">
        <f>IFERROR(INDEX(ADJ!$A$1:$BZ$1000,MATCH(PAYROLL!D42,ADJ!A$1:A$500,0),MATCH(PAYROLL!CV$2,ADJ!$2:$2,0)),0)</f>
        <v/>
      </c>
      <c r="CW42">
        <f>SUM(CQ42:CV42)</f>
        <v/>
      </c>
      <c r="CX42">
        <f>ROUND(IF(CQ42&gt;0,T42+V42*VLOOKUP("R202",TSC!$B$1:$C$500,2,0),0),0)</f>
        <v/>
      </c>
      <c r="CY42">
        <f>IFERROR(INDEX(CSDA!D$1:D$500,MATCH($CY$2,CSDA!C$1:C$500,0)),0)</f>
        <v/>
      </c>
      <c r="CZ42">
        <f>ROUND(T42*0.7%,0)</f>
        <v/>
      </c>
      <c r="DA42">
        <f>ROUND(T42/12,0)</f>
        <v/>
      </c>
      <c r="DB42">
        <f ref="DB42" t="array">IFERROR(INDEX(CSDA!D$1:D$500,MATCH("Trích giữ"&amp;PAYROLL!DB$2,CSDA!A$1:A$500&amp;CSDA!C$1:C$500,0)),0)</f>
        <v/>
      </c>
      <c r="DC42">
        <f ref="DC42" t="array">IFERROR(INDEX(CSDA!D$1:D$500,MATCH("Trích giữ"&amp;PAYROLL!DC$2,CSDA!A$1:A$500&amp;CSDA!C$1:C$500,0)),0)</f>
        <v/>
      </c>
      <c r="DD42">
        <f ref="DD42" t="array">IFERROR(INDEX(CSDA!D$1:D$500,MATCH("Trích giữ"&amp;PAYROLL!DD$2,CSDA!A$1:A$500&amp;CSDA!C$1:C$500,0)),0)</f>
        <v/>
      </c>
      <c r="DE42">
        <f>IFERROR(INDEX(CSDA!D$1:D$500,MATCH(PAYROLL!DE$2,CSDA!C$1:C$500,0)),0)</f>
        <v/>
      </c>
      <c r="DF42">
        <f ref="DF42" t="array">IFERROR(INDEX(CSDA!D$1:D$500,MATCH("Trích giữ"&amp;PAYROLL!DF$2,CSDA!A$1:A$500&amp;CSDA!C$1:C$500,0)),0)</f>
        <v/>
      </c>
      <c r="DG42">
        <f>ROUND(T42/26,0)</f>
        <v/>
      </c>
      <c r="DH42">
        <f ref="DH42" t="array">IFERROR(INDEX(CSDA!D$1:D$500,MATCH("Trích giữ"&amp;PAYROLL!DH$2,CSDA!A$1:A$500&amp;CSDA!C$1:C$500,0)),0)</f>
        <v/>
      </c>
      <c r="DI42">
        <f>IF(U42=0,T42*21.5%-BK42,0)</f>
        <v/>
      </c>
      <c r="DK42">
        <f ref="DK42" t="array">IFERROR(INDEX(CSDA!D$1:D$500,MATCH("Trích giữ"&amp;PAYROLL!DK$2,CSDA!A$1:A$500&amp;CSDA!C$1:C$500,0)),0)</f>
        <v/>
      </c>
      <c r="DL42">
        <f>IFERROR(INDEX(CSDA!D$1:D$500,MATCH(PAYROLL!DL$2,CSDA!C$1:C$500,0))/12,0)</f>
        <v/>
      </c>
      <c r="DM42">
        <f>SUM(DA42:DL42)</f>
        <v/>
      </c>
      <c r="DN42">
        <f>IFERROR(INDEX(ADJ!$A$1:$BZ$1000,MATCH(PAYROLL!D42,ADJ!A$1:A$500,0),MATCH(PAYROLL!DN$2,ADJ!$2:$2,0)),0)</f>
        <v/>
      </c>
      <c r="DO42">
        <f>IFERROR(SUM(BO42,DM42:DN42,CW42:CZ42)-DT42,0)</f>
        <v/>
      </c>
      <c r="DP42">
        <f ref="DP42" t="array">SUM(BV42*IFERROR(INDEX(CSDA!D$1:D$500,MATCH(BV$2,CSDA!C$1:C$500,0)),0)%,CW42*IFERROR(INDEX(CSDA!D$1:D$500,MATCH(CW$2,CSDA!C$1:C$500,0)),0)%,CZ42*IFERROR(INDEX(CSDA!D$1:D$500,MATCH(CZ$2,CSDA!C$1:C$500,0)),0)%,DA42*IFERROR(INDEX(CSDA!D$1:D$500,MATCH(DA$2,CSDA!C$1:C$500,0)),0)%,DE42*IFERROR(INDEX(CSDA!D$1:D$500,MATCH("Phí dịch vụ"&amp;PAYROLL!DE$2,CSDA!A$1:A$500&amp;CSDA!C$1:C$500,0)),0)%,DB42*IFERROR(INDEX(CSDA!D$1:D$500,MATCH("Phí dịch vụ"&amp;PAYROLL!DB$2,CSDA!A$1:A$500&amp;CSDA!C$1:C$500,0)),0)%,DG42*IFERROR(INDEX(CSDA!D$1:D$500,MATCH("Phí dịch vụ"&amp;PAYROLL!DG$2,CSDA!A$1:A$500&amp;CSDA!C$1:C$500,0)),0)%,DI42*IFERROR(INDEX(CSDA!D$1:D$500,MATCH("Phí dịch vụ"&amp;PAYROLL!DI$2,CSDA!A$1:A$500&amp;CSDA!C$1:C$500,0)),0)%,BM42*IFERROR(INDEX(CSDA!D$1:D$500,MATCH(BM$2,CSDA!C$1:C$500,0)),0)%)-BM42*7%</f>
        <v/>
      </c>
      <c r="DQ42">
        <f>IFERROR(INDEX(ADJ!$A$1:$BZ$1000,MATCH(PAYROLL!D42,ADJ!A$1:A$500,0),MATCH(PAYROLL!DQ$2,ADJ!$2:$2,0)),0)</f>
        <v/>
      </c>
      <c r="DR42">
        <f>IFERROR(INDEX(ADJ!$A$1:$BZ$1000,MATCH(PAYROLL!D42,ADJ!A$1:A$500,0),MATCH(PAYROLL!DR$2,ADJ!$2:$2,0)),0)</f>
        <v/>
      </c>
      <c r="DS42">
        <f>SUM(DP42:DR42)</f>
        <v/>
      </c>
      <c r="DT42">
        <f>EK42</f>
        <v/>
      </c>
      <c r="DU42">
        <f>SUM(DO42:DR42)</f>
        <v/>
      </c>
      <c r="DV42">
        <f>ROUND(DU42*0.1,0)</f>
        <v/>
      </c>
      <c r="DW42">
        <f>DU42+DV42</f>
        <v/>
      </c>
      <c r="DZ42">
        <f>IFERROR(INDEX(ADJ!$A$1:$BZ$1000,MATCH(PAYROLL!$D42,ADJ!A$1:A$500,0),MATCH(PAYROLL!DZ$2,ADJ!$2:$2,0)),0)</f>
        <v/>
      </c>
      <c r="EA42">
        <f>IFERROR(INDEX(ADJ!$A$1:$BZ$1000,MATCH(PAYROLL!$D42,ADJ!A$1:A$500,0),MATCH(PAYROLL!EA$2,ADJ!$2:$2,0)),0)</f>
        <v/>
      </c>
      <c r="EB42">
        <f>IFERROR(INDEX(ADJ!$A$1:$BZ$1000,MATCH(PAYROLL!$D42,ADJ!A$1:A$500,0),MATCH(PAYROLL!EB$2,ADJ!$2:$2,0)),0)</f>
        <v/>
      </c>
      <c r="EC42">
        <f>IFERROR(INDEX(ADJ!$A$1:$BZ$1000,MATCH(PAYROLL!$D42,ADJ!A$1:A$500,0),MATCH(PAYROLL!EC$2,ADJ!$2:$2,0)),0)</f>
        <v/>
      </c>
      <c r="ED42">
        <f>IFERROR(INDEX(ADJ!$A$1:$BZ$1000,MATCH(PAYROLL!$D42,ADJ!A$1:A$500,0),MATCH(PAYROLL!ED$2,ADJ!$2:$2,0)),0)</f>
        <v/>
      </c>
      <c r="EE42">
        <f>IFERROR(INDEX(ADJ!$A$1:$BZ$1000,MATCH(PAYROLL!$D42,ADJ!A$1:A$500,0),MATCH(PAYROLL!EE$2,ADJ!$2:$2,0)),0)</f>
        <v/>
      </c>
      <c r="EF42">
        <f>IFERROR(INDEX(ADJ!$A$1:$BZ$1000,MATCH(PAYROLL!$D42,ADJ!A$1:A$500,0),MATCH(PAYROLL!EF$2,ADJ!$2:$2,0)),0)</f>
        <v/>
      </c>
      <c r="EG42">
        <f>IFERROR(INDEX(ADJ!$A$1:$BZ$1000,MATCH(PAYROLL!$D42,ADJ!A$1:A$500,0),MATCH(PAYROLL!EG$2,ADJ!$2:$2,0)),0)</f>
        <v/>
      </c>
      <c r="EH42">
        <f>IFERROR(INDEX(ADJ!$A$1:$BZ$1000,MATCH(PAYROLL!$D42,ADJ!A$1:A$500,0),MATCH(PAYROLL!EH$2,ADJ!$2:$2,0)),0)</f>
        <v/>
      </c>
      <c r="EI42">
        <f>IFERROR(INDEX(ADJ!$A$1:$BZ$1000,MATCH(PAYROLL!D42,ADJ!A$1:A$500,0),MATCH(PAYROLL!EI$2,ADJ!$2:$2,0)),0)</f>
        <v/>
      </c>
      <c r="EJ42">
        <f>IFERROR(INDEX(ADJ!$A$1:$BZ$1000,MATCH(PAYROLL!$D42,ADJ!A$1:A$500,0),MATCH(PAYROLL!EJ$2,ADJ!$2:$2,0)),0)</f>
        <v/>
      </c>
      <c r="EK42">
        <f>SUM(DZ42:EJ42)</f>
        <v/>
      </c>
    </row>
    <row r="43">
      <c r="A43" t="n">
        <v>41</v>
      </c>
      <c r="B43" t="inlineStr">
        <is>
          <t>Trần Văn Quang</t>
        </is>
      </c>
      <c r="D43" t="inlineStr">
        <is>
          <t>158197-01</t>
        </is>
      </c>
      <c r="S43">
        <f>IFERROR(INDEX(PIS!$A$1:$BZ$1000,MATCH($D43,PIS!C$1:C$500,0),MATCH("Lương CB tháng trước",PIS!$1:$1,0)),0)</f>
        <v/>
      </c>
      <c r="T43">
        <f>IFERROR(INDEX(PIS!$A$1:$BZ$1000,MATCH($D43,PIS!C$1:C$500,0),MATCH("Lương CB hiện tại",PIS!$1:$1,0)),0)</f>
        <v/>
      </c>
      <c r="U43">
        <f>IFERROR(INDEX(PIS!$A$1:$BZ$1000,MATCH($D43,PIS!C$1:C$500,0),MATCH("Lương đóng BHBB",PIS!$1:$1,0)),0)</f>
        <v/>
      </c>
      <c r="V43">
        <f>IFERROR(INDEX(PIS!$A$1:$BZ$1000,MATCH($D43,PIS!C$1:C$500,0),MATCH(V$2,PIS!$2:$2,0)),0)</f>
        <v/>
      </c>
      <c r="W43">
        <f>IFERROR(INDEX(PIS!$A$1:$BZ$1000,MATCH($D43,PIS!C$1:C$500,0),MATCH(W$2,PIS!$2:$2,0)),0)</f>
        <v/>
      </c>
      <c r="X43">
        <f>IFERROR(INDEX(PIS!$A$1:$BZ$1000,MATCH($D43,PIS!C$1:C$500,0),MATCH(X$2,PIS!$2:$2,0)),0)</f>
        <v/>
      </c>
      <c r="Y43">
        <f>IFERROR(INDEX(PIS!$A$1:$BZ$1000,MATCH($D43,PIS!C$1:C$500,0),MATCH(Y$2,PIS!$2:$2,0)),0)</f>
        <v/>
      </c>
      <c r="Z43">
        <f>IFERROR(INDEX(PIS!$A$1:$BZ$1000,MATCH($D43,PIS!C$1:C$500,0),MATCH(Z$2,PIS!$2:$2,0)),0)</f>
        <v/>
      </c>
      <c r="AA43">
        <f>IFERROR(INDEX(PIS!$A$1:$BZ$1000,MATCH($D43,PIS!C$1:C$500,0),MATCH(AA$2,PIS!$2:$2,0)),0)</f>
        <v/>
      </c>
      <c r="AB43">
        <f>IFERROR(INDEX(PIS!$A$1:$BZ$1000,MATCH($D43,PIS!C$1:C$500,0),MATCH(AB$2,PIS!$2:$2,0)),0)</f>
        <v/>
      </c>
      <c r="AC43">
        <f>SUM(V43:AB43)</f>
        <v/>
      </c>
      <c r="AD43">
        <f>IFERROR(INDEX(TIMESHEET!$A$1:$AI$5000,MATCH($D43,TIMESHEET!A$1:A$500,0),MATCH("T100",TIMESHEET!$2:$2,0)),0)</f>
        <v/>
      </c>
      <c r="AE43">
        <f>IFERROR(INDEX(TIMESHEET!$A$1:$AI$5000,MATCH($D43,TIMESHEET!A$1:A$500,0),MATCH("T202",TIMESHEET!$2:$2,0)),0)</f>
        <v/>
      </c>
      <c r="AF43">
        <f>IFERROR(INDEX(TIMESHEET!$A$1:$AI$5000,MATCH($D43,TIMESHEET!A$1:A$500,0),MATCH("T302",TIMESHEET!$2:$2,0)),0)</f>
        <v/>
      </c>
      <c r="AG43">
        <f>IFERROR(INDEX(TIMESHEET!$A$1:$AI$5000,MATCH($D43,TIMESHEET!A$1:A$500,0),MATCH("T406",TIMESHEET!$2:$2,0)),0)</f>
        <v/>
      </c>
      <c r="AH43">
        <f>IF(SUM(AE43:AG43)&gt;=26,26,SUM(AE43:AG43))</f>
        <v/>
      </c>
      <c r="AI43">
        <f>IFERROR(INDEX(TIMESHEET!$A$1:$AI$5000,MATCH($D43,TIMESHEET!A$1:A$500,0),MATCH("T701",TIMESHEET!$2:$2,0)),0)</f>
        <v/>
      </c>
      <c r="AJ43">
        <f>IFERROR(IF(INDEX(PIS!N$1:N$500,MATCH(D43,PIS!C$1:C$500,0))="LC4",(T43*0.85)/AD43*AH43,ROUND(T43/AD43*AH43,0)),0)</f>
        <v/>
      </c>
      <c r="AK43">
        <f>IFERROR(INDEX(ADJ!$A$1:$BZ$1000,MATCH(PAYROLL!D43,ADJ!A$1:A$500,0),MATCH(PAYROLL!AK$2,ADJ!$2:$2,0)),0)</f>
        <v/>
      </c>
      <c r="AL43">
        <f>SUM(AJ43:AK43)</f>
        <v/>
      </c>
      <c r="AM43">
        <f>IF(AH43&gt;13,V43,ROUND(V43/AD43*AH43,0))</f>
        <v/>
      </c>
      <c r="AN43">
        <f>IF(AD43=0,0,ROUND(W43/AD43*AI43,0))</f>
        <v/>
      </c>
      <c r="AO43">
        <f>ROUND(X43*AH43,0)</f>
        <v/>
      </c>
      <c r="AP43">
        <f>IF(AD43=0,0,ROUND(Y43/AD43*AH43,0))</f>
        <v/>
      </c>
      <c r="AQ43">
        <f>IFERROR(IF((AE43+AF43+AG43)&gt;13,Z43,ROUND(Z43/AD43*AH43,0)),0)</f>
        <v/>
      </c>
      <c r="AR43">
        <f>IF(AD43=0,0,ROUND(AA72/AD43*AH43,0))</f>
        <v/>
      </c>
      <c r="AS43">
        <f>IFERROR(IF((AE43+AF43+AG43)&gt;13,AB43,ROUND(AB43/AD43*AH43,0)),0)</f>
        <v/>
      </c>
      <c r="AT43">
        <f>IFERROR(INDEX(ADJ!$A$1:$BZ$1000,MATCH(PAYROLL!D43,ADJ!A$1:A$500,0),MATCH(PAYROLL!AT$2,ADJ!$2:$2,0)),0)</f>
        <v/>
      </c>
      <c r="AU43">
        <f>ROUND(SUM(AM43:AT43),0)</f>
        <v/>
      </c>
      <c r="AV43">
        <f>IFERROR(INDEX(TIMESHEET!$A$1:$AI$5000,MATCH(PAYROLL!D43,TIMESHEET!A$1:A$500,0),MATCH("T620",TIMESHEET!$2:$2,0)),0)</f>
        <v/>
      </c>
      <c r="AW43">
        <f>IFERROR(INDEX(TIMESHEET!$A$1:$AI$5000,MATCH(PAYROLL!D43,TIMESHEET!A$1:A$500,0),MATCH("T601",TIMESHEET!$2:$2,0)),0)</f>
        <v/>
      </c>
      <c r="AX43">
        <f>IFERROR(INDEX(TIMESHEET!$A$1:$AI$5000,MATCH(PAYROLL!D43,TIMESHEET!A$1:A$500,0),MATCH("T602",TIMESHEET!$2:$2,0)),0)</f>
        <v/>
      </c>
      <c r="AY43">
        <f>IFERROR(INDEX(TIMESHEET!$A$1:$AI$5000,MATCH(PAYROLL!D43,TIMESHEET!A$1:A$500,0),MATCH("T603",TIMESHEET!$2:$2,0)),0)</f>
        <v/>
      </c>
      <c r="AZ43">
        <f>IFERROR(INDEX(TIMESHEET!$A$1:$AI$5000,MATCH(PAYROLL!D43,TIMESHEET!A$1:A$500,0),MATCH("T611",TIMESHEET!$2:$2,0)),0)</f>
        <v/>
      </c>
      <c r="BA43">
        <f>IFERROR(INDEX(TIMESHEET!$A$1:$AI$5000,MATCH(PAYROLL!D43,TIMESHEET!A$1:A$500,0),MATCH("T612",TIMESHEET!$2:$2,0)),0)</f>
        <v/>
      </c>
      <c r="BB43">
        <f>IFERROR(INDEX(TIMESHEET!$A$1:$AI$5000,MATCH(PAYROLL!D43,TIMESHEET!A$1:A$500,0),MATCH("T613",TIMESHEET!$2:$2,0)),0)</f>
        <v/>
      </c>
      <c r="BC43">
        <f>IFERROR(INDEX(TIMESHEET!$A$1:$AI$5000,MATCH(PAYROLL!D43,TIMESHEET!A$1:A$500,0),MATCH("T500",TIMESHEET!$2:$2,0)),0)</f>
        <v/>
      </c>
      <c r="BD43">
        <f>IFERROR((T43+V43)/AD43/8*(AV43+AW43*1.5+AX43*2+AY43*3+AZ43*2.1+BA43*2.7+BB43*3.9+BC43*0.3),0)</f>
        <v/>
      </c>
      <c r="BE43">
        <f>IFERROR(INDEX(ADJ!$A$1:$BZ$1000,MATCH(PAYROLL!$D43,ADJ!A$1:A$500,0),MATCH(PAYROLL!BE$2,ADJ!$2:$2,0)),0)</f>
        <v/>
      </c>
      <c r="BF43">
        <f>IFERROR(INDEX(ADJ!$A$1:$BZ$1000,MATCH(PAYROLL!D43,ADJ!A$1:A$500,0),MATCH(PAYROLL!BF$2,ADJ!$2:$2,0)),0)</f>
        <v/>
      </c>
      <c r="BG43">
        <f>IFERROR(INDEX(ADJ!$A$1:$BZ$1000,MATCH(PAYROLL!D43,ADJ!A$1:A$500,0),MATCH(PAYROLL!BG$2,ADJ!$2:$2,0)),0)</f>
        <v/>
      </c>
      <c r="BH43">
        <f>IFERROR(INDEX(ADJ!$A$1:$BZ$1000,MATCH(PAYROLL!D43,ADJ!A$1:A$500,0),MATCH(PAYROLL!BH$2,ADJ!$2:$2,0)),0)</f>
        <v/>
      </c>
      <c r="BI43">
        <f>IFERROR(INDEX(ADJ!$A$1:$BZ$1000,MATCH(PAYROLL!D43,ADJ!A$1:A$500,0),MATCH(PAYROLL!BI$2,ADJ!$2:$2,0)),0)</f>
        <v/>
      </c>
      <c r="BJ43">
        <f>SUM(BE43:BI43)</f>
        <v/>
      </c>
      <c r="BK43">
        <f>IFERROR(IF(INDEX(PIS!N$1:N$500,MATCH(D43,PIS!C$1:C$500))="LC12",(T43*21.5%)/AD43*AH43,0),0)</f>
        <v/>
      </c>
      <c r="BL43">
        <f>IFERROR(INDEX(ADJ!$A$1:$BZ$1000,MATCH(PAYROLL!D43,ADJ!A$1:A$500,0),MATCH(PAYROLL!BL$2,ADJ!$2:$2,0)),0)</f>
        <v/>
      </c>
      <c r="BM43">
        <f>IFERROR(INDEX(ADJ!$A$1:$BZ$1000,MATCH(PAYROLL!D43,ADJ!A$1:A$500,0),MATCH(PAYROLL!BM$2,ADJ!$2:$2,0)),0)</f>
        <v/>
      </c>
      <c r="BN43">
        <f>IFERROR(INDEX(ADJ!$A$1:$BZ$1000,MATCH(PAYROLL!D43,ADJ!A$1:A$500,0),MATCH(PAYROLL!BN$2,ADJ!$2:$2,0)),0)</f>
        <v/>
      </c>
      <c r="BO43">
        <f>SUM(AL43,AU43,BD43,BJ43,BK43:BN43)</f>
        <v/>
      </c>
      <c r="BP43">
        <f>BN43+AP43</f>
        <v/>
      </c>
      <c r="BQ43">
        <f>IFERROR(ROUND(IF(LEFT(INDEX(PIS!O$1:O$500,MATCH(D43,PIS!C$1:C$500)),1)="D",T43/8*(BC43*0.3),IF(LEFT(INDEX(PIS!O$1:O$500,MATCH(D43,PIS!C$1:C$500)),1)="H",T43*($BC43*0.3),T43/$AD43/8*($BC43*0.3))),0),0)</f>
        <v/>
      </c>
      <c r="BR43">
        <f>IF(AO43&lt;1,0,MIN(AO43,730000))</f>
        <v/>
      </c>
      <c r="BS43">
        <f>IFERROR(ROUND((BD43-SUM(AV43:BB43)*T43/AD43/8),0)-BQ43,0)</f>
        <v/>
      </c>
      <c r="BT43">
        <f>AN43</f>
        <v/>
      </c>
      <c r="BU43">
        <f>SUM(BP43:BT43)</f>
        <v/>
      </c>
      <c r="BV43">
        <f>BO43-BU43</f>
        <v/>
      </c>
      <c r="BW43">
        <f>IFERROR(IF(RIGHT(INDEX(PIS!O$1:O$500,MATCH(D43,PIS!C$1:C$500)),5)="Gross",MIN(U43+V43,VLOOKUP("R700",TSC!B:C,2,0)*VLOOKUP("R101",TSC!B:C,2,0))*VLOOKUP("R701",TSC!B:C,2,0)%,0),0)</f>
        <v/>
      </c>
      <c r="BX43">
        <f>IFERROR(IF(RIGHT(INDEX(PIS!O$1:O$500,MATCH(D43,PIS!C$1:C$500)),5)="Gross",MIN(U43+V43,VLOOKUP("R700",TSC!B:C,2,0)*VLOOKUP("R101",TSC!B:C,2,0))*VLOOKUP("T704",TSC!B:C,2,0)%,0),0)</f>
        <v/>
      </c>
      <c r="BY43">
        <f>IFERROR(IF(RIGHT(INDEX(PIS!O$1:O$500,MATCH(D43,PIS!C$1:C$500)),5)="Gross",MIN(U43+V43,VLOOKUP("R700",TSC!B:C,2,0)*VLOOKUP("1",TSC!F:G,2,0))*VLOOKUP("T705",TSC!B:C,2,0)%,0),0)</f>
        <v/>
      </c>
      <c r="BZ43">
        <f>IFERROR(INDEX(ADJ!$A$1:$BZ$1000,MATCH(PAYROLL!D43,ADJ!A$1:A$500,0),MATCH(PAYROLL!BZ$2,ADJ!$2:$2,0)),0)</f>
        <v/>
      </c>
      <c r="CA43">
        <f>IFERROR(INDEX(ADJ!$A$1:$BZ$1000,MATCH(PAYROLL!D43,ADJ!A$1:A$500,0),MATCH(PAYROLL!CA$2,ADJ!$2:$2,0)),0)</f>
        <v/>
      </c>
      <c r="CB43">
        <f>SUM(BW43:CA43)</f>
        <v/>
      </c>
      <c r="CC43">
        <f>IFERROR(INDEX(PIS!$A$1:$BZ$1000,MATCH(PAYROLL!D43,PIS!C$1:C$500,0),MATCH(PAYROLL!CC$1,PIS!$1:$1,0)),0)</f>
        <v/>
      </c>
      <c r="CD43">
        <f>IFERROR(IF(OR(INDEX(PIS!P$1:P$500,MATCH(D43,PIS!C$1:C$500,0))="LT2",INDEX(PIS!P$1:P$500,MATCH(D43,PIS!C$1:C$500,0))="P10"),0,SUM(CB43,CC43*VLOOKUP("R601",TSC!B:C,2,0),VLOOKUP("R602",TSC!B:C,2,0))),0)</f>
        <v/>
      </c>
      <c r="CE43">
        <f>MAX(BV43-CD43,0)</f>
        <v/>
      </c>
      <c r="CF43">
        <f>IFERROR(IF(OR(RIGHT(INDEX(PIS!P$1:P$500,MATCH(D43,PIS!C$1:C$500)),5)="P10",RIGHT(INDEX(PIS!P$1:P$500,MATCH(D43,PIS!C$1:C$500)),5)="CK"),0,IF(CE43&lt;=5000000,CE43*5%,IF(CE43&lt;=10000000,CE43*10%-250000,IF(CE43&lt;=18000000,CE43*15%-750000,IF(CE43&lt;=32000000,CE43*20%-1650000,IF(CE43&lt;=52000000,CE43*25%-3250000,IF(CE43&lt;=80000000,BG43*30%-5850000,CE43*35%-9850000))))))),0)</f>
        <v/>
      </c>
      <c r="CG43">
        <f>IFERROR(IF(OR(INDEX(PIS!P$1:P$500,MATCH(D43,PIS!C$1:C$500))="LT",INDEX(PIS!P$1:P$500,MATCH(D43,PIS!C$1:C$500))="CK"),0,IF(CE43&lt;2000000,0,CE43*10%)),0)</f>
        <v/>
      </c>
      <c r="CH43">
        <f>IFERROR(INDEX(ADJ!$A$1:$BZ$1000,MATCH(PAYROLL!D43,ADJ!A$1:A$500,0),MATCH(PAYROLL!CH$2,ADJ!$2:$2,0)),0)</f>
        <v/>
      </c>
      <c r="CI43">
        <f>IFERROR(INDEX(ADJ!$A$1:$BZ$1000,MATCH(PAYROLL!D43,ADJ!A$1:A$500,0),MATCH(PAYROLL!CI$2,ADJ!$2:$2,0)),0)</f>
        <v/>
      </c>
      <c r="CJ43">
        <f>IFERROR(INDEX(ADJ!$A$1:$BZ$1000,MATCH(PAYROLL!D43,ADJ!A$1:A$500,0),MATCH(PAYROLL!CJ$2,ADJ!$2:$2,0)),0)</f>
        <v/>
      </c>
      <c r="CK43">
        <f>SUM(CF43:CJ43)</f>
        <v/>
      </c>
      <c r="CL43">
        <f>ROUND(SUM(CG43:CJ43),0)</f>
        <v/>
      </c>
      <c r="CM43">
        <f>IFERROR(INDEX(CSDA!D$1:D$500,MATCH($CM$2,CSDA!C$1:C$500,0))*INDEX(PIS!V$1:V$500,MATCH(D43,PIS!C$1:C$500))+INDEX(ADJ!$A$1:$BZ$1000,MATCH(PAYROLL!D43,ADJ!A$1:A$500,0),MATCH(PAYROLL!CM$2,ADJ!$2:$2,0)),0)</f>
        <v/>
      </c>
      <c r="CN43">
        <f>IFERROR(INDEX(ADJ!$A$1:$BZ$1000,MATCH(PAYROLL!D43,ADJ!A$1:A$500,0),MATCH(PAYROLL!CN$2,ADJ!$2:$2,0)),0)</f>
        <v/>
      </c>
      <c r="CO43">
        <f>IFERROR(INDEX(ADJ!$A$1:$BZ$1000,MATCH(PAYROLL!D43,ADJ!A$1:A$500,0),MATCH(PAYROLL!CO$2,ADJ!$2:$2,0)),0)</f>
        <v/>
      </c>
      <c r="CP43">
        <f>BO43-CK43-CH43-CL43-CM43-CN43-CO43-CB43</f>
        <v/>
      </c>
      <c r="CQ43">
        <f>IFERROR(IF(RIGHT(INDEX(PIS!O$1:O$500,MATCH(D43,PIS!C$1:C$500,0)),5)="Gross",MIN(U43+V43,VLOOKUP("R700",TSC!B:C,2,0)*VLOOKUP("R101",TSC!B:C,2,0))*(VLOOKUP("T711",TSC!B:C,2,0)+VLOOKUP("T712",TSC!B:C,2,0))%,MIN(T43+V43,VLOOKUP("R700",TSC!B:C,2,0)*VLOOKUP("R101",TSC!B:C,2,0))*(VLOOKUP("T711",TSC!B:C,2,0)+VLOOKUP("T712",TSC!B:C,2,0)+VLOOKUP("R701",TSC!B:C,2,0))%),0)</f>
        <v/>
      </c>
      <c r="CR43">
        <f>IFERROR(IF(RIGHT(INDEX(PIS!O$1:O$500,MATCH(D43,PIS!C$1:C$500,0)),5)="Gross",MIN(U43+V43,VLOOKUP("R700",TSC!B:C,2,0)*VLOOKUP("R101",TSC!B:C,2,0))*(VLOOKUP("T714",TSC!B:C,2,0))%,MIN(T43+V43,VLOOKUP("R700",TSC!B:C,2,0)*VLOOKUP("R101",TSC!B:C,2,0))*(VLOOKUP("T704",TSC!B:C,2,0)+VLOOKUP("T714",TSC!B:C,2,0))%),0)</f>
        <v/>
      </c>
      <c r="CS43">
        <f>IFERROR(IF(RIGHT(INDEX(PIS!O$1:O$500,MATCH(D43,PIS!C$1:C$500,0)),5)="Gross",MIN(U43+V43,VLOOKUP("R700",TSC!B:C,2,0)*VLOOKUP("R101",TSC!B:C,2,0))*VLOOKUP("T705",TSC!B:C,2,0)%,MIN(T43+V43,VLOOKUP("R700",TSC!B:C,2,0)*VLOOKUP("R101",TSC!B:C,2,0))*VLOOKUP("T705",TSC!B:C,2,0)%),0)</f>
        <v/>
      </c>
      <c r="CT43">
        <f>IFERROR(IF(RIGHT(INDEX(PIS!O$1:O$500,MATCH(D43,PIS!C$1:C$500,0)),5)="Gross",MIN(U43+V43,VLOOKUP("R700",TSC!B:C,2,0)*VLOOKUP("R101",TSC!B:C,2,0))*(VLOOKUP("T713",TSC!B:C,2,0))%,MIN(T43+V43,VLOOKUP("R700",TSC!B:C,2,0)*VLOOKUP("R101",TSC!B:C,2,0))*(VLOOKUP("T713",TSC!B:C,2,0))%),0)</f>
        <v/>
      </c>
      <c r="CU43">
        <f>IFERROR(INDEX(ADJ!$A$1:$BZ$1000,MATCH(PAYROLL!D43,ADJ!A$1:A$500,0),MATCH(PAYROLL!CU$2,ADJ!$2:$2,0)),0)</f>
        <v/>
      </c>
      <c r="CV43">
        <f>IFERROR(INDEX(ADJ!$A$1:$BZ$1000,MATCH(PAYROLL!D43,ADJ!A$1:A$500,0),MATCH(PAYROLL!CV$2,ADJ!$2:$2,0)),0)</f>
        <v/>
      </c>
      <c r="CW43">
        <f>SUM(CQ43:CV43)</f>
        <v/>
      </c>
      <c r="CX43">
        <f>ROUND(IF(CQ43&gt;0,T43+V43*VLOOKUP("R202",TSC!$B$1:$C$500,2,0),0),0)</f>
        <v/>
      </c>
      <c r="CY43">
        <f>IFERROR(INDEX(CSDA!D$1:D$500,MATCH($CY$2,CSDA!C$1:C$500,0)),0)</f>
        <v/>
      </c>
      <c r="CZ43">
        <f>ROUND(T43*0.7%,0)</f>
        <v/>
      </c>
      <c r="DA43">
        <f>ROUND(T43/12,0)</f>
        <v/>
      </c>
      <c r="DB43">
        <f ref="DB43" t="array">IFERROR(INDEX(CSDA!D$1:D$500,MATCH("Trích giữ"&amp;PAYROLL!DB$2,CSDA!A$1:A$500&amp;CSDA!C$1:C$500,0)),0)</f>
        <v/>
      </c>
      <c r="DC43">
        <f ref="DC43" t="array">IFERROR(INDEX(CSDA!D$1:D$500,MATCH("Trích giữ"&amp;PAYROLL!DC$2,CSDA!A$1:A$500&amp;CSDA!C$1:C$500,0)),0)</f>
        <v/>
      </c>
      <c r="DD43">
        <f ref="DD43" t="array">IFERROR(INDEX(CSDA!D$1:D$500,MATCH("Trích giữ"&amp;PAYROLL!DD$2,CSDA!A$1:A$500&amp;CSDA!C$1:C$500,0)),0)</f>
        <v/>
      </c>
      <c r="DE43">
        <f>IFERROR(INDEX(CSDA!D$1:D$500,MATCH(PAYROLL!DE$2,CSDA!C$1:C$500,0)),0)</f>
        <v/>
      </c>
      <c r="DF43">
        <f ref="DF43" t="array">IFERROR(INDEX(CSDA!D$1:D$500,MATCH("Trích giữ"&amp;PAYROLL!DF$2,CSDA!A$1:A$500&amp;CSDA!C$1:C$500,0)),0)</f>
        <v/>
      </c>
      <c r="DG43">
        <f>ROUND(T43/26,0)</f>
        <v/>
      </c>
      <c r="DH43">
        <f ref="DH43" t="array">IFERROR(INDEX(CSDA!D$1:D$500,MATCH("Trích giữ"&amp;PAYROLL!DH$2,CSDA!A$1:A$500&amp;CSDA!C$1:C$500,0)),0)</f>
        <v/>
      </c>
      <c r="DI43">
        <f>IF(U43=0,T43*21.5%-BK43,0)</f>
        <v/>
      </c>
      <c r="DK43">
        <f ref="DK43" t="array">IFERROR(INDEX(CSDA!D$1:D$500,MATCH("Trích giữ"&amp;PAYROLL!DK$2,CSDA!A$1:A$500&amp;CSDA!C$1:C$500,0)),0)</f>
        <v/>
      </c>
      <c r="DL43">
        <f>IFERROR(INDEX(CSDA!D$1:D$500,MATCH(PAYROLL!DL$2,CSDA!C$1:C$500,0))/12,0)</f>
        <v/>
      </c>
      <c r="DM43">
        <f>SUM(DA43:DL43)</f>
        <v/>
      </c>
      <c r="DN43">
        <f>IFERROR(INDEX(ADJ!$A$1:$BZ$1000,MATCH(PAYROLL!D43,ADJ!A$1:A$500,0),MATCH(PAYROLL!DN$2,ADJ!$2:$2,0)),0)</f>
        <v/>
      </c>
      <c r="DO43">
        <f>IFERROR(SUM(BO43,DM43:DN43,CW43:CZ43)-DT43,0)</f>
        <v/>
      </c>
      <c r="DP43">
        <f ref="DP43" t="array">SUM(BV43*IFERROR(INDEX(CSDA!D$1:D$500,MATCH(BV$2,CSDA!C$1:C$500,0)),0)%,CW43*IFERROR(INDEX(CSDA!D$1:D$500,MATCH(CW$2,CSDA!C$1:C$500,0)),0)%,CZ43*IFERROR(INDEX(CSDA!D$1:D$500,MATCH(CZ$2,CSDA!C$1:C$500,0)),0)%,DA43*IFERROR(INDEX(CSDA!D$1:D$500,MATCH(DA$2,CSDA!C$1:C$500,0)),0)%,DE43*IFERROR(INDEX(CSDA!D$1:D$500,MATCH("Phí dịch vụ"&amp;PAYROLL!DE$2,CSDA!A$1:A$500&amp;CSDA!C$1:C$500,0)),0)%,DB43*IFERROR(INDEX(CSDA!D$1:D$500,MATCH("Phí dịch vụ"&amp;PAYROLL!DB$2,CSDA!A$1:A$500&amp;CSDA!C$1:C$500,0)),0)%,DG43*IFERROR(INDEX(CSDA!D$1:D$500,MATCH("Phí dịch vụ"&amp;PAYROLL!DG$2,CSDA!A$1:A$500&amp;CSDA!C$1:C$500,0)),0)%,DI43*IFERROR(INDEX(CSDA!D$1:D$500,MATCH("Phí dịch vụ"&amp;PAYROLL!DI$2,CSDA!A$1:A$500&amp;CSDA!C$1:C$500,0)),0)%,BM43*IFERROR(INDEX(CSDA!D$1:D$500,MATCH(BM$2,CSDA!C$1:C$500,0)),0)%)-BM43*7%</f>
        <v/>
      </c>
      <c r="DQ43">
        <f>IFERROR(INDEX(ADJ!$A$1:$BZ$1000,MATCH(PAYROLL!D43,ADJ!A$1:A$500,0),MATCH(PAYROLL!DQ$2,ADJ!$2:$2,0)),0)</f>
        <v/>
      </c>
      <c r="DR43">
        <f>IFERROR(INDEX(ADJ!$A$1:$BZ$1000,MATCH(PAYROLL!D43,ADJ!A$1:A$500,0),MATCH(PAYROLL!DR$2,ADJ!$2:$2,0)),0)</f>
        <v/>
      </c>
      <c r="DS43">
        <f>SUM(DP43:DR43)</f>
        <v/>
      </c>
      <c r="DT43">
        <f>EK43</f>
        <v/>
      </c>
      <c r="DU43">
        <f>SUM(DO43:DR43)</f>
        <v/>
      </c>
      <c r="DV43">
        <f>ROUND(DU43*0.1,0)</f>
        <v/>
      </c>
      <c r="DW43">
        <f>DU43+DV43</f>
        <v/>
      </c>
      <c r="DZ43">
        <f>IFERROR(INDEX(ADJ!$A$1:$BZ$1000,MATCH(PAYROLL!$D43,ADJ!A$1:A$500,0),MATCH(PAYROLL!DZ$2,ADJ!$2:$2,0)),0)</f>
        <v/>
      </c>
      <c r="EA43">
        <f>IFERROR(INDEX(ADJ!$A$1:$BZ$1000,MATCH(PAYROLL!$D43,ADJ!A$1:A$500,0),MATCH(PAYROLL!EA$2,ADJ!$2:$2,0)),0)</f>
        <v/>
      </c>
      <c r="EB43">
        <f>IFERROR(INDEX(ADJ!$A$1:$BZ$1000,MATCH(PAYROLL!$D43,ADJ!A$1:A$500,0),MATCH(PAYROLL!EB$2,ADJ!$2:$2,0)),0)</f>
        <v/>
      </c>
      <c r="EC43">
        <f>IFERROR(INDEX(ADJ!$A$1:$BZ$1000,MATCH(PAYROLL!$D43,ADJ!A$1:A$500,0),MATCH(PAYROLL!EC$2,ADJ!$2:$2,0)),0)</f>
        <v/>
      </c>
      <c r="ED43">
        <f>IFERROR(INDEX(ADJ!$A$1:$BZ$1000,MATCH(PAYROLL!$D43,ADJ!A$1:A$500,0),MATCH(PAYROLL!ED$2,ADJ!$2:$2,0)),0)</f>
        <v/>
      </c>
      <c r="EE43">
        <f>IFERROR(INDEX(ADJ!$A$1:$BZ$1000,MATCH(PAYROLL!$D43,ADJ!A$1:A$500,0),MATCH(PAYROLL!EE$2,ADJ!$2:$2,0)),0)</f>
        <v/>
      </c>
      <c r="EF43">
        <f>IFERROR(INDEX(ADJ!$A$1:$BZ$1000,MATCH(PAYROLL!$D43,ADJ!A$1:A$500,0),MATCH(PAYROLL!EF$2,ADJ!$2:$2,0)),0)</f>
        <v/>
      </c>
      <c r="EG43">
        <f>IFERROR(INDEX(ADJ!$A$1:$BZ$1000,MATCH(PAYROLL!$D43,ADJ!A$1:A$500,0),MATCH(PAYROLL!EG$2,ADJ!$2:$2,0)),0)</f>
        <v/>
      </c>
      <c r="EH43">
        <f>IFERROR(INDEX(ADJ!$A$1:$BZ$1000,MATCH(PAYROLL!$D43,ADJ!A$1:A$500,0),MATCH(PAYROLL!EH$2,ADJ!$2:$2,0)),0)</f>
        <v/>
      </c>
      <c r="EI43">
        <f>IFERROR(INDEX(ADJ!$A$1:$BZ$1000,MATCH(PAYROLL!D43,ADJ!A$1:A$500,0),MATCH(PAYROLL!EI$2,ADJ!$2:$2,0)),0)</f>
        <v/>
      </c>
      <c r="EJ43">
        <f>IFERROR(INDEX(ADJ!$A$1:$BZ$1000,MATCH(PAYROLL!$D43,ADJ!A$1:A$500,0),MATCH(PAYROLL!EJ$2,ADJ!$2:$2,0)),0)</f>
        <v/>
      </c>
      <c r="EK43">
        <f>SUM(DZ43:EJ43)</f>
        <v/>
      </c>
    </row>
    <row r="44">
      <c r="A44" t="n">
        <v>42</v>
      </c>
      <c r="B44" t="inlineStr">
        <is>
          <t>Bùi Bình An</t>
        </is>
      </c>
      <c r="D44" t="inlineStr">
        <is>
          <t>157410-01</t>
        </is>
      </c>
      <c r="S44">
        <f>IFERROR(INDEX(PIS!$A$1:$BZ$1000,MATCH($D44,PIS!C$1:C$500,0),MATCH("Lương CB tháng trước",PIS!$1:$1,0)),0)</f>
        <v/>
      </c>
      <c r="T44">
        <f>IFERROR(INDEX(PIS!$A$1:$BZ$1000,MATCH($D44,PIS!C$1:C$500,0),MATCH("Lương CB hiện tại",PIS!$1:$1,0)),0)</f>
        <v/>
      </c>
      <c r="U44">
        <f>IFERROR(INDEX(PIS!$A$1:$BZ$1000,MATCH($D44,PIS!C$1:C$500,0),MATCH("Lương đóng BHBB",PIS!$1:$1,0)),0)</f>
        <v/>
      </c>
      <c r="V44">
        <f>IFERROR(INDEX(PIS!$A$1:$BZ$1000,MATCH($D44,PIS!C$1:C$500,0),MATCH(V$2,PIS!$2:$2,0)),0)</f>
        <v/>
      </c>
      <c r="W44">
        <f>IFERROR(INDEX(PIS!$A$1:$BZ$1000,MATCH($D44,PIS!C$1:C$500,0),MATCH(W$2,PIS!$2:$2,0)),0)</f>
        <v/>
      </c>
      <c r="X44">
        <f>IFERROR(INDEX(PIS!$A$1:$BZ$1000,MATCH($D44,PIS!C$1:C$500,0),MATCH(X$2,PIS!$2:$2,0)),0)</f>
        <v/>
      </c>
      <c r="Y44">
        <f>IFERROR(INDEX(PIS!$A$1:$BZ$1000,MATCH($D44,PIS!C$1:C$500,0),MATCH(Y$2,PIS!$2:$2,0)),0)</f>
        <v/>
      </c>
      <c r="Z44">
        <f>IFERROR(INDEX(PIS!$A$1:$BZ$1000,MATCH($D44,PIS!C$1:C$500,0),MATCH(Z$2,PIS!$2:$2,0)),0)</f>
        <v/>
      </c>
      <c r="AA44">
        <f>IFERROR(INDEX(PIS!$A$1:$BZ$1000,MATCH($D44,PIS!C$1:C$500,0),MATCH(AA$2,PIS!$2:$2,0)),0)</f>
        <v/>
      </c>
      <c r="AB44">
        <f>IFERROR(INDEX(PIS!$A$1:$BZ$1000,MATCH($D44,PIS!C$1:C$500,0),MATCH(AB$2,PIS!$2:$2,0)),0)</f>
        <v/>
      </c>
      <c r="AC44">
        <f>SUM(V44:AB44)</f>
        <v/>
      </c>
      <c r="AD44">
        <f>IFERROR(INDEX(TIMESHEET!$A$1:$AI$5000,MATCH($D44,TIMESHEET!A$1:A$500,0),MATCH("T100",TIMESHEET!$2:$2,0)),0)</f>
        <v/>
      </c>
      <c r="AE44">
        <f>IFERROR(INDEX(TIMESHEET!$A$1:$AI$5000,MATCH($D44,TIMESHEET!A$1:A$500,0),MATCH("T202",TIMESHEET!$2:$2,0)),0)</f>
        <v/>
      </c>
      <c r="AF44">
        <f>IFERROR(INDEX(TIMESHEET!$A$1:$AI$5000,MATCH($D44,TIMESHEET!A$1:A$500,0),MATCH("T302",TIMESHEET!$2:$2,0)),0)</f>
        <v/>
      </c>
      <c r="AG44">
        <f>IFERROR(INDEX(TIMESHEET!$A$1:$AI$5000,MATCH($D44,TIMESHEET!A$1:A$500,0),MATCH("T406",TIMESHEET!$2:$2,0)),0)</f>
        <v/>
      </c>
      <c r="AH44">
        <f>IF(SUM(AE44:AG44)&gt;=26,26,SUM(AE44:AG44))</f>
        <v/>
      </c>
      <c r="AI44">
        <f>IFERROR(INDEX(TIMESHEET!$A$1:$AI$5000,MATCH($D44,TIMESHEET!A$1:A$500,0),MATCH("T701",TIMESHEET!$2:$2,0)),0)</f>
        <v/>
      </c>
      <c r="AJ44">
        <f>IFERROR(IF(INDEX(PIS!N$1:N$500,MATCH(D44,PIS!C$1:C$500,0))="LC4",(T44*0.85)/AD44*AH44,ROUND(T44/AD44*AH44,0)),0)</f>
        <v/>
      </c>
      <c r="AK44">
        <f>IFERROR(INDEX(ADJ!$A$1:$BZ$1000,MATCH(PAYROLL!D44,ADJ!A$1:A$500,0),MATCH(PAYROLL!AK$2,ADJ!$2:$2,0)),0)</f>
        <v/>
      </c>
      <c r="AL44">
        <f>SUM(AJ44:AK44)</f>
        <v/>
      </c>
      <c r="AM44">
        <f>IF(AH44&gt;13,V44,ROUND(V44/AD44*AH44,0))</f>
        <v/>
      </c>
      <c r="AN44">
        <f>IF(AD44=0,0,ROUND(W44/AD44*AI44,0))</f>
        <v/>
      </c>
      <c r="AO44">
        <f>ROUND(X44*AH44,0)</f>
        <v/>
      </c>
      <c r="AP44">
        <f>IF(AD44=0,0,ROUND(Y44/AD44*AH44,0))</f>
        <v/>
      </c>
      <c r="AQ44">
        <f>IFERROR(IF((AE44+AF44+AG44)&gt;13,Z44,ROUND(Z44/AD44*AH44,0)),0)</f>
        <v/>
      </c>
      <c r="AR44">
        <f>IF(AD44=0,0,ROUND(AA73/AD44*AH44,0))</f>
        <v/>
      </c>
      <c r="AS44">
        <f>IFERROR(IF((AE44+AF44+AG44)&gt;13,AB44,ROUND(AB44/AD44*AH44,0)),0)</f>
        <v/>
      </c>
      <c r="AT44">
        <f>IFERROR(INDEX(ADJ!$A$1:$BZ$1000,MATCH(PAYROLL!D44,ADJ!A$1:A$500,0),MATCH(PAYROLL!AT$2,ADJ!$2:$2,0)),0)</f>
        <v/>
      </c>
      <c r="AU44">
        <f>ROUND(SUM(AM44:AT44),0)</f>
        <v/>
      </c>
      <c r="AV44">
        <f>IFERROR(INDEX(TIMESHEET!$A$1:$AI$5000,MATCH(PAYROLL!D44,TIMESHEET!A$1:A$500,0),MATCH("T620",TIMESHEET!$2:$2,0)),0)</f>
        <v/>
      </c>
      <c r="AW44">
        <f>IFERROR(INDEX(TIMESHEET!$A$1:$AI$5000,MATCH(PAYROLL!D44,TIMESHEET!A$1:A$500,0),MATCH("T601",TIMESHEET!$2:$2,0)),0)</f>
        <v/>
      </c>
      <c r="AX44">
        <f>IFERROR(INDEX(TIMESHEET!$A$1:$AI$5000,MATCH(PAYROLL!D44,TIMESHEET!A$1:A$500,0),MATCH("T602",TIMESHEET!$2:$2,0)),0)</f>
        <v/>
      </c>
      <c r="AY44">
        <f>IFERROR(INDEX(TIMESHEET!$A$1:$AI$5000,MATCH(PAYROLL!D44,TIMESHEET!A$1:A$500,0),MATCH("T603",TIMESHEET!$2:$2,0)),0)</f>
        <v/>
      </c>
      <c r="AZ44">
        <f>IFERROR(INDEX(TIMESHEET!$A$1:$AI$5000,MATCH(PAYROLL!D44,TIMESHEET!A$1:A$500,0),MATCH("T611",TIMESHEET!$2:$2,0)),0)</f>
        <v/>
      </c>
      <c r="BA44">
        <f>IFERROR(INDEX(TIMESHEET!$A$1:$AI$5000,MATCH(PAYROLL!D44,TIMESHEET!A$1:A$500,0),MATCH("T612",TIMESHEET!$2:$2,0)),0)</f>
        <v/>
      </c>
      <c r="BB44">
        <f>IFERROR(INDEX(TIMESHEET!$A$1:$AI$5000,MATCH(PAYROLL!D44,TIMESHEET!A$1:A$500,0),MATCH("T613",TIMESHEET!$2:$2,0)),0)</f>
        <v/>
      </c>
      <c r="BC44">
        <f>IFERROR(INDEX(TIMESHEET!$A$1:$AI$5000,MATCH(PAYROLL!D44,TIMESHEET!A$1:A$500,0),MATCH("T500",TIMESHEET!$2:$2,0)),0)</f>
        <v/>
      </c>
      <c r="BD44">
        <f>IFERROR((T44+V44)/AD44/8*(AV44+AW44*1.5+AX44*2+AY44*3+AZ44*2.1+BA44*2.7+BB44*3.9+BC44*0.3),0)</f>
        <v/>
      </c>
      <c r="BE44">
        <f>IFERROR(INDEX(ADJ!$A$1:$BZ$1000,MATCH(PAYROLL!$D44,ADJ!A$1:A$500,0),MATCH(PAYROLL!BE$2,ADJ!$2:$2,0)),0)</f>
        <v/>
      </c>
      <c r="BF44">
        <f>IFERROR(INDEX(ADJ!$A$1:$BZ$1000,MATCH(PAYROLL!D44,ADJ!A$1:A$500,0),MATCH(PAYROLL!BF$2,ADJ!$2:$2,0)),0)</f>
        <v/>
      </c>
      <c r="BG44">
        <f>IFERROR(INDEX(ADJ!$A$1:$BZ$1000,MATCH(PAYROLL!D44,ADJ!A$1:A$500,0),MATCH(PAYROLL!BG$2,ADJ!$2:$2,0)),0)</f>
        <v/>
      </c>
      <c r="BH44">
        <f>IFERROR(INDEX(ADJ!$A$1:$BZ$1000,MATCH(PAYROLL!D44,ADJ!A$1:A$500,0),MATCH(PAYROLL!BH$2,ADJ!$2:$2,0)),0)</f>
        <v/>
      </c>
      <c r="BI44">
        <f>IFERROR(INDEX(ADJ!$A$1:$BZ$1000,MATCH(PAYROLL!D44,ADJ!A$1:A$500,0),MATCH(PAYROLL!BI$2,ADJ!$2:$2,0)),0)</f>
        <v/>
      </c>
      <c r="BJ44">
        <f>SUM(BE44:BI44)</f>
        <v/>
      </c>
      <c r="BK44">
        <f>IFERROR(IF(INDEX(PIS!N$1:N$500,MATCH(D44,PIS!C$1:C$500))="LC12",(T44*21.5%)/AD44*AH44,0),0)</f>
        <v/>
      </c>
      <c r="BL44">
        <f>IFERROR(INDEX(ADJ!$A$1:$BZ$1000,MATCH(PAYROLL!D44,ADJ!A$1:A$500,0),MATCH(PAYROLL!BL$2,ADJ!$2:$2,0)),0)</f>
        <v/>
      </c>
      <c r="BM44">
        <f>IFERROR(INDEX(ADJ!$A$1:$BZ$1000,MATCH(PAYROLL!D44,ADJ!A$1:A$500,0),MATCH(PAYROLL!BM$2,ADJ!$2:$2,0)),0)</f>
        <v/>
      </c>
      <c r="BN44">
        <f>IFERROR(INDEX(ADJ!$A$1:$BZ$1000,MATCH(PAYROLL!D44,ADJ!A$1:A$500,0),MATCH(PAYROLL!BN$2,ADJ!$2:$2,0)),0)</f>
        <v/>
      </c>
      <c r="BO44">
        <f>SUM(AL44,AU44,BD44,BJ44,BK44:BN44)</f>
        <v/>
      </c>
      <c r="BP44">
        <f>BN44+AP44</f>
        <v/>
      </c>
      <c r="BQ44">
        <f>IFERROR(ROUND(IF(LEFT(INDEX(PIS!O$1:O$500,MATCH(D44,PIS!C$1:C$500)),1)="D",T44/8*(BC44*0.3),IF(LEFT(INDEX(PIS!O$1:O$500,MATCH(D44,PIS!C$1:C$500)),1)="H",T44*($BC44*0.3),T44/$AD44/8*($BC44*0.3))),0),0)</f>
        <v/>
      </c>
      <c r="BR44">
        <f>IF(AO44&lt;1,0,MIN(AO44,730000))</f>
        <v/>
      </c>
      <c r="BS44">
        <f>IFERROR(ROUND((BD44-SUM(AV44:BB44)*T44/AD44/8),0)-BQ44,0)</f>
        <v/>
      </c>
      <c r="BT44">
        <f>AN44</f>
        <v/>
      </c>
      <c r="BU44">
        <f>SUM(BP44:BT44)</f>
        <v/>
      </c>
      <c r="BV44">
        <f>BO44-BU44</f>
        <v/>
      </c>
      <c r="BW44">
        <f>IFERROR(IF(RIGHT(INDEX(PIS!O$1:O$500,MATCH(D44,PIS!C$1:C$500)),5)="Gross",MIN(U44+V44,VLOOKUP("R700",TSC!B:C,2,0)*VLOOKUP("R101",TSC!B:C,2,0))*VLOOKUP("R701",TSC!B:C,2,0)%,0),0)</f>
        <v/>
      </c>
      <c r="BX44">
        <f>IFERROR(IF(RIGHT(INDEX(PIS!O$1:O$500,MATCH(D44,PIS!C$1:C$500)),5)="Gross",MIN(U44+V44,VLOOKUP("R700",TSC!B:C,2,0)*VLOOKUP("R101",TSC!B:C,2,0))*VLOOKUP("T704",TSC!B:C,2,0)%,0),0)</f>
        <v/>
      </c>
      <c r="BY44">
        <f>IFERROR(IF(RIGHT(INDEX(PIS!O$1:O$500,MATCH(D44,PIS!C$1:C$500)),5)="Gross",MIN(U44+V44,VLOOKUP("R700",TSC!B:C,2,0)*VLOOKUP("1",TSC!F:G,2,0))*VLOOKUP("T705",TSC!B:C,2,0)%,0),0)</f>
        <v/>
      </c>
      <c r="BZ44">
        <f>IFERROR(INDEX(ADJ!$A$1:$BZ$1000,MATCH(PAYROLL!D44,ADJ!A$1:A$500,0),MATCH(PAYROLL!BZ$2,ADJ!$2:$2,0)),0)</f>
        <v/>
      </c>
      <c r="CA44">
        <f>IFERROR(INDEX(ADJ!$A$1:$BZ$1000,MATCH(PAYROLL!D44,ADJ!A$1:A$500,0),MATCH(PAYROLL!CA$2,ADJ!$2:$2,0)),0)</f>
        <v/>
      </c>
      <c r="CB44">
        <f>SUM(BW44:CA44)</f>
        <v/>
      </c>
      <c r="CC44">
        <f>IFERROR(INDEX(PIS!$A$1:$BZ$1000,MATCH(PAYROLL!D44,PIS!C$1:C$500,0),MATCH(PAYROLL!CC$1,PIS!$1:$1,0)),0)</f>
        <v/>
      </c>
      <c r="CD44">
        <f>IFERROR(IF(OR(INDEX(PIS!P$1:P$500,MATCH(D44,PIS!C$1:C$500,0))="LT2",INDEX(PIS!P$1:P$500,MATCH(D44,PIS!C$1:C$500,0))="P10"),0,SUM(CB44,CC44*VLOOKUP("R601",TSC!B:C,2,0),VLOOKUP("R602",TSC!B:C,2,0))),0)</f>
        <v/>
      </c>
      <c r="CE44">
        <f>MAX(BV44-CD44,0)</f>
        <v/>
      </c>
      <c r="CF44">
        <f>IFERROR(IF(OR(RIGHT(INDEX(PIS!P$1:P$500,MATCH(D44,PIS!C$1:C$500)),5)="P10",RIGHT(INDEX(PIS!P$1:P$500,MATCH(D44,PIS!C$1:C$500)),5)="CK"),0,IF(CE44&lt;=5000000,CE44*5%,IF(CE44&lt;=10000000,CE44*10%-250000,IF(CE44&lt;=18000000,CE44*15%-750000,IF(CE44&lt;=32000000,CE44*20%-1650000,IF(CE44&lt;=52000000,CE44*25%-3250000,IF(CE44&lt;=80000000,BG44*30%-5850000,CE44*35%-9850000))))))),0)</f>
        <v/>
      </c>
      <c r="CG44">
        <f>IFERROR(IF(OR(INDEX(PIS!P$1:P$500,MATCH(D44,PIS!C$1:C$500))="LT",INDEX(PIS!P$1:P$500,MATCH(D44,PIS!C$1:C$500))="CK"),0,IF(CE44&lt;2000000,0,CE44*10%)),0)</f>
        <v/>
      </c>
      <c r="CH44">
        <f>IFERROR(INDEX(ADJ!$A$1:$BZ$1000,MATCH(PAYROLL!D44,ADJ!A$1:A$500,0),MATCH(PAYROLL!CH$2,ADJ!$2:$2,0)),0)</f>
        <v/>
      </c>
      <c r="CI44">
        <f>IFERROR(INDEX(ADJ!$A$1:$BZ$1000,MATCH(PAYROLL!D44,ADJ!A$1:A$500,0),MATCH(PAYROLL!CI$2,ADJ!$2:$2,0)),0)</f>
        <v/>
      </c>
      <c r="CJ44">
        <f>IFERROR(INDEX(ADJ!$A$1:$BZ$1000,MATCH(PAYROLL!D44,ADJ!A$1:A$500,0),MATCH(PAYROLL!CJ$2,ADJ!$2:$2,0)),0)</f>
        <v/>
      </c>
      <c r="CK44">
        <f>SUM(CF44:CJ44)</f>
        <v/>
      </c>
      <c r="CL44">
        <f>ROUND(SUM(CG44:CJ44),0)</f>
        <v/>
      </c>
      <c r="CM44">
        <f>IFERROR(INDEX(CSDA!D$1:D$500,MATCH($CM$2,CSDA!C$1:C$500,0))*INDEX(PIS!V$1:V$500,MATCH(D44,PIS!C$1:C$500))+INDEX(ADJ!$A$1:$BZ$1000,MATCH(PAYROLL!D44,ADJ!A$1:A$500,0),MATCH(PAYROLL!CM$2,ADJ!$2:$2,0)),0)</f>
        <v/>
      </c>
      <c r="CN44">
        <f>IFERROR(INDEX(ADJ!$A$1:$BZ$1000,MATCH(PAYROLL!D44,ADJ!A$1:A$500,0),MATCH(PAYROLL!CN$2,ADJ!$2:$2,0)),0)</f>
        <v/>
      </c>
      <c r="CO44">
        <f>IFERROR(INDEX(ADJ!$A$1:$BZ$1000,MATCH(PAYROLL!D44,ADJ!A$1:A$500,0),MATCH(PAYROLL!CO$2,ADJ!$2:$2,0)),0)</f>
        <v/>
      </c>
      <c r="CP44">
        <f>BO44-CK44-CH44-CL44-CM44-CN44-CO44-CB44</f>
        <v/>
      </c>
      <c r="CQ44">
        <f>IFERROR(IF(RIGHT(INDEX(PIS!O$1:O$500,MATCH(D44,PIS!C$1:C$500,0)),5)="Gross",MIN(U44+V44,VLOOKUP("R700",TSC!B:C,2,0)*VLOOKUP("R101",TSC!B:C,2,0))*(VLOOKUP("T711",TSC!B:C,2,0)+VLOOKUP("T712",TSC!B:C,2,0))%,MIN(T44+V44,VLOOKUP("R700",TSC!B:C,2,0)*VLOOKUP("R101",TSC!B:C,2,0))*(VLOOKUP("T711",TSC!B:C,2,0)+VLOOKUP("T712",TSC!B:C,2,0)+VLOOKUP("R701",TSC!B:C,2,0))%),0)</f>
        <v/>
      </c>
      <c r="CR44">
        <f>IFERROR(IF(RIGHT(INDEX(PIS!O$1:O$500,MATCH(D44,PIS!C$1:C$500,0)),5)="Gross",MIN(U44+V44,VLOOKUP("R700",TSC!B:C,2,0)*VLOOKUP("R101",TSC!B:C,2,0))*(VLOOKUP("T714",TSC!B:C,2,0))%,MIN(T44+V44,VLOOKUP("R700",TSC!B:C,2,0)*VLOOKUP("R101",TSC!B:C,2,0))*(VLOOKUP("T704",TSC!B:C,2,0)+VLOOKUP("T714",TSC!B:C,2,0))%),0)</f>
        <v/>
      </c>
      <c r="CS44">
        <f>IFERROR(IF(RIGHT(INDEX(PIS!O$1:O$500,MATCH(D44,PIS!C$1:C$500,0)),5)="Gross",MIN(U44+V44,VLOOKUP("R700",TSC!B:C,2,0)*VLOOKUP("R101",TSC!B:C,2,0))*VLOOKUP("T705",TSC!B:C,2,0)%,MIN(T44+V44,VLOOKUP("R700",TSC!B:C,2,0)*VLOOKUP("R101",TSC!B:C,2,0))*VLOOKUP("T705",TSC!B:C,2,0)%),0)</f>
        <v/>
      </c>
      <c r="CT44">
        <f>IFERROR(IF(RIGHT(INDEX(PIS!O$1:O$500,MATCH(D44,PIS!C$1:C$500,0)),5)="Gross",MIN(U44+V44,VLOOKUP("R700",TSC!B:C,2,0)*VLOOKUP("R101",TSC!B:C,2,0))*(VLOOKUP("T713",TSC!B:C,2,0))%,MIN(T44+V44,VLOOKUP("R700",TSC!B:C,2,0)*VLOOKUP("R101",TSC!B:C,2,0))*(VLOOKUP("T713",TSC!B:C,2,0))%),0)</f>
        <v/>
      </c>
      <c r="CU44">
        <f>IFERROR(INDEX(ADJ!$A$1:$BZ$1000,MATCH(PAYROLL!D44,ADJ!A$1:A$500,0),MATCH(PAYROLL!CU$2,ADJ!$2:$2,0)),0)</f>
        <v/>
      </c>
      <c r="CV44">
        <f>IFERROR(INDEX(ADJ!$A$1:$BZ$1000,MATCH(PAYROLL!D44,ADJ!A$1:A$500,0),MATCH(PAYROLL!CV$2,ADJ!$2:$2,0)),0)</f>
        <v/>
      </c>
      <c r="CW44">
        <f>SUM(CQ44:CV44)</f>
        <v/>
      </c>
      <c r="CX44">
        <f>ROUND(IF(CQ44&gt;0,T44+V44*VLOOKUP("R202",TSC!$B$1:$C$500,2,0),0),0)</f>
        <v/>
      </c>
      <c r="CY44">
        <f>IFERROR(INDEX(CSDA!D$1:D$500,MATCH($CY$2,CSDA!C$1:C$500,0)),0)</f>
        <v/>
      </c>
      <c r="CZ44">
        <f>ROUND(T44*0.7%,0)</f>
        <v/>
      </c>
      <c r="DA44">
        <f>ROUND(T44/12,0)</f>
        <v/>
      </c>
      <c r="DB44">
        <f ref="DB44" t="array">IFERROR(INDEX(CSDA!D$1:D$500,MATCH("Trích giữ"&amp;PAYROLL!DB$2,CSDA!A$1:A$500&amp;CSDA!C$1:C$500,0)),0)</f>
        <v/>
      </c>
      <c r="DC44">
        <f ref="DC44" t="array">IFERROR(INDEX(CSDA!D$1:D$500,MATCH("Trích giữ"&amp;PAYROLL!DC$2,CSDA!A$1:A$500&amp;CSDA!C$1:C$500,0)),0)</f>
        <v/>
      </c>
      <c r="DD44">
        <f ref="DD44" t="array">IFERROR(INDEX(CSDA!D$1:D$500,MATCH("Trích giữ"&amp;PAYROLL!DD$2,CSDA!A$1:A$500&amp;CSDA!C$1:C$500,0)),0)</f>
        <v/>
      </c>
      <c r="DE44">
        <f>IFERROR(INDEX(CSDA!D$1:D$500,MATCH(PAYROLL!DE$2,CSDA!C$1:C$500,0)),0)</f>
        <v/>
      </c>
      <c r="DF44">
        <f ref="DF44" t="array">IFERROR(INDEX(CSDA!D$1:D$500,MATCH("Trích giữ"&amp;PAYROLL!DF$2,CSDA!A$1:A$500&amp;CSDA!C$1:C$500,0)),0)</f>
        <v/>
      </c>
      <c r="DG44">
        <f>ROUND(T44/26,0)</f>
        <v/>
      </c>
      <c r="DH44">
        <f ref="DH44" t="array">IFERROR(INDEX(CSDA!D$1:D$500,MATCH("Trích giữ"&amp;PAYROLL!DH$2,CSDA!A$1:A$500&amp;CSDA!C$1:C$500,0)),0)</f>
        <v/>
      </c>
      <c r="DI44">
        <f>IF(U44=0,T44*21.5%-BK44,0)</f>
        <v/>
      </c>
      <c r="DK44">
        <f ref="DK44" t="array">IFERROR(INDEX(CSDA!D$1:D$500,MATCH("Trích giữ"&amp;PAYROLL!DK$2,CSDA!A$1:A$500&amp;CSDA!C$1:C$500,0)),0)</f>
        <v/>
      </c>
      <c r="DL44">
        <f>IFERROR(INDEX(CSDA!D$1:D$500,MATCH(PAYROLL!DL$2,CSDA!C$1:C$500,0))/12,0)</f>
        <v/>
      </c>
      <c r="DM44">
        <f>SUM(DA44:DL44)</f>
        <v/>
      </c>
      <c r="DN44">
        <f>IFERROR(INDEX(ADJ!$A$1:$BZ$1000,MATCH(PAYROLL!D44,ADJ!A$1:A$500,0),MATCH(PAYROLL!DN$2,ADJ!$2:$2,0)),0)</f>
        <v/>
      </c>
      <c r="DO44">
        <f>IFERROR(SUM(BO44,DM44:DN44,CW44:CZ44)-DT44,0)</f>
        <v/>
      </c>
      <c r="DP44">
        <f ref="DP44" t="array">SUM(BV44*IFERROR(INDEX(CSDA!D$1:D$500,MATCH(BV$2,CSDA!C$1:C$500,0)),0)%,CW44*IFERROR(INDEX(CSDA!D$1:D$500,MATCH(CW$2,CSDA!C$1:C$500,0)),0)%,CZ44*IFERROR(INDEX(CSDA!D$1:D$500,MATCH(CZ$2,CSDA!C$1:C$500,0)),0)%,DA44*IFERROR(INDEX(CSDA!D$1:D$500,MATCH(DA$2,CSDA!C$1:C$500,0)),0)%,DE44*IFERROR(INDEX(CSDA!D$1:D$500,MATCH("Phí dịch vụ"&amp;PAYROLL!DE$2,CSDA!A$1:A$500&amp;CSDA!C$1:C$500,0)),0)%,DB44*IFERROR(INDEX(CSDA!D$1:D$500,MATCH("Phí dịch vụ"&amp;PAYROLL!DB$2,CSDA!A$1:A$500&amp;CSDA!C$1:C$500,0)),0)%,DG44*IFERROR(INDEX(CSDA!D$1:D$500,MATCH("Phí dịch vụ"&amp;PAYROLL!DG$2,CSDA!A$1:A$500&amp;CSDA!C$1:C$500,0)),0)%,DI44*IFERROR(INDEX(CSDA!D$1:D$500,MATCH("Phí dịch vụ"&amp;PAYROLL!DI$2,CSDA!A$1:A$500&amp;CSDA!C$1:C$500,0)),0)%,BM44*IFERROR(INDEX(CSDA!D$1:D$500,MATCH(BM$2,CSDA!C$1:C$500,0)),0)%)-BM44*7%</f>
        <v/>
      </c>
      <c r="DQ44">
        <f>IFERROR(INDEX(ADJ!$A$1:$BZ$1000,MATCH(PAYROLL!D44,ADJ!A$1:A$500,0),MATCH(PAYROLL!DQ$2,ADJ!$2:$2,0)),0)</f>
        <v/>
      </c>
      <c r="DR44">
        <f>IFERROR(INDEX(ADJ!$A$1:$BZ$1000,MATCH(PAYROLL!D44,ADJ!A$1:A$500,0),MATCH(PAYROLL!DR$2,ADJ!$2:$2,0)),0)</f>
        <v/>
      </c>
      <c r="DS44">
        <f>SUM(DP44:DR44)</f>
        <v/>
      </c>
      <c r="DT44">
        <f>EK44</f>
        <v/>
      </c>
      <c r="DU44">
        <f>SUM(DO44:DR44)</f>
        <v/>
      </c>
      <c r="DV44">
        <f>ROUND(DU44*0.1,0)</f>
        <v/>
      </c>
      <c r="DW44">
        <f>DU44+DV44</f>
        <v/>
      </c>
      <c r="DZ44">
        <f>IFERROR(INDEX(ADJ!$A$1:$BZ$1000,MATCH(PAYROLL!$D44,ADJ!A$1:A$500,0),MATCH(PAYROLL!DZ$2,ADJ!$2:$2,0)),0)</f>
        <v/>
      </c>
      <c r="EA44">
        <f>IFERROR(INDEX(ADJ!$A$1:$BZ$1000,MATCH(PAYROLL!$D44,ADJ!A$1:A$500,0),MATCH(PAYROLL!EA$2,ADJ!$2:$2,0)),0)</f>
        <v/>
      </c>
      <c r="EB44">
        <f>IFERROR(INDEX(ADJ!$A$1:$BZ$1000,MATCH(PAYROLL!$D44,ADJ!A$1:A$500,0),MATCH(PAYROLL!EB$2,ADJ!$2:$2,0)),0)</f>
        <v/>
      </c>
      <c r="EC44">
        <f>IFERROR(INDEX(ADJ!$A$1:$BZ$1000,MATCH(PAYROLL!$D44,ADJ!A$1:A$500,0),MATCH(PAYROLL!EC$2,ADJ!$2:$2,0)),0)</f>
        <v/>
      </c>
      <c r="ED44">
        <f>IFERROR(INDEX(ADJ!$A$1:$BZ$1000,MATCH(PAYROLL!$D44,ADJ!A$1:A$500,0),MATCH(PAYROLL!ED$2,ADJ!$2:$2,0)),0)</f>
        <v/>
      </c>
      <c r="EE44">
        <f>IFERROR(INDEX(ADJ!$A$1:$BZ$1000,MATCH(PAYROLL!$D44,ADJ!A$1:A$500,0),MATCH(PAYROLL!EE$2,ADJ!$2:$2,0)),0)</f>
        <v/>
      </c>
      <c r="EF44">
        <f>IFERROR(INDEX(ADJ!$A$1:$BZ$1000,MATCH(PAYROLL!$D44,ADJ!A$1:A$500,0),MATCH(PAYROLL!EF$2,ADJ!$2:$2,0)),0)</f>
        <v/>
      </c>
      <c r="EG44">
        <f>IFERROR(INDEX(ADJ!$A$1:$BZ$1000,MATCH(PAYROLL!$D44,ADJ!A$1:A$500,0),MATCH(PAYROLL!EG$2,ADJ!$2:$2,0)),0)</f>
        <v/>
      </c>
      <c r="EH44">
        <f>IFERROR(INDEX(ADJ!$A$1:$BZ$1000,MATCH(PAYROLL!$D44,ADJ!A$1:A$500,0),MATCH(PAYROLL!EH$2,ADJ!$2:$2,0)),0)</f>
        <v/>
      </c>
      <c r="EI44">
        <f>IFERROR(INDEX(ADJ!$A$1:$BZ$1000,MATCH(PAYROLL!D44,ADJ!A$1:A$500,0),MATCH(PAYROLL!EI$2,ADJ!$2:$2,0)),0)</f>
        <v/>
      </c>
      <c r="EJ44">
        <f>IFERROR(INDEX(ADJ!$A$1:$BZ$1000,MATCH(PAYROLL!$D44,ADJ!A$1:A$500,0),MATCH(PAYROLL!EJ$2,ADJ!$2:$2,0)),0)</f>
        <v/>
      </c>
      <c r="EK44">
        <f>SUM(DZ44:EJ44)</f>
        <v/>
      </c>
    </row>
    <row r="45">
      <c r="A45" t="n">
        <v>43</v>
      </c>
      <c r="B45" t="inlineStr">
        <is>
          <t>Nguyễn Đức Tùng</t>
        </is>
      </c>
      <c r="D45" t="inlineStr">
        <is>
          <t>157462-01</t>
        </is>
      </c>
      <c r="S45">
        <f>IFERROR(INDEX(PIS!$A$1:$BZ$1000,MATCH($D45,PIS!C$1:C$500,0),MATCH("Lương CB tháng trước",PIS!$1:$1,0)),0)</f>
        <v/>
      </c>
      <c r="T45">
        <f>IFERROR(INDEX(PIS!$A$1:$BZ$1000,MATCH($D45,PIS!C$1:C$500,0),MATCH("Lương CB hiện tại",PIS!$1:$1,0)),0)</f>
        <v/>
      </c>
      <c r="U45">
        <f>IFERROR(INDEX(PIS!$A$1:$BZ$1000,MATCH($D45,PIS!C$1:C$500,0),MATCH("Lương đóng BHBB",PIS!$1:$1,0)),0)</f>
        <v/>
      </c>
      <c r="V45">
        <f>IFERROR(INDEX(PIS!$A$1:$BZ$1000,MATCH($D45,PIS!C$1:C$500,0),MATCH(V$2,PIS!$2:$2,0)),0)</f>
        <v/>
      </c>
      <c r="W45">
        <f>IFERROR(INDEX(PIS!$A$1:$BZ$1000,MATCH($D45,PIS!C$1:C$500,0),MATCH(W$2,PIS!$2:$2,0)),0)</f>
        <v/>
      </c>
      <c r="X45">
        <f>IFERROR(INDEX(PIS!$A$1:$BZ$1000,MATCH($D45,PIS!C$1:C$500,0),MATCH(X$2,PIS!$2:$2,0)),0)</f>
        <v/>
      </c>
      <c r="Y45">
        <f>IFERROR(INDEX(PIS!$A$1:$BZ$1000,MATCH($D45,PIS!C$1:C$500,0),MATCH(Y$2,PIS!$2:$2,0)),0)</f>
        <v/>
      </c>
      <c r="Z45">
        <f>IFERROR(INDEX(PIS!$A$1:$BZ$1000,MATCH($D45,PIS!C$1:C$500,0),MATCH(Z$2,PIS!$2:$2,0)),0)</f>
        <v/>
      </c>
      <c r="AA45">
        <f>IFERROR(INDEX(PIS!$A$1:$BZ$1000,MATCH($D45,PIS!C$1:C$500,0),MATCH(AA$2,PIS!$2:$2,0)),0)</f>
        <v/>
      </c>
      <c r="AB45">
        <f>IFERROR(INDEX(PIS!$A$1:$BZ$1000,MATCH($D45,PIS!C$1:C$500,0),MATCH(AB$2,PIS!$2:$2,0)),0)</f>
        <v/>
      </c>
      <c r="AC45">
        <f>SUM(V45:AB45)</f>
        <v/>
      </c>
      <c r="AD45">
        <f>IFERROR(INDEX(TIMESHEET!$A$1:$AI$5000,MATCH($D45,TIMESHEET!A$1:A$500,0),MATCH("T100",TIMESHEET!$2:$2,0)),0)</f>
        <v/>
      </c>
      <c r="AE45">
        <f>IFERROR(INDEX(TIMESHEET!$A$1:$AI$5000,MATCH($D45,TIMESHEET!A$1:A$500,0),MATCH("T202",TIMESHEET!$2:$2,0)),0)</f>
        <v/>
      </c>
      <c r="AF45">
        <f>IFERROR(INDEX(TIMESHEET!$A$1:$AI$5000,MATCH($D45,TIMESHEET!A$1:A$500,0),MATCH("T302",TIMESHEET!$2:$2,0)),0)</f>
        <v/>
      </c>
      <c r="AG45">
        <f>IFERROR(INDEX(TIMESHEET!$A$1:$AI$5000,MATCH($D45,TIMESHEET!A$1:A$500,0),MATCH("T406",TIMESHEET!$2:$2,0)),0)</f>
        <v/>
      </c>
      <c r="AH45">
        <f>IF(SUM(AE45:AG45)&gt;=26,26,SUM(AE45:AG45))</f>
        <v/>
      </c>
      <c r="AI45">
        <f>IFERROR(INDEX(TIMESHEET!$A$1:$AI$5000,MATCH($D45,TIMESHEET!A$1:A$500,0),MATCH("T701",TIMESHEET!$2:$2,0)),0)</f>
        <v/>
      </c>
      <c r="AJ45">
        <f>IFERROR(IF(INDEX(PIS!N$1:N$500,MATCH(D45,PIS!C$1:C$500,0))="LC4",(T45*0.85)/AD45*AH45,ROUND(T45/AD45*AH45,0)),0)</f>
        <v/>
      </c>
      <c r="AK45">
        <f>IFERROR(INDEX(ADJ!$A$1:$BZ$1000,MATCH(PAYROLL!D45,ADJ!A$1:A$500,0),MATCH(PAYROLL!AK$2,ADJ!$2:$2,0)),0)</f>
        <v/>
      </c>
      <c r="AL45">
        <f>SUM(AJ45:AK45)</f>
        <v/>
      </c>
      <c r="AM45">
        <f>IF(AH45&gt;13,V45,ROUND(V45/AD45*AH45,0))</f>
        <v/>
      </c>
      <c r="AN45">
        <f>IF(AD45=0,0,ROUND(W45/AD45*AI45,0))</f>
        <v/>
      </c>
      <c r="AO45">
        <f>ROUND(X45*AH45,0)</f>
        <v/>
      </c>
      <c r="AP45">
        <f>IF(AD45=0,0,ROUND(Y45/AD45*AH45,0))</f>
        <v/>
      </c>
      <c r="AQ45">
        <f>IFERROR(IF((AE45+AF45+AG45)&gt;13,Z45,ROUND(Z45/AD45*AH45,0)),0)</f>
        <v/>
      </c>
      <c r="AR45">
        <f>IF(AD45=0,0,ROUND(AA74/AD45*AH45,0))</f>
        <v/>
      </c>
      <c r="AS45">
        <f>IFERROR(IF((AE45+AF45+AG45)&gt;13,AB45,ROUND(AB45/AD45*AH45,0)),0)</f>
        <v/>
      </c>
      <c r="AT45">
        <f>IFERROR(INDEX(ADJ!$A$1:$BZ$1000,MATCH(PAYROLL!D45,ADJ!A$1:A$500,0),MATCH(PAYROLL!AT$2,ADJ!$2:$2,0)),0)</f>
        <v/>
      </c>
      <c r="AU45">
        <f>ROUND(SUM(AM45:AT45),0)</f>
        <v/>
      </c>
      <c r="AV45">
        <f>IFERROR(INDEX(TIMESHEET!$A$1:$AI$5000,MATCH(PAYROLL!D45,TIMESHEET!A$1:A$500,0),MATCH("T620",TIMESHEET!$2:$2,0)),0)</f>
        <v/>
      </c>
      <c r="AW45">
        <f>IFERROR(INDEX(TIMESHEET!$A$1:$AI$5000,MATCH(PAYROLL!D45,TIMESHEET!A$1:A$500,0),MATCH("T601",TIMESHEET!$2:$2,0)),0)</f>
        <v/>
      </c>
      <c r="AX45">
        <f>IFERROR(INDEX(TIMESHEET!$A$1:$AI$5000,MATCH(PAYROLL!D45,TIMESHEET!A$1:A$500,0),MATCH("T602",TIMESHEET!$2:$2,0)),0)</f>
        <v/>
      </c>
      <c r="AY45">
        <f>IFERROR(INDEX(TIMESHEET!$A$1:$AI$5000,MATCH(PAYROLL!D45,TIMESHEET!A$1:A$500,0),MATCH("T603",TIMESHEET!$2:$2,0)),0)</f>
        <v/>
      </c>
      <c r="AZ45">
        <f>IFERROR(INDEX(TIMESHEET!$A$1:$AI$5000,MATCH(PAYROLL!D45,TIMESHEET!A$1:A$500,0),MATCH("T611",TIMESHEET!$2:$2,0)),0)</f>
        <v/>
      </c>
      <c r="BA45">
        <f>IFERROR(INDEX(TIMESHEET!$A$1:$AI$5000,MATCH(PAYROLL!D45,TIMESHEET!A$1:A$500,0),MATCH("T612",TIMESHEET!$2:$2,0)),0)</f>
        <v/>
      </c>
      <c r="BB45">
        <f>IFERROR(INDEX(TIMESHEET!$A$1:$AI$5000,MATCH(PAYROLL!D45,TIMESHEET!A$1:A$500,0),MATCH("T613",TIMESHEET!$2:$2,0)),0)</f>
        <v/>
      </c>
      <c r="BC45">
        <f>IFERROR(INDEX(TIMESHEET!$A$1:$AI$5000,MATCH(PAYROLL!D45,TIMESHEET!A$1:A$500,0),MATCH("T500",TIMESHEET!$2:$2,0)),0)</f>
        <v/>
      </c>
      <c r="BD45">
        <f>IFERROR((T45+V45)/AD45/8*(AV45+AW45*1.5+AX45*2+AY45*3+AZ45*2.1+BA45*2.7+BB45*3.9+BC45*0.3),0)</f>
        <v/>
      </c>
      <c r="BE45">
        <f>IFERROR(INDEX(ADJ!$A$1:$BZ$1000,MATCH(PAYROLL!$D45,ADJ!A$1:A$500,0),MATCH(PAYROLL!BE$2,ADJ!$2:$2,0)),0)</f>
        <v/>
      </c>
      <c r="BF45">
        <f>IFERROR(INDEX(ADJ!$A$1:$BZ$1000,MATCH(PAYROLL!D45,ADJ!A$1:A$500,0),MATCH(PAYROLL!BF$2,ADJ!$2:$2,0)),0)</f>
        <v/>
      </c>
      <c r="BG45">
        <f>IFERROR(INDEX(ADJ!$A$1:$BZ$1000,MATCH(PAYROLL!D45,ADJ!A$1:A$500,0),MATCH(PAYROLL!BG$2,ADJ!$2:$2,0)),0)</f>
        <v/>
      </c>
      <c r="BH45">
        <f>IFERROR(INDEX(ADJ!$A$1:$BZ$1000,MATCH(PAYROLL!D45,ADJ!A$1:A$500,0),MATCH(PAYROLL!BH$2,ADJ!$2:$2,0)),0)</f>
        <v/>
      </c>
      <c r="BI45">
        <f>IFERROR(INDEX(ADJ!$A$1:$BZ$1000,MATCH(PAYROLL!D45,ADJ!A$1:A$500,0),MATCH(PAYROLL!BI$2,ADJ!$2:$2,0)),0)</f>
        <v/>
      </c>
      <c r="BJ45">
        <f>SUM(BE45:BI45)</f>
        <v/>
      </c>
      <c r="BK45">
        <f>IFERROR(IF(INDEX(PIS!N$1:N$500,MATCH(D45,PIS!C$1:C$500))="LC12",(T45*21.5%)/AD45*AH45,0),0)</f>
        <v/>
      </c>
      <c r="BL45">
        <f>IFERROR(INDEX(ADJ!$A$1:$BZ$1000,MATCH(PAYROLL!D45,ADJ!A$1:A$500,0),MATCH(PAYROLL!BL$2,ADJ!$2:$2,0)),0)</f>
        <v/>
      </c>
      <c r="BM45">
        <f>IFERROR(INDEX(ADJ!$A$1:$BZ$1000,MATCH(PAYROLL!D45,ADJ!A$1:A$500,0),MATCH(PAYROLL!BM$2,ADJ!$2:$2,0)),0)</f>
        <v/>
      </c>
      <c r="BN45">
        <f>IFERROR(INDEX(ADJ!$A$1:$BZ$1000,MATCH(PAYROLL!D45,ADJ!A$1:A$500,0),MATCH(PAYROLL!BN$2,ADJ!$2:$2,0)),0)</f>
        <v/>
      </c>
      <c r="BO45">
        <f>SUM(AL45,AU45,BD45,BJ45,BK45:BN45)</f>
        <v/>
      </c>
      <c r="BP45">
        <f>BN45+AP45</f>
        <v/>
      </c>
      <c r="BQ45">
        <f>IFERROR(ROUND(IF(LEFT(INDEX(PIS!O$1:O$500,MATCH(D45,PIS!C$1:C$500)),1)="D",T45/8*(BC45*0.3),IF(LEFT(INDEX(PIS!O$1:O$500,MATCH(D45,PIS!C$1:C$500)),1)="H",T45*($BC45*0.3),T45/$AD45/8*($BC45*0.3))),0),0)</f>
        <v/>
      </c>
      <c r="BR45">
        <f>IF(AO45&lt;1,0,MIN(AO45,730000))</f>
        <v/>
      </c>
      <c r="BS45">
        <f>IFERROR(ROUND((BD45-SUM(AV45:BB45)*T45/AD45/8),0)-BQ45,0)</f>
        <v/>
      </c>
      <c r="BT45">
        <f>AN45</f>
        <v/>
      </c>
      <c r="BU45">
        <f>SUM(BP45:BT45)</f>
        <v/>
      </c>
      <c r="BV45">
        <f>BO45-BU45</f>
        <v/>
      </c>
      <c r="BW45">
        <f>IFERROR(IF(RIGHT(INDEX(PIS!O$1:O$500,MATCH(D45,PIS!C$1:C$500)),5)="Gross",MIN(U45+V45,VLOOKUP("R700",TSC!B:C,2,0)*VLOOKUP("R101",TSC!B:C,2,0))*VLOOKUP("R701",TSC!B:C,2,0)%,0),0)</f>
        <v/>
      </c>
      <c r="BX45">
        <f>IFERROR(IF(RIGHT(INDEX(PIS!O$1:O$500,MATCH(D45,PIS!C$1:C$500)),5)="Gross",MIN(U45+V45,VLOOKUP("R700",TSC!B:C,2,0)*VLOOKUP("R101",TSC!B:C,2,0))*VLOOKUP("T704",TSC!B:C,2,0)%,0),0)</f>
        <v/>
      </c>
      <c r="BY45">
        <f>IFERROR(IF(RIGHT(INDEX(PIS!O$1:O$500,MATCH(D45,PIS!C$1:C$500)),5)="Gross",MIN(U45+V45,VLOOKUP("R700",TSC!B:C,2,0)*VLOOKUP("1",TSC!F:G,2,0))*VLOOKUP("T705",TSC!B:C,2,0)%,0),0)</f>
        <v/>
      </c>
      <c r="BZ45">
        <f>IFERROR(INDEX(ADJ!$A$1:$BZ$1000,MATCH(PAYROLL!D45,ADJ!A$1:A$500,0),MATCH(PAYROLL!BZ$2,ADJ!$2:$2,0)),0)</f>
        <v/>
      </c>
      <c r="CA45">
        <f>IFERROR(INDEX(ADJ!$A$1:$BZ$1000,MATCH(PAYROLL!D45,ADJ!A$1:A$500,0),MATCH(PAYROLL!CA$2,ADJ!$2:$2,0)),0)</f>
        <v/>
      </c>
      <c r="CB45">
        <f>SUM(BW45:CA45)</f>
        <v/>
      </c>
      <c r="CC45">
        <f>IFERROR(INDEX(PIS!$A$1:$BZ$1000,MATCH(PAYROLL!D45,PIS!C$1:C$500,0),MATCH(PAYROLL!CC$1,PIS!$1:$1,0)),0)</f>
        <v/>
      </c>
      <c r="CD45">
        <f>IFERROR(IF(OR(INDEX(PIS!P$1:P$500,MATCH(D45,PIS!C$1:C$500,0))="LT2",INDEX(PIS!P$1:P$500,MATCH(D45,PIS!C$1:C$500,0))="P10"),0,SUM(CB45,CC45*VLOOKUP("R601",TSC!B:C,2,0),VLOOKUP("R602",TSC!B:C,2,0))),0)</f>
        <v/>
      </c>
      <c r="CE45">
        <f>MAX(BV45-CD45,0)</f>
        <v/>
      </c>
      <c r="CF45">
        <f>IFERROR(IF(OR(RIGHT(INDEX(PIS!P$1:P$500,MATCH(D45,PIS!C$1:C$500)),5)="P10",RIGHT(INDEX(PIS!P$1:P$500,MATCH(D45,PIS!C$1:C$500)),5)="CK"),0,IF(CE45&lt;=5000000,CE45*5%,IF(CE45&lt;=10000000,CE45*10%-250000,IF(CE45&lt;=18000000,CE45*15%-750000,IF(CE45&lt;=32000000,CE45*20%-1650000,IF(CE45&lt;=52000000,CE45*25%-3250000,IF(CE45&lt;=80000000,BG45*30%-5850000,CE45*35%-9850000))))))),0)</f>
        <v/>
      </c>
      <c r="CG45">
        <f>IFERROR(IF(OR(INDEX(PIS!P$1:P$500,MATCH(D45,PIS!C$1:C$500))="LT",INDEX(PIS!P$1:P$500,MATCH(D45,PIS!C$1:C$500))="CK"),0,IF(CE45&lt;2000000,0,CE45*10%)),0)</f>
        <v/>
      </c>
      <c r="CH45">
        <f>IFERROR(INDEX(ADJ!$A$1:$BZ$1000,MATCH(PAYROLL!D45,ADJ!A$1:A$500,0),MATCH(PAYROLL!CH$2,ADJ!$2:$2,0)),0)</f>
        <v/>
      </c>
      <c r="CI45">
        <f>IFERROR(INDEX(ADJ!$A$1:$BZ$1000,MATCH(PAYROLL!D45,ADJ!A$1:A$500,0),MATCH(PAYROLL!CI$2,ADJ!$2:$2,0)),0)</f>
        <v/>
      </c>
      <c r="CJ45">
        <f>IFERROR(INDEX(ADJ!$A$1:$BZ$1000,MATCH(PAYROLL!D45,ADJ!A$1:A$500,0),MATCH(PAYROLL!CJ$2,ADJ!$2:$2,0)),0)</f>
        <v/>
      </c>
      <c r="CK45">
        <f>SUM(CF45:CJ45)</f>
        <v/>
      </c>
      <c r="CL45">
        <f>ROUND(SUM(CG45:CJ45),0)</f>
        <v/>
      </c>
      <c r="CM45">
        <f>IFERROR(INDEX(CSDA!D$1:D$500,MATCH($CM$2,CSDA!C$1:C$500,0))*INDEX(PIS!V$1:V$500,MATCH(D45,PIS!C$1:C$500))+INDEX(ADJ!$A$1:$BZ$1000,MATCH(PAYROLL!D45,ADJ!A$1:A$500,0),MATCH(PAYROLL!CM$2,ADJ!$2:$2,0)),0)</f>
        <v/>
      </c>
      <c r="CN45">
        <f>IFERROR(INDEX(ADJ!$A$1:$BZ$1000,MATCH(PAYROLL!D45,ADJ!A$1:A$500,0),MATCH(PAYROLL!CN$2,ADJ!$2:$2,0)),0)</f>
        <v/>
      </c>
      <c r="CO45">
        <f>IFERROR(INDEX(ADJ!$A$1:$BZ$1000,MATCH(PAYROLL!D45,ADJ!A$1:A$500,0),MATCH(PAYROLL!CO$2,ADJ!$2:$2,0)),0)</f>
        <v/>
      </c>
      <c r="CP45">
        <f>BO45-CK45-CH45-CL45-CM45-CN45-CO45-CB45</f>
        <v/>
      </c>
      <c r="CQ45">
        <f>IFERROR(IF(RIGHT(INDEX(PIS!O$1:O$500,MATCH(D45,PIS!C$1:C$500,0)),5)="Gross",MIN(U45+V45,VLOOKUP("R700",TSC!B:C,2,0)*VLOOKUP("R101",TSC!B:C,2,0))*(VLOOKUP("T711",TSC!B:C,2,0)+VLOOKUP("T712",TSC!B:C,2,0))%,MIN(T45+V45,VLOOKUP("R700",TSC!B:C,2,0)*VLOOKUP("R101",TSC!B:C,2,0))*(VLOOKUP("T711",TSC!B:C,2,0)+VLOOKUP("T712",TSC!B:C,2,0)+VLOOKUP("R701",TSC!B:C,2,0))%),0)</f>
        <v/>
      </c>
      <c r="CR45">
        <f>IFERROR(IF(RIGHT(INDEX(PIS!O$1:O$500,MATCH(D45,PIS!C$1:C$500,0)),5)="Gross",MIN(U45+V45,VLOOKUP("R700",TSC!B:C,2,0)*VLOOKUP("R101",TSC!B:C,2,0))*(VLOOKUP("T714",TSC!B:C,2,0))%,MIN(T45+V45,VLOOKUP("R700",TSC!B:C,2,0)*VLOOKUP("R101",TSC!B:C,2,0))*(VLOOKUP("T704",TSC!B:C,2,0)+VLOOKUP("T714",TSC!B:C,2,0))%),0)</f>
        <v/>
      </c>
      <c r="CS45">
        <f>IFERROR(IF(RIGHT(INDEX(PIS!O$1:O$500,MATCH(D45,PIS!C$1:C$500,0)),5)="Gross",MIN(U45+V45,VLOOKUP("R700",TSC!B:C,2,0)*VLOOKUP("R101",TSC!B:C,2,0))*VLOOKUP("T705",TSC!B:C,2,0)%,MIN(T45+V45,VLOOKUP("R700",TSC!B:C,2,0)*VLOOKUP("R101",TSC!B:C,2,0))*VLOOKUP("T705",TSC!B:C,2,0)%),0)</f>
        <v/>
      </c>
      <c r="CT45">
        <f>IFERROR(IF(RIGHT(INDEX(PIS!O$1:O$500,MATCH(D45,PIS!C$1:C$500,0)),5)="Gross",MIN(U45+V45,VLOOKUP("R700",TSC!B:C,2,0)*VLOOKUP("R101",TSC!B:C,2,0))*(VLOOKUP("T713",TSC!B:C,2,0))%,MIN(T45+V45,VLOOKUP("R700",TSC!B:C,2,0)*VLOOKUP("R101",TSC!B:C,2,0))*(VLOOKUP("T713",TSC!B:C,2,0))%),0)</f>
        <v/>
      </c>
      <c r="CU45">
        <f>IFERROR(INDEX(ADJ!$A$1:$BZ$1000,MATCH(PAYROLL!D45,ADJ!A$1:A$500,0),MATCH(PAYROLL!CU$2,ADJ!$2:$2,0)),0)</f>
        <v/>
      </c>
      <c r="CV45">
        <f>IFERROR(INDEX(ADJ!$A$1:$BZ$1000,MATCH(PAYROLL!D45,ADJ!A$1:A$500,0),MATCH(PAYROLL!CV$2,ADJ!$2:$2,0)),0)</f>
        <v/>
      </c>
      <c r="CW45">
        <f>SUM(CQ45:CV45)</f>
        <v/>
      </c>
      <c r="CX45">
        <f>ROUND(IF(CQ45&gt;0,T45+V45*VLOOKUP("R202",TSC!$B$1:$C$500,2,0),0),0)</f>
        <v/>
      </c>
      <c r="CY45">
        <f>IFERROR(INDEX(CSDA!D$1:D$500,MATCH($CY$2,CSDA!C$1:C$500,0)),0)</f>
        <v/>
      </c>
      <c r="CZ45">
        <f>ROUND(T45*0.7%,0)</f>
        <v/>
      </c>
      <c r="DA45">
        <f>ROUND(T45/12,0)</f>
        <v/>
      </c>
      <c r="DB45">
        <f ref="DB45" t="array">IFERROR(INDEX(CSDA!D$1:D$500,MATCH("Trích giữ"&amp;PAYROLL!DB$2,CSDA!A$1:A$500&amp;CSDA!C$1:C$500,0)),0)</f>
        <v/>
      </c>
      <c r="DC45">
        <f ref="DC45" t="array">IFERROR(INDEX(CSDA!D$1:D$500,MATCH("Trích giữ"&amp;PAYROLL!DC$2,CSDA!A$1:A$500&amp;CSDA!C$1:C$500,0)),0)</f>
        <v/>
      </c>
      <c r="DD45">
        <f ref="DD45" t="array">IFERROR(INDEX(CSDA!D$1:D$500,MATCH("Trích giữ"&amp;PAYROLL!DD$2,CSDA!A$1:A$500&amp;CSDA!C$1:C$500,0)),0)</f>
        <v/>
      </c>
      <c r="DE45">
        <f>IFERROR(INDEX(CSDA!D$1:D$500,MATCH(PAYROLL!DE$2,CSDA!C$1:C$500,0)),0)</f>
        <v/>
      </c>
      <c r="DF45">
        <f ref="DF45" t="array">IFERROR(INDEX(CSDA!D$1:D$500,MATCH("Trích giữ"&amp;PAYROLL!DF$2,CSDA!A$1:A$500&amp;CSDA!C$1:C$500,0)),0)</f>
        <v/>
      </c>
      <c r="DG45">
        <f>ROUND(T45/26,0)</f>
        <v/>
      </c>
      <c r="DH45">
        <f ref="DH45" t="array">IFERROR(INDEX(CSDA!D$1:D$500,MATCH("Trích giữ"&amp;PAYROLL!DH$2,CSDA!A$1:A$500&amp;CSDA!C$1:C$500,0)),0)</f>
        <v/>
      </c>
      <c r="DI45">
        <f>IF(U45=0,T45*21.5%-BK45,0)</f>
        <v/>
      </c>
      <c r="DK45">
        <f ref="DK45" t="array">IFERROR(INDEX(CSDA!D$1:D$500,MATCH("Trích giữ"&amp;PAYROLL!DK$2,CSDA!A$1:A$500&amp;CSDA!C$1:C$500,0)),0)</f>
        <v/>
      </c>
      <c r="DL45">
        <f>IFERROR(INDEX(CSDA!D$1:D$500,MATCH(PAYROLL!DL$2,CSDA!C$1:C$500,0))/12,0)</f>
        <v/>
      </c>
      <c r="DM45">
        <f>SUM(DA45:DL45)</f>
        <v/>
      </c>
      <c r="DN45">
        <f>IFERROR(INDEX(ADJ!$A$1:$BZ$1000,MATCH(PAYROLL!D45,ADJ!A$1:A$500,0),MATCH(PAYROLL!DN$2,ADJ!$2:$2,0)),0)</f>
        <v/>
      </c>
      <c r="DO45">
        <f>IFERROR(SUM(BO45,DM45:DN45,CW45:CZ45)-DT45,0)</f>
        <v/>
      </c>
      <c r="DP45">
        <f ref="DP45" t="array">SUM(BV45*IFERROR(INDEX(CSDA!D$1:D$500,MATCH(BV$2,CSDA!C$1:C$500,0)),0)%,CW45*IFERROR(INDEX(CSDA!D$1:D$500,MATCH(CW$2,CSDA!C$1:C$500,0)),0)%,CZ45*IFERROR(INDEX(CSDA!D$1:D$500,MATCH(CZ$2,CSDA!C$1:C$500,0)),0)%,DA45*IFERROR(INDEX(CSDA!D$1:D$500,MATCH(DA$2,CSDA!C$1:C$500,0)),0)%,DE45*IFERROR(INDEX(CSDA!D$1:D$500,MATCH("Phí dịch vụ"&amp;PAYROLL!DE$2,CSDA!A$1:A$500&amp;CSDA!C$1:C$500,0)),0)%,DB45*IFERROR(INDEX(CSDA!D$1:D$500,MATCH("Phí dịch vụ"&amp;PAYROLL!DB$2,CSDA!A$1:A$500&amp;CSDA!C$1:C$500,0)),0)%,DG45*IFERROR(INDEX(CSDA!D$1:D$500,MATCH("Phí dịch vụ"&amp;PAYROLL!DG$2,CSDA!A$1:A$500&amp;CSDA!C$1:C$500,0)),0)%,DI45*IFERROR(INDEX(CSDA!D$1:D$500,MATCH("Phí dịch vụ"&amp;PAYROLL!DI$2,CSDA!A$1:A$500&amp;CSDA!C$1:C$500,0)),0)%,BM45*IFERROR(INDEX(CSDA!D$1:D$500,MATCH(BM$2,CSDA!C$1:C$500,0)),0)%)-BM45*7%</f>
        <v/>
      </c>
      <c r="DQ45">
        <f>IFERROR(INDEX(ADJ!$A$1:$BZ$1000,MATCH(PAYROLL!D45,ADJ!A$1:A$500,0),MATCH(PAYROLL!DQ$2,ADJ!$2:$2,0)),0)</f>
        <v/>
      </c>
      <c r="DR45">
        <f>IFERROR(INDEX(ADJ!$A$1:$BZ$1000,MATCH(PAYROLL!D45,ADJ!A$1:A$500,0),MATCH(PAYROLL!DR$2,ADJ!$2:$2,0)),0)</f>
        <v/>
      </c>
      <c r="DS45">
        <f>SUM(DP45:DR45)</f>
        <v/>
      </c>
      <c r="DT45">
        <f>EK45</f>
        <v/>
      </c>
      <c r="DU45">
        <f>SUM(DO45:DR45)</f>
        <v/>
      </c>
      <c r="DV45">
        <f>ROUND(DU45*0.1,0)</f>
        <v/>
      </c>
      <c r="DW45">
        <f>DU45+DV45</f>
        <v/>
      </c>
      <c r="DZ45">
        <f>IFERROR(INDEX(ADJ!$A$1:$BZ$1000,MATCH(PAYROLL!$D45,ADJ!A$1:A$500,0),MATCH(PAYROLL!DZ$2,ADJ!$2:$2,0)),0)</f>
        <v/>
      </c>
      <c r="EA45">
        <f>IFERROR(INDEX(ADJ!$A$1:$BZ$1000,MATCH(PAYROLL!$D45,ADJ!A$1:A$500,0),MATCH(PAYROLL!EA$2,ADJ!$2:$2,0)),0)</f>
        <v/>
      </c>
      <c r="EB45">
        <f>IFERROR(INDEX(ADJ!$A$1:$BZ$1000,MATCH(PAYROLL!$D45,ADJ!A$1:A$500,0),MATCH(PAYROLL!EB$2,ADJ!$2:$2,0)),0)</f>
        <v/>
      </c>
      <c r="EC45">
        <f>IFERROR(INDEX(ADJ!$A$1:$BZ$1000,MATCH(PAYROLL!$D45,ADJ!A$1:A$500,0),MATCH(PAYROLL!EC$2,ADJ!$2:$2,0)),0)</f>
        <v/>
      </c>
      <c r="ED45">
        <f>IFERROR(INDEX(ADJ!$A$1:$BZ$1000,MATCH(PAYROLL!$D45,ADJ!A$1:A$500,0),MATCH(PAYROLL!ED$2,ADJ!$2:$2,0)),0)</f>
        <v/>
      </c>
      <c r="EE45">
        <f>IFERROR(INDEX(ADJ!$A$1:$BZ$1000,MATCH(PAYROLL!$D45,ADJ!A$1:A$500,0),MATCH(PAYROLL!EE$2,ADJ!$2:$2,0)),0)</f>
        <v/>
      </c>
      <c r="EF45">
        <f>IFERROR(INDEX(ADJ!$A$1:$BZ$1000,MATCH(PAYROLL!$D45,ADJ!A$1:A$500,0),MATCH(PAYROLL!EF$2,ADJ!$2:$2,0)),0)</f>
        <v/>
      </c>
      <c r="EG45">
        <f>IFERROR(INDEX(ADJ!$A$1:$BZ$1000,MATCH(PAYROLL!$D45,ADJ!A$1:A$500,0),MATCH(PAYROLL!EG$2,ADJ!$2:$2,0)),0)</f>
        <v/>
      </c>
      <c r="EH45">
        <f>IFERROR(INDEX(ADJ!$A$1:$BZ$1000,MATCH(PAYROLL!$D45,ADJ!A$1:A$500,0),MATCH(PAYROLL!EH$2,ADJ!$2:$2,0)),0)</f>
        <v/>
      </c>
      <c r="EI45">
        <f>IFERROR(INDEX(ADJ!$A$1:$BZ$1000,MATCH(PAYROLL!D45,ADJ!A$1:A$500,0),MATCH(PAYROLL!EI$2,ADJ!$2:$2,0)),0)</f>
        <v/>
      </c>
      <c r="EJ45">
        <f>IFERROR(INDEX(ADJ!$A$1:$BZ$1000,MATCH(PAYROLL!$D45,ADJ!A$1:A$500,0),MATCH(PAYROLL!EJ$2,ADJ!$2:$2,0)),0)</f>
        <v/>
      </c>
      <c r="EK45">
        <f>SUM(DZ45:EJ45)</f>
        <v/>
      </c>
    </row>
    <row r="46">
      <c r="A46" t="n">
        <v>44</v>
      </c>
      <c r="B46" t="inlineStr">
        <is>
          <t>Nguyễn Văn Trường</t>
        </is>
      </c>
      <c r="D46" t="inlineStr">
        <is>
          <t>157172-01</t>
        </is>
      </c>
      <c r="S46">
        <f>IFERROR(INDEX(PIS!$A$1:$BZ$1000,MATCH($D46,PIS!C$1:C$500,0),MATCH("Lương CB tháng trước",PIS!$1:$1,0)),0)</f>
        <v/>
      </c>
      <c r="T46">
        <f>IFERROR(INDEX(PIS!$A$1:$BZ$1000,MATCH($D46,PIS!C$1:C$500,0),MATCH("Lương CB hiện tại",PIS!$1:$1,0)),0)</f>
        <v/>
      </c>
      <c r="U46">
        <f>IFERROR(INDEX(PIS!$A$1:$BZ$1000,MATCH($D46,PIS!C$1:C$500,0),MATCH("Lương đóng BHBB",PIS!$1:$1,0)),0)</f>
        <v/>
      </c>
      <c r="V46">
        <f>IFERROR(INDEX(PIS!$A$1:$BZ$1000,MATCH($D46,PIS!C$1:C$500,0),MATCH(V$2,PIS!$2:$2,0)),0)</f>
        <v/>
      </c>
      <c r="W46">
        <f>IFERROR(INDEX(PIS!$A$1:$BZ$1000,MATCH($D46,PIS!C$1:C$500,0),MATCH(W$2,PIS!$2:$2,0)),0)</f>
        <v/>
      </c>
      <c r="X46">
        <f>IFERROR(INDEX(PIS!$A$1:$BZ$1000,MATCH($D46,PIS!C$1:C$500,0),MATCH(X$2,PIS!$2:$2,0)),0)</f>
        <v/>
      </c>
      <c r="Y46">
        <f>IFERROR(INDEX(PIS!$A$1:$BZ$1000,MATCH($D46,PIS!C$1:C$500,0),MATCH(Y$2,PIS!$2:$2,0)),0)</f>
        <v/>
      </c>
      <c r="Z46">
        <f>IFERROR(INDEX(PIS!$A$1:$BZ$1000,MATCH($D46,PIS!C$1:C$500,0),MATCH(Z$2,PIS!$2:$2,0)),0)</f>
        <v/>
      </c>
      <c r="AA46">
        <f>IFERROR(INDEX(PIS!$A$1:$BZ$1000,MATCH($D46,PIS!C$1:C$500,0),MATCH(AA$2,PIS!$2:$2,0)),0)</f>
        <v/>
      </c>
      <c r="AB46">
        <f>IFERROR(INDEX(PIS!$A$1:$BZ$1000,MATCH($D46,PIS!C$1:C$500,0),MATCH(AB$2,PIS!$2:$2,0)),0)</f>
        <v/>
      </c>
      <c r="AC46">
        <f>SUM(V46:AB46)</f>
        <v/>
      </c>
      <c r="AD46">
        <f>IFERROR(INDEX(TIMESHEET!$A$1:$AI$5000,MATCH($D46,TIMESHEET!A$1:A$500,0),MATCH("T100",TIMESHEET!$2:$2,0)),0)</f>
        <v/>
      </c>
      <c r="AE46">
        <f>IFERROR(INDEX(TIMESHEET!$A$1:$AI$5000,MATCH($D46,TIMESHEET!A$1:A$500,0),MATCH("T202",TIMESHEET!$2:$2,0)),0)</f>
        <v/>
      </c>
      <c r="AF46">
        <f>IFERROR(INDEX(TIMESHEET!$A$1:$AI$5000,MATCH($D46,TIMESHEET!A$1:A$500,0),MATCH("T302",TIMESHEET!$2:$2,0)),0)</f>
        <v/>
      </c>
      <c r="AG46">
        <f>IFERROR(INDEX(TIMESHEET!$A$1:$AI$5000,MATCH($D46,TIMESHEET!A$1:A$500,0),MATCH("T406",TIMESHEET!$2:$2,0)),0)</f>
        <v/>
      </c>
      <c r="AH46">
        <f>IF(SUM(AE46:AG46)&gt;=26,26,SUM(AE46:AG46))</f>
        <v/>
      </c>
      <c r="AI46">
        <f>IFERROR(INDEX(TIMESHEET!$A$1:$AI$5000,MATCH($D46,TIMESHEET!A$1:A$500,0),MATCH("T701",TIMESHEET!$2:$2,0)),0)</f>
        <v/>
      </c>
      <c r="AJ46">
        <f>IFERROR(IF(INDEX(PIS!N$1:N$500,MATCH(D46,PIS!C$1:C$500,0))="LC4",(T46*0.85)/AD46*AH46,ROUND(T46/AD46*AH46,0)),0)</f>
        <v/>
      </c>
      <c r="AK46">
        <f>IFERROR(INDEX(ADJ!$A$1:$BZ$1000,MATCH(PAYROLL!D46,ADJ!A$1:A$500,0),MATCH(PAYROLL!AK$2,ADJ!$2:$2,0)),0)</f>
        <v/>
      </c>
      <c r="AL46">
        <f>SUM(AJ46:AK46)</f>
        <v/>
      </c>
      <c r="AM46">
        <f>IF(AH46&gt;13,V46,ROUND(V46/AD46*AH46,0))</f>
        <v/>
      </c>
      <c r="AN46">
        <f>IF(AD46=0,0,ROUND(W46/AD46*AI46,0))</f>
        <v/>
      </c>
      <c r="AO46">
        <f>ROUND(X46*AH46,0)</f>
        <v/>
      </c>
      <c r="AP46">
        <f>IF(AD46=0,0,ROUND(Y46/AD46*AH46,0))</f>
        <v/>
      </c>
      <c r="AQ46">
        <f>IFERROR(IF((AE46+AF46+AG46)&gt;13,Z46,ROUND(Z46/AD46*AH46,0)),0)</f>
        <v/>
      </c>
      <c r="AR46">
        <f>IF(AD46=0,0,ROUND(AA75/AD46*AH46,0))</f>
        <v/>
      </c>
      <c r="AS46">
        <f>IFERROR(IF((AE46+AF46+AG46)&gt;13,AB46,ROUND(AB46/AD46*AH46,0)),0)</f>
        <v/>
      </c>
      <c r="AT46">
        <f>IFERROR(INDEX(ADJ!$A$1:$BZ$1000,MATCH(PAYROLL!D46,ADJ!A$1:A$500,0),MATCH(PAYROLL!AT$2,ADJ!$2:$2,0)),0)</f>
        <v/>
      </c>
      <c r="AU46">
        <f>ROUND(SUM(AM46:AT46),0)</f>
        <v/>
      </c>
      <c r="AV46">
        <f>IFERROR(INDEX(TIMESHEET!$A$1:$AI$5000,MATCH(PAYROLL!D46,TIMESHEET!A$1:A$500,0),MATCH("T620",TIMESHEET!$2:$2,0)),0)</f>
        <v/>
      </c>
      <c r="AW46">
        <f>IFERROR(INDEX(TIMESHEET!$A$1:$AI$5000,MATCH(PAYROLL!D46,TIMESHEET!A$1:A$500,0),MATCH("T601",TIMESHEET!$2:$2,0)),0)</f>
        <v/>
      </c>
      <c r="AX46">
        <f>IFERROR(INDEX(TIMESHEET!$A$1:$AI$5000,MATCH(PAYROLL!D46,TIMESHEET!A$1:A$500,0),MATCH("T602",TIMESHEET!$2:$2,0)),0)</f>
        <v/>
      </c>
      <c r="AY46">
        <f>IFERROR(INDEX(TIMESHEET!$A$1:$AI$5000,MATCH(PAYROLL!D46,TIMESHEET!A$1:A$500,0),MATCH("T603",TIMESHEET!$2:$2,0)),0)</f>
        <v/>
      </c>
      <c r="AZ46">
        <f>IFERROR(INDEX(TIMESHEET!$A$1:$AI$5000,MATCH(PAYROLL!D46,TIMESHEET!A$1:A$500,0),MATCH("T611",TIMESHEET!$2:$2,0)),0)</f>
        <v/>
      </c>
      <c r="BA46">
        <f>IFERROR(INDEX(TIMESHEET!$A$1:$AI$5000,MATCH(PAYROLL!D46,TIMESHEET!A$1:A$500,0),MATCH("T612",TIMESHEET!$2:$2,0)),0)</f>
        <v/>
      </c>
      <c r="BB46">
        <f>IFERROR(INDEX(TIMESHEET!$A$1:$AI$5000,MATCH(PAYROLL!D46,TIMESHEET!A$1:A$500,0),MATCH("T613",TIMESHEET!$2:$2,0)),0)</f>
        <v/>
      </c>
      <c r="BC46">
        <f>IFERROR(INDEX(TIMESHEET!$A$1:$AI$5000,MATCH(PAYROLL!D46,TIMESHEET!A$1:A$500,0),MATCH("T500",TIMESHEET!$2:$2,0)),0)</f>
        <v/>
      </c>
      <c r="BD46">
        <f>IFERROR((T46+V46)/AD46/8*(AV46+AW46*1.5+AX46*2+AY46*3+AZ46*2.1+BA46*2.7+BB46*3.9+BC46*0.3),0)</f>
        <v/>
      </c>
      <c r="BE46">
        <f>IFERROR(INDEX(ADJ!$A$1:$BZ$1000,MATCH(PAYROLL!$D46,ADJ!A$1:A$500,0),MATCH(PAYROLL!BE$2,ADJ!$2:$2,0)),0)</f>
        <v/>
      </c>
      <c r="BF46">
        <f>IFERROR(INDEX(ADJ!$A$1:$BZ$1000,MATCH(PAYROLL!D46,ADJ!A$1:A$500,0),MATCH(PAYROLL!BF$2,ADJ!$2:$2,0)),0)</f>
        <v/>
      </c>
      <c r="BG46">
        <f>IFERROR(INDEX(ADJ!$A$1:$BZ$1000,MATCH(PAYROLL!D46,ADJ!A$1:A$500,0),MATCH(PAYROLL!BG$2,ADJ!$2:$2,0)),0)</f>
        <v/>
      </c>
      <c r="BH46">
        <f>IFERROR(INDEX(ADJ!$A$1:$BZ$1000,MATCH(PAYROLL!D46,ADJ!A$1:A$500,0),MATCH(PAYROLL!BH$2,ADJ!$2:$2,0)),0)</f>
        <v/>
      </c>
      <c r="BI46">
        <f>IFERROR(INDEX(ADJ!$A$1:$BZ$1000,MATCH(PAYROLL!D46,ADJ!A$1:A$500,0),MATCH(PAYROLL!BI$2,ADJ!$2:$2,0)),0)</f>
        <v/>
      </c>
      <c r="BJ46">
        <f>SUM(BE46:BI46)</f>
        <v/>
      </c>
      <c r="BK46">
        <f>IFERROR(IF(INDEX(PIS!N$1:N$500,MATCH(D46,PIS!C$1:C$500))="LC12",(T46*21.5%)/AD46*AH46,0),0)</f>
        <v/>
      </c>
      <c r="BL46">
        <f>IFERROR(INDEX(ADJ!$A$1:$BZ$1000,MATCH(PAYROLL!D46,ADJ!A$1:A$500,0),MATCH(PAYROLL!BL$2,ADJ!$2:$2,0)),0)</f>
        <v/>
      </c>
      <c r="BM46">
        <f>IFERROR(INDEX(ADJ!$A$1:$BZ$1000,MATCH(PAYROLL!D46,ADJ!A$1:A$500,0),MATCH(PAYROLL!BM$2,ADJ!$2:$2,0)),0)</f>
        <v/>
      </c>
      <c r="BN46">
        <f>IFERROR(INDEX(ADJ!$A$1:$BZ$1000,MATCH(PAYROLL!D46,ADJ!A$1:A$500,0),MATCH(PAYROLL!BN$2,ADJ!$2:$2,0)),0)</f>
        <v/>
      </c>
      <c r="BO46">
        <f>SUM(AL46,AU46,BD46,BJ46,BK46:BN46)</f>
        <v/>
      </c>
      <c r="BP46">
        <f>BN46+AP46</f>
        <v/>
      </c>
      <c r="BQ46">
        <f>IFERROR(ROUND(IF(LEFT(INDEX(PIS!O$1:O$500,MATCH(D46,PIS!C$1:C$500)),1)="D",T46/8*(BC46*0.3),IF(LEFT(INDEX(PIS!O$1:O$500,MATCH(D46,PIS!C$1:C$500)),1)="H",T46*($BC46*0.3),T46/$AD46/8*($BC46*0.3))),0),0)</f>
        <v/>
      </c>
      <c r="BR46">
        <f>IF(AO46&lt;1,0,MIN(AO46,730000))</f>
        <v/>
      </c>
      <c r="BS46">
        <f>IFERROR(ROUND((BD46-SUM(AV46:BB46)*T46/AD46/8),0)-BQ46,0)</f>
        <v/>
      </c>
      <c r="BT46">
        <f>AN46</f>
        <v/>
      </c>
      <c r="BU46">
        <f>SUM(BP46:BT46)</f>
        <v/>
      </c>
      <c r="BV46">
        <f>BO46-BU46</f>
        <v/>
      </c>
      <c r="BW46">
        <f>IFERROR(IF(RIGHT(INDEX(PIS!O$1:O$500,MATCH(D46,PIS!C$1:C$500)),5)="Gross",MIN(U46+V46,VLOOKUP("R700",TSC!B:C,2,0)*VLOOKUP("R101",TSC!B:C,2,0))*VLOOKUP("R701",TSC!B:C,2,0)%,0),0)</f>
        <v/>
      </c>
      <c r="BX46">
        <f>IFERROR(IF(RIGHT(INDEX(PIS!O$1:O$500,MATCH(D46,PIS!C$1:C$500)),5)="Gross",MIN(U46+V46,VLOOKUP("R700",TSC!B:C,2,0)*VLOOKUP("R101",TSC!B:C,2,0))*VLOOKUP("T704",TSC!B:C,2,0)%,0),0)</f>
        <v/>
      </c>
      <c r="BY46">
        <f>IFERROR(IF(RIGHT(INDEX(PIS!O$1:O$500,MATCH(D46,PIS!C$1:C$500)),5)="Gross",MIN(U46+V46,VLOOKUP("R700",TSC!B:C,2,0)*VLOOKUP("1",TSC!F:G,2,0))*VLOOKUP("T705",TSC!B:C,2,0)%,0),0)</f>
        <v/>
      </c>
      <c r="BZ46">
        <f>IFERROR(INDEX(ADJ!$A$1:$BZ$1000,MATCH(PAYROLL!D46,ADJ!A$1:A$500,0),MATCH(PAYROLL!BZ$2,ADJ!$2:$2,0)),0)</f>
        <v/>
      </c>
      <c r="CA46">
        <f>IFERROR(INDEX(ADJ!$A$1:$BZ$1000,MATCH(PAYROLL!D46,ADJ!A$1:A$500,0),MATCH(PAYROLL!CA$2,ADJ!$2:$2,0)),0)</f>
        <v/>
      </c>
      <c r="CB46">
        <f>SUM(BW46:CA46)</f>
        <v/>
      </c>
      <c r="CC46">
        <f>IFERROR(INDEX(PIS!$A$1:$BZ$1000,MATCH(PAYROLL!D46,PIS!C$1:C$500,0),MATCH(PAYROLL!CC$1,PIS!$1:$1,0)),0)</f>
        <v/>
      </c>
      <c r="CD46">
        <f>IFERROR(IF(OR(INDEX(PIS!P$1:P$500,MATCH(D46,PIS!C$1:C$500,0))="LT2",INDEX(PIS!P$1:P$500,MATCH(D46,PIS!C$1:C$500,0))="P10"),0,SUM(CB46,CC46*VLOOKUP("R601",TSC!B:C,2,0),VLOOKUP("R602",TSC!B:C,2,0))),0)</f>
        <v/>
      </c>
      <c r="CE46">
        <f>MAX(BV46-CD46,0)</f>
        <v/>
      </c>
      <c r="CF46">
        <f>IFERROR(IF(OR(RIGHT(INDEX(PIS!P$1:P$500,MATCH(D46,PIS!C$1:C$500)),5)="P10",RIGHT(INDEX(PIS!P$1:P$500,MATCH(D46,PIS!C$1:C$500)),5)="CK"),0,IF(CE46&lt;=5000000,CE46*5%,IF(CE46&lt;=10000000,CE46*10%-250000,IF(CE46&lt;=18000000,CE46*15%-750000,IF(CE46&lt;=32000000,CE46*20%-1650000,IF(CE46&lt;=52000000,CE46*25%-3250000,IF(CE46&lt;=80000000,BG46*30%-5850000,CE46*35%-9850000))))))),0)</f>
        <v/>
      </c>
      <c r="CG46">
        <f>IFERROR(IF(OR(INDEX(PIS!P$1:P$500,MATCH(D46,PIS!C$1:C$500))="LT",INDEX(PIS!P$1:P$500,MATCH(D46,PIS!C$1:C$500))="CK"),0,IF(CE46&lt;2000000,0,CE46*10%)),0)</f>
        <v/>
      </c>
      <c r="CH46">
        <f>IFERROR(INDEX(ADJ!$A$1:$BZ$1000,MATCH(PAYROLL!D46,ADJ!A$1:A$500,0),MATCH(PAYROLL!CH$2,ADJ!$2:$2,0)),0)</f>
        <v/>
      </c>
      <c r="CI46">
        <f>IFERROR(INDEX(ADJ!$A$1:$BZ$1000,MATCH(PAYROLL!D46,ADJ!A$1:A$500,0),MATCH(PAYROLL!CI$2,ADJ!$2:$2,0)),0)</f>
        <v/>
      </c>
      <c r="CJ46">
        <f>IFERROR(INDEX(ADJ!$A$1:$BZ$1000,MATCH(PAYROLL!D46,ADJ!A$1:A$500,0),MATCH(PAYROLL!CJ$2,ADJ!$2:$2,0)),0)</f>
        <v/>
      </c>
      <c r="CK46">
        <f>SUM(CF46:CJ46)</f>
        <v/>
      </c>
      <c r="CL46">
        <f>ROUND(SUM(CG46:CJ46),0)</f>
        <v/>
      </c>
      <c r="CM46">
        <f>IFERROR(INDEX(CSDA!D$1:D$500,MATCH($CM$2,CSDA!C$1:C$500,0))*INDEX(PIS!V$1:V$500,MATCH(D46,PIS!C$1:C$500))+INDEX(ADJ!$A$1:$BZ$1000,MATCH(PAYROLL!D46,ADJ!A$1:A$500,0),MATCH(PAYROLL!CM$2,ADJ!$2:$2,0)),0)</f>
        <v/>
      </c>
      <c r="CN46">
        <f>IFERROR(INDEX(ADJ!$A$1:$BZ$1000,MATCH(PAYROLL!D46,ADJ!A$1:A$500,0),MATCH(PAYROLL!CN$2,ADJ!$2:$2,0)),0)</f>
        <v/>
      </c>
      <c r="CO46">
        <f>IFERROR(INDEX(ADJ!$A$1:$BZ$1000,MATCH(PAYROLL!D46,ADJ!A$1:A$500,0),MATCH(PAYROLL!CO$2,ADJ!$2:$2,0)),0)</f>
        <v/>
      </c>
      <c r="CP46">
        <f>BO46-CK46-CH46-CL46-CM46-CN46-CO46-CB46</f>
        <v/>
      </c>
      <c r="CQ46">
        <f>IFERROR(IF(RIGHT(INDEX(PIS!O$1:O$500,MATCH(D46,PIS!C$1:C$500,0)),5)="Gross",MIN(U46+V46,VLOOKUP("R700",TSC!B:C,2,0)*VLOOKUP("R101",TSC!B:C,2,0))*(VLOOKUP("T711",TSC!B:C,2,0)+VLOOKUP("T712",TSC!B:C,2,0))%,MIN(T46+V46,VLOOKUP("R700",TSC!B:C,2,0)*VLOOKUP("R101",TSC!B:C,2,0))*(VLOOKUP("T711",TSC!B:C,2,0)+VLOOKUP("T712",TSC!B:C,2,0)+VLOOKUP("R701",TSC!B:C,2,0))%),0)</f>
        <v/>
      </c>
      <c r="CR46">
        <f>IFERROR(IF(RIGHT(INDEX(PIS!O$1:O$500,MATCH(D46,PIS!C$1:C$500,0)),5)="Gross",MIN(U46+V46,VLOOKUP("R700",TSC!B:C,2,0)*VLOOKUP("R101",TSC!B:C,2,0))*(VLOOKUP("T714",TSC!B:C,2,0))%,MIN(T46+V46,VLOOKUP("R700",TSC!B:C,2,0)*VLOOKUP("R101",TSC!B:C,2,0))*(VLOOKUP("T704",TSC!B:C,2,0)+VLOOKUP("T714",TSC!B:C,2,0))%),0)</f>
        <v/>
      </c>
      <c r="CS46">
        <f>IFERROR(IF(RIGHT(INDEX(PIS!O$1:O$500,MATCH(D46,PIS!C$1:C$500,0)),5)="Gross",MIN(U46+V46,VLOOKUP("R700",TSC!B:C,2,0)*VLOOKUP("R101",TSC!B:C,2,0))*VLOOKUP("T705",TSC!B:C,2,0)%,MIN(T46+V46,VLOOKUP("R700",TSC!B:C,2,0)*VLOOKUP("R101",TSC!B:C,2,0))*VLOOKUP("T705",TSC!B:C,2,0)%),0)</f>
        <v/>
      </c>
      <c r="CT46">
        <f>IFERROR(IF(RIGHT(INDEX(PIS!O$1:O$500,MATCH(D46,PIS!C$1:C$500,0)),5)="Gross",MIN(U46+V46,VLOOKUP("R700",TSC!B:C,2,0)*VLOOKUP("R101",TSC!B:C,2,0))*(VLOOKUP("T713",TSC!B:C,2,0))%,MIN(T46+V46,VLOOKUP("R700",TSC!B:C,2,0)*VLOOKUP("R101",TSC!B:C,2,0))*(VLOOKUP("T713",TSC!B:C,2,0))%),0)</f>
        <v/>
      </c>
      <c r="CU46">
        <f>IFERROR(INDEX(ADJ!$A$1:$BZ$1000,MATCH(PAYROLL!D46,ADJ!A$1:A$500,0),MATCH(PAYROLL!CU$2,ADJ!$2:$2,0)),0)</f>
        <v/>
      </c>
      <c r="CV46">
        <f>IFERROR(INDEX(ADJ!$A$1:$BZ$1000,MATCH(PAYROLL!D46,ADJ!A$1:A$500,0),MATCH(PAYROLL!CV$2,ADJ!$2:$2,0)),0)</f>
        <v/>
      </c>
      <c r="CW46">
        <f>SUM(CQ46:CV46)</f>
        <v/>
      </c>
      <c r="CX46">
        <f>ROUND(IF(CQ46&gt;0,T46+V46*VLOOKUP("R202",TSC!$B$1:$C$500,2,0),0),0)</f>
        <v/>
      </c>
      <c r="CY46">
        <f>IFERROR(INDEX(CSDA!D$1:D$500,MATCH($CY$2,CSDA!C$1:C$500,0)),0)</f>
        <v/>
      </c>
      <c r="CZ46">
        <f>ROUND(T46*0.7%,0)</f>
        <v/>
      </c>
      <c r="DA46">
        <f>ROUND(T46/12,0)</f>
        <v/>
      </c>
      <c r="DB46">
        <f ref="DB46" t="array">IFERROR(INDEX(CSDA!D$1:D$500,MATCH("Trích giữ"&amp;PAYROLL!DB$2,CSDA!A$1:A$500&amp;CSDA!C$1:C$500,0)),0)</f>
        <v/>
      </c>
      <c r="DC46">
        <f ref="DC46" t="array">IFERROR(INDEX(CSDA!D$1:D$500,MATCH("Trích giữ"&amp;PAYROLL!DC$2,CSDA!A$1:A$500&amp;CSDA!C$1:C$500,0)),0)</f>
        <v/>
      </c>
      <c r="DD46">
        <f ref="DD46" t="array">IFERROR(INDEX(CSDA!D$1:D$500,MATCH("Trích giữ"&amp;PAYROLL!DD$2,CSDA!A$1:A$500&amp;CSDA!C$1:C$500,0)),0)</f>
        <v/>
      </c>
      <c r="DE46">
        <f>IFERROR(INDEX(CSDA!D$1:D$500,MATCH(PAYROLL!DE$2,CSDA!C$1:C$500,0)),0)</f>
        <v/>
      </c>
      <c r="DF46">
        <f ref="DF46" t="array">IFERROR(INDEX(CSDA!D$1:D$500,MATCH("Trích giữ"&amp;PAYROLL!DF$2,CSDA!A$1:A$500&amp;CSDA!C$1:C$500,0)),0)</f>
        <v/>
      </c>
      <c r="DG46">
        <f>ROUND(T46/26,0)</f>
        <v/>
      </c>
      <c r="DH46">
        <f ref="DH46" t="array">IFERROR(INDEX(CSDA!D$1:D$500,MATCH("Trích giữ"&amp;PAYROLL!DH$2,CSDA!A$1:A$500&amp;CSDA!C$1:C$500,0)),0)</f>
        <v/>
      </c>
      <c r="DI46">
        <f>IF(U46=0,T46*21.5%-BK46,0)</f>
        <v/>
      </c>
      <c r="DK46">
        <f ref="DK46" t="array">IFERROR(INDEX(CSDA!D$1:D$500,MATCH("Trích giữ"&amp;PAYROLL!DK$2,CSDA!A$1:A$500&amp;CSDA!C$1:C$500,0)),0)</f>
        <v/>
      </c>
      <c r="DL46">
        <f>IFERROR(INDEX(CSDA!D$1:D$500,MATCH(PAYROLL!DL$2,CSDA!C$1:C$500,0))/12,0)</f>
        <v/>
      </c>
      <c r="DM46">
        <f>SUM(DA46:DL46)</f>
        <v/>
      </c>
      <c r="DN46">
        <f>IFERROR(INDEX(ADJ!$A$1:$BZ$1000,MATCH(PAYROLL!D46,ADJ!A$1:A$500,0),MATCH(PAYROLL!DN$2,ADJ!$2:$2,0)),0)</f>
        <v/>
      </c>
      <c r="DO46">
        <f>IFERROR(SUM(BO46,DM46:DN46,CW46:CZ46)-DT46,0)</f>
        <v/>
      </c>
      <c r="DP46">
        <f ref="DP46" t="array">SUM(BV46*IFERROR(INDEX(CSDA!D$1:D$500,MATCH(BV$2,CSDA!C$1:C$500,0)),0)%,CW46*IFERROR(INDEX(CSDA!D$1:D$500,MATCH(CW$2,CSDA!C$1:C$500,0)),0)%,CZ46*IFERROR(INDEX(CSDA!D$1:D$500,MATCH(CZ$2,CSDA!C$1:C$500,0)),0)%,DA46*IFERROR(INDEX(CSDA!D$1:D$500,MATCH(DA$2,CSDA!C$1:C$500,0)),0)%,DE46*IFERROR(INDEX(CSDA!D$1:D$500,MATCH("Phí dịch vụ"&amp;PAYROLL!DE$2,CSDA!A$1:A$500&amp;CSDA!C$1:C$500,0)),0)%,DB46*IFERROR(INDEX(CSDA!D$1:D$500,MATCH("Phí dịch vụ"&amp;PAYROLL!DB$2,CSDA!A$1:A$500&amp;CSDA!C$1:C$500,0)),0)%,DG46*IFERROR(INDEX(CSDA!D$1:D$500,MATCH("Phí dịch vụ"&amp;PAYROLL!DG$2,CSDA!A$1:A$500&amp;CSDA!C$1:C$500,0)),0)%,DI46*IFERROR(INDEX(CSDA!D$1:D$500,MATCH("Phí dịch vụ"&amp;PAYROLL!DI$2,CSDA!A$1:A$500&amp;CSDA!C$1:C$500,0)),0)%,BM46*IFERROR(INDEX(CSDA!D$1:D$500,MATCH(BM$2,CSDA!C$1:C$500,0)),0)%)-BM46*7%</f>
        <v/>
      </c>
      <c r="DQ46">
        <f>IFERROR(INDEX(ADJ!$A$1:$BZ$1000,MATCH(PAYROLL!D46,ADJ!A$1:A$500,0),MATCH(PAYROLL!DQ$2,ADJ!$2:$2,0)),0)</f>
        <v/>
      </c>
      <c r="DR46">
        <f>IFERROR(INDEX(ADJ!$A$1:$BZ$1000,MATCH(PAYROLL!D46,ADJ!A$1:A$500,0),MATCH(PAYROLL!DR$2,ADJ!$2:$2,0)),0)</f>
        <v/>
      </c>
      <c r="DS46">
        <f>SUM(DP46:DR46)</f>
        <v/>
      </c>
      <c r="DT46">
        <f>EK46</f>
        <v/>
      </c>
      <c r="DU46">
        <f>SUM(DO46:DR46)</f>
        <v/>
      </c>
      <c r="DV46">
        <f>ROUND(DU46*0.1,0)</f>
        <v/>
      </c>
      <c r="DW46">
        <f>DU46+DV46</f>
        <v/>
      </c>
      <c r="DZ46">
        <f>IFERROR(INDEX(ADJ!$A$1:$BZ$1000,MATCH(PAYROLL!$D46,ADJ!A$1:A$500,0),MATCH(PAYROLL!DZ$2,ADJ!$2:$2,0)),0)</f>
        <v/>
      </c>
      <c r="EA46">
        <f>IFERROR(INDEX(ADJ!$A$1:$BZ$1000,MATCH(PAYROLL!$D46,ADJ!A$1:A$500,0),MATCH(PAYROLL!EA$2,ADJ!$2:$2,0)),0)</f>
        <v/>
      </c>
      <c r="EB46">
        <f>IFERROR(INDEX(ADJ!$A$1:$BZ$1000,MATCH(PAYROLL!$D46,ADJ!A$1:A$500,0),MATCH(PAYROLL!EB$2,ADJ!$2:$2,0)),0)</f>
        <v/>
      </c>
      <c r="EC46">
        <f>IFERROR(INDEX(ADJ!$A$1:$BZ$1000,MATCH(PAYROLL!$D46,ADJ!A$1:A$500,0),MATCH(PAYROLL!EC$2,ADJ!$2:$2,0)),0)</f>
        <v/>
      </c>
      <c r="ED46">
        <f>IFERROR(INDEX(ADJ!$A$1:$BZ$1000,MATCH(PAYROLL!$D46,ADJ!A$1:A$500,0),MATCH(PAYROLL!ED$2,ADJ!$2:$2,0)),0)</f>
        <v/>
      </c>
      <c r="EE46">
        <f>IFERROR(INDEX(ADJ!$A$1:$BZ$1000,MATCH(PAYROLL!$D46,ADJ!A$1:A$500,0),MATCH(PAYROLL!EE$2,ADJ!$2:$2,0)),0)</f>
        <v/>
      </c>
      <c r="EF46">
        <f>IFERROR(INDEX(ADJ!$A$1:$BZ$1000,MATCH(PAYROLL!$D46,ADJ!A$1:A$500,0),MATCH(PAYROLL!EF$2,ADJ!$2:$2,0)),0)</f>
        <v/>
      </c>
      <c r="EG46">
        <f>IFERROR(INDEX(ADJ!$A$1:$BZ$1000,MATCH(PAYROLL!$D46,ADJ!A$1:A$500,0),MATCH(PAYROLL!EG$2,ADJ!$2:$2,0)),0)</f>
        <v/>
      </c>
      <c r="EH46">
        <f>IFERROR(INDEX(ADJ!$A$1:$BZ$1000,MATCH(PAYROLL!$D46,ADJ!A$1:A$500,0),MATCH(PAYROLL!EH$2,ADJ!$2:$2,0)),0)</f>
        <v/>
      </c>
      <c r="EI46">
        <f>IFERROR(INDEX(ADJ!$A$1:$BZ$1000,MATCH(PAYROLL!D46,ADJ!A$1:A$500,0),MATCH(PAYROLL!EI$2,ADJ!$2:$2,0)),0)</f>
        <v/>
      </c>
      <c r="EJ46">
        <f>IFERROR(INDEX(ADJ!$A$1:$BZ$1000,MATCH(PAYROLL!$D46,ADJ!A$1:A$500,0),MATCH(PAYROLL!EJ$2,ADJ!$2:$2,0)),0)</f>
        <v/>
      </c>
      <c r="EK46">
        <f>SUM(DZ46:EJ46)</f>
        <v/>
      </c>
    </row>
    <row r="47">
      <c r="A47" t="n">
        <v>45</v>
      </c>
      <c r="B47" t="inlineStr">
        <is>
          <t>Trịnh Sơn Đỉnh</t>
        </is>
      </c>
      <c r="D47" t="inlineStr">
        <is>
          <t>157168-01</t>
        </is>
      </c>
      <c r="S47">
        <f>IFERROR(INDEX(PIS!$A$1:$BZ$1000,MATCH($D47,PIS!C$1:C$500,0),MATCH("Lương CB tháng trước",PIS!$1:$1,0)),0)</f>
        <v/>
      </c>
      <c r="T47">
        <f>IFERROR(INDEX(PIS!$A$1:$BZ$1000,MATCH($D47,PIS!C$1:C$500,0),MATCH("Lương CB hiện tại",PIS!$1:$1,0)),0)</f>
        <v/>
      </c>
      <c r="U47">
        <f>IFERROR(INDEX(PIS!$A$1:$BZ$1000,MATCH($D47,PIS!C$1:C$500,0),MATCH("Lương đóng BHBB",PIS!$1:$1,0)),0)</f>
        <v/>
      </c>
      <c r="V47">
        <f>IFERROR(INDEX(PIS!$A$1:$BZ$1000,MATCH($D47,PIS!C$1:C$500,0),MATCH(V$2,PIS!$2:$2,0)),0)</f>
        <v/>
      </c>
      <c r="W47">
        <f>IFERROR(INDEX(PIS!$A$1:$BZ$1000,MATCH($D47,PIS!C$1:C$500,0),MATCH(W$2,PIS!$2:$2,0)),0)</f>
        <v/>
      </c>
      <c r="X47">
        <f>IFERROR(INDEX(PIS!$A$1:$BZ$1000,MATCH($D47,PIS!C$1:C$500,0),MATCH(X$2,PIS!$2:$2,0)),0)</f>
        <v/>
      </c>
      <c r="Y47">
        <f>IFERROR(INDEX(PIS!$A$1:$BZ$1000,MATCH($D47,PIS!C$1:C$500,0),MATCH(Y$2,PIS!$2:$2,0)),0)</f>
        <v/>
      </c>
      <c r="Z47">
        <f>IFERROR(INDEX(PIS!$A$1:$BZ$1000,MATCH($D47,PIS!C$1:C$500,0),MATCH(Z$2,PIS!$2:$2,0)),0)</f>
        <v/>
      </c>
      <c r="AA47">
        <f>IFERROR(INDEX(PIS!$A$1:$BZ$1000,MATCH($D47,PIS!C$1:C$500,0),MATCH(AA$2,PIS!$2:$2,0)),0)</f>
        <v/>
      </c>
      <c r="AB47">
        <f>IFERROR(INDEX(PIS!$A$1:$BZ$1000,MATCH($D47,PIS!C$1:C$500,0),MATCH(AB$2,PIS!$2:$2,0)),0)</f>
        <v/>
      </c>
      <c r="AC47">
        <f>SUM(V47:AB47)</f>
        <v/>
      </c>
      <c r="AD47">
        <f>IFERROR(INDEX(TIMESHEET!$A$1:$AI$5000,MATCH($D47,TIMESHEET!A$1:A$500,0),MATCH("T100",TIMESHEET!$2:$2,0)),0)</f>
        <v/>
      </c>
      <c r="AE47">
        <f>IFERROR(INDEX(TIMESHEET!$A$1:$AI$5000,MATCH($D47,TIMESHEET!A$1:A$500,0),MATCH("T202",TIMESHEET!$2:$2,0)),0)</f>
        <v/>
      </c>
      <c r="AF47">
        <f>IFERROR(INDEX(TIMESHEET!$A$1:$AI$5000,MATCH($D47,TIMESHEET!A$1:A$500,0),MATCH("T302",TIMESHEET!$2:$2,0)),0)</f>
        <v/>
      </c>
      <c r="AG47">
        <f>IFERROR(INDEX(TIMESHEET!$A$1:$AI$5000,MATCH($D47,TIMESHEET!A$1:A$500,0),MATCH("T406",TIMESHEET!$2:$2,0)),0)</f>
        <v/>
      </c>
      <c r="AH47">
        <f>IF(SUM(AE47:AG47)&gt;=26,26,SUM(AE47:AG47))</f>
        <v/>
      </c>
      <c r="AI47">
        <f>IFERROR(INDEX(TIMESHEET!$A$1:$AI$5000,MATCH($D47,TIMESHEET!A$1:A$500,0),MATCH("T701",TIMESHEET!$2:$2,0)),0)</f>
        <v/>
      </c>
      <c r="AJ47">
        <f>IFERROR(IF(INDEX(PIS!N$1:N$500,MATCH(D47,PIS!C$1:C$500,0))="LC4",(T47*0.85)/AD47*AH47,ROUND(T47/AD47*AH47,0)),0)</f>
        <v/>
      </c>
      <c r="AK47">
        <f>IFERROR(INDEX(ADJ!$A$1:$BZ$1000,MATCH(PAYROLL!D47,ADJ!A$1:A$500,0),MATCH(PAYROLL!AK$2,ADJ!$2:$2,0)),0)</f>
        <v/>
      </c>
      <c r="AL47">
        <f>SUM(AJ47:AK47)</f>
        <v/>
      </c>
      <c r="AM47">
        <f>IF(AH47&gt;13,V47,ROUND(V47/AD47*AH47,0))</f>
        <v/>
      </c>
      <c r="AN47">
        <f>IF(AD47=0,0,ROUND(W47/AD47*AI47,0))</f>
        <v/>
      </c>
      <c r="AO47">
        <f>ROUND(X47*AH47,0)</f>
        <v/>
      </c>
      <c r="AP47">
        <f>IF(AD47=0,0,ROUND(Y47/AD47*AH47,0))</f>
        <v/>
      </c>
      <c r="AQ47">
        <f>IFERROR(IF((AE47+AF47+AG47)&gt;13,Z47,ROUND(Z47/AD47*AH47,0)),0)</f>
        <v/>
      </c>
      <c r="AR47">
        <f>IF(AD47=0,0,ROUND(AA76/AD47*AH47,0))</f>
        <v/>
      </c>
      <c r="AS47">
        <f>IFERROR(IF((AE47+AF47+AG47)&gt;13,AB47,ROUND(AB47/AD47*AH47,0)),0)</f>
        <v/>
      </c>
      <c r="AT47">
        <f>IFERROR(INDEX(ADJ!$A$1:$BZ$1000,MATCH(PAYROLL!D47,ADJ!A$1:A$500,0),MATCH(PAYROLL!AT$2,ADJ!$2:$2,0)),0)</f>
        <v/>
      </c>
      <c r="AU47">
        <f>ROUND(SUM(AM47:AT47),0)</f>
        <v/>
      </c>
      <c r="AV47">
        <f>IFERROR(INDEX(TIMESHEET!$A$1:$AI$5000,MATCH(PAYROLL!D47,TIMESHEET!A$1:A$500,0),MATCH("T620",TIMESHEET!$2:$2,0)),0)</f>
        <v/>
      </c>
      <c r="AW47">
        <f>IFERROR(INDEX(TIMESHEET!$A$1:$AI$5000,MATCH(PAYROLL!D47,TIMESHEET!A$1:A$500,0),MATCH("T601",TIMESHEET!$2:$2,0)),0)</f>
        <v/>
      </c>
      <c r="AX47">
        <f>IFERROR(INDEX(TIMESHEET!$A$1:$AI$5000,MATCH(PAYROLL!D47,TIMESHEET!A$1:A$500,0),MATCH("T602",TIMESHEET!$2:$2,0)),0)</f>
        <v/>
      </c>
      <c r="AY47">
        <f>IFERROR(INDEX(TIMESHEET!$A$1:$AI$5000,MATCH(PAYROLL!D47,TIMESHEET!A$1:A$500,0),MATCH("T603",TIMESHEET!$2:$2,0)),0)</f>
        <v/>
      </c>
      <c r="AZ47">
        <f>IFERROR(INDEX(TIMESHEET!$A$1:$AI$5000,MATCH(PAYROLL!D47,TIMESHEET!A$1:A$500,0),MATCH("T611",TIMESHEET!$2:$2,0)),0)</f>
        <v/>
      </c>
      <c r="BA47">
        <f>IFERROR(INDEX(TIMESHEET!$A$1:$AI$5000,MATCH(PAYROLL!D47,TIMESHEET!A$1:A$500,0),MATCH("T612",TIMESHEET!$2:$2,0)),0)</f>
        <v/>
      </c>
      <c r="BB47">
        <f>IFERROR(INDEX(TIMESHEET!$A$1:$AI$5000,MATCH(PAYROLL!D47,TIMESHEET!A$1:A$500,0),MATCH("T613",TIMESHEET!$2:$2,0)),0)</f>
        <v/>
      </c>
      <c r="BC47">
        <f>IFERROR(INDEX(TIMESHEET!$A$1:$AI$5000,MATCH(PAYROLL!D47,TIMESHEET!A$1:A$500,0),MATCH("T500",TIMESHEET!$2:$2,0)),0)</f>
        <v/>
      </c>
      <c r="BD47">
        <f>IFERROR((T47+V47)/AD47/8*(AV47+AW47*1.5+AX47*2+AY47*3+AZ47*2.1+BA47*2.7+BB47*3.9+BC47*0.3),0)</f>
        <v/>
      </c>
      <c r="BE47">
        <f>IFERROR(INDEX(ADJ!$A$1:$BZ$1000,MATCH(PAYROLL!$D47,ADJ!A$1:A$500,0),MATCH(PAYROLL!BE$2,ADJ!$2:$2,0)),0)</f>
        <v/>
      </c>
      <c r="BF47">
        <f>IFERROR(INDEX(ADJ!$A$1:$BZ$1000,MATCH(PAYROLL!D47,ADJ!A$1:A$500,0),MATCH(PAYROLL!BF$2,ADJ!$2:$2,0)),0)</f>
        <v/>
      </c>
      <c r="BG47">
        <f>IFERROR(INDEX(ADJ!$A$1:$BZ$1000,MATCH(PAYROLL!D47,ADJ!A$1:A$500,0),MATCH(PAYROLL!BG$2,ADJ!$2:$2,0)),0)</f>
        <v/>
      </c>
      <c r="BH47">
        <f>IFERROR(INDEX(ADJ!$A$1:$BZ$1000,MATCH(PAYROLL!D47,ADJ!A$1:A$500,0),MATCH(PAYROLL!BH$2,ADJ!$2:$2,0)),0)</f>
        <v/>
      </c>
      <c r="BI47">
        <f>IFERROR(INDEX(ADJ!$A$1:$BZ$1000,MATCH(PAYROLL!D47,ADJ!A$1:A$500,0),MATCH(PAYROLL!BI$2,ADJ!$2:$2,0)),0)</f>
        <v/>
      </c>
      <c r="BJ47">
        <f>SUM(BE47:BI47)</f>
        <v/>
      </c>
      <c r="BK47">
        <f>IFERROR(IF(INDEX(PIS!N$1:N$500,MATCH(D47,PIS!C$1:C$500))="LC12",(T47*21.5%)/AD47*AH47,0),0)</f>
        <v/>
      </c>
      <c r="BL47">
        <f>IFERROR(INDEX(ADJ!$A$1:$BZ$1000,MATCH(PAYROLL!D47,ADJ!A$1:A$500,0),MATCH(PAYROLL!BL$2,ADJ!$2:$2,0)),0)</f>
        <v/>
      </c>
      <c r="BM47">
        <f>IFERROR(INDEX(ADJ!$A$1:$BZ$1000,MATCH(PAYROLL!D47,ADJ!A$1:A$500,0),MATCH(PAYROLL!BM$2,ADJ!$2:$2,0)),0)</f>
        <v/>
      </c>
      <c r="BN47">
        <f>IFERROR(INDEX(ADJ!$A$1:$BZ$1000,MATCH(PAYROLL!D47,ADJ!A$1:A$500,0),MATCH(PAYROLL!BN$2,ADJ!$2:$2,0)),0)</f>
        <v/>
      </c>
      <c r="BO47">
        <f>SUM(AL47,AU47,BD47,BJ47,BK47:BN47)</f>
        <v/>
      </c>
      <c r="BP47">
        <f>BN47+AP47</f>
        <v/>
      </c>
      <c r="BQ47">
        <f>IFERROR(ROUND(IF(LEFT(INDEX(PIS!O$1:O$500,MATCH(D47,PIS!C$1:C$500)),1)="D",T47/8*(BC47*0.3),IF(LEFT(INDEX(PIS!O$1:O$500,MATCH(D47,PIS!C$1:C$500)),1)="H",T47*($BC47*0.3),T47/$AD47/8*($BC47*0.3))),0),0)</f>
        <v/>
      </c>
      <c r="BR47">
        <f>IF(AO47&lt;1,0,MIN(AO47,730000))</f>
        <v/>
      </c>
      <c r="BS47">
        <f>IFERROR(ROUND((BD47-SUM(AV47:BB47)*T47/AD47/8),0)-BQ47,0)</f>
        <v/>
      </c>
      <c r="BT47">
        <f>AN47</f>
        <v/>
      </c>
      <c r="BU47">
        <f>SUM(BP47:BT47)</f>
        <v/>
      </c>
      <c r="BV47">
        <f>BO47-BU47</f>
        <v/>
      </c>
      <c r="BW47">
        <f>IFERROR(IF(RIGHT(INDEX(PIS!O$1:O$500,MATCH(D47,PIS!C$1:C$500)),5)="Gross",MIN(U47+V47,VLOOKUP("R700",TSC!B:C,2,0)*VLOOKUP("R101",TSC!B:C,2,0))*VLOOKUP("R701",TSC!B:C,2,0)%,0),0)</f>
        <v/>
      </c>
      <c r="BX47">
        <f>IFERROR(IF(RIGHT(INDEX(PIS!O$1:O$500,MATCH(D47,PIS!C$1:C$500)),5)="Gross",MIN(U47+V47,VLOOKUP("R700",TSC!B:C,2,0)*VLOOKUP("R101",TSC!B:C,2,0))*VLOOKUP("T704",TSC!B:C,2,0)%,0),0)</f>
        <v/>
      </c>
      <c r="BY47">
        <f>IFERROR(IF(RIGHT(INDEX(PIS!O$1:O$500,MATCH(D47,PIS!C$1:C$500)),5)="Gross",MIN(U47+V47,VLOOKUP("R700",TSC!B:C,2,0)*VLOOKUP("1",TSC!F:G,2,0))*VLOOKUP("T705",TSC!B:C,2,0)%,0),0)</f>
        <v/>
      </c>
      <c r="BZ47">
        <f>IFERROR(INDEX(ADJ!$A$1:$BZ$1000,MATCH(PAYROLL!D47,ADJ!A$1:A$500,0),MATCH(PAYROLL!BZ$2,ADJ!$2:$2,0)),0)</f>
        <v/>
      </c>
      <c r="CA47">
        <f>IFERROR(INDEX(ADJ!$A$1:$BZ$1000,MATCH(PAYROLL!D47,ADJ!A$1:A$500,0),MATCH(PAYROLL!CA$2,ADJ!$2:$2,0)),0)</f>
        <v/>
      </c>
      <c r="CB47">
        <f>SUM(BW47:CA47)</f>
        <v/>
      </c>
      <c r="CC47">
        <f>IFERROR(INDEX(PIS!$A$1:$BZ$1000,MATCH(PAYROLL!D47,PIS!C$1:C$500,0),MATCH(PAYROLL!CC$1,PIS!$1:$1,0)),0)</f>
        <v/>
      </c>
      <c r="CD47">
        <f>IFERROR(IF(OR(INDEX(PIS!P$1:P$500,MATCH(D47,PIS!C$1:C$500,0))="LT2",INDEX(PIS!P$1:P$500,MATCH(D47,PIS!C$1:C$500,0))="P10"),0,SUM(CB47,CC47*VLOOKUP("R601",TSC!B:C,2,0),VLOOKUP("R602",TSC!B:C,2,0))),0)</f>
        <v/>
      </c>
      <c r="CE47">
        <f>MAX(BV47-CD47,0)</f>
        <v/>
      </c>
      <c r="CF47">
        <f>IFERROR(IF(OR(RIGHT(INDEX(PIS!P$1:P$500,MATCH(D47,PIS!C$1:C$500)),5)="P10",RIGHT(INDEX(PIS!P$1:P$500,MATCH(D47,PIS!C$1:C$500)),5)="CK"),0,IF(CE47&lt;=5000000,CE47*5%,IF(CE47&lt;=10000000,CE47*10%-250000,IF(CE47&lt;=18000000,CE47*15%-750000,IF(CE47&lt;=32000000,CE47*20%-1650000,IF(CE47&lt;=52000000,CE47*25%-3250000,IF(CE47&lt;=80000000,BG47*30%-5850000,CE47*35%-9850000))))))),0)</f>
        <v/>
      </c>
      <c r="CG47">
        <f>IFERROR(IF(OR(INDEX(PIS!P$1:P$500,MATCH(D47,PIS!C$1:C$500))="LT",INDEX(PIS!P$1:P$500,MATCH(D47,PIS!C$1:C$500))="CK"),0,IF(CE47&lt;2000000,0,CE47*10%)),0)</f>
        <v/>
      </c>
      <c r="CH47">
        <f>IFERROR(INDEX(ADJ!$A$1:$BZ$1000,MATCH(PAYROLL!D47,ADJ!A$1:A$500,0),MATCH(PAYROLL!CH$2,ADJ!$2:$2,0)),0)</f>
        <v/>
      </c>
      <c r="CI47">
        <f>IFERROR(INDEX(ADJ!$A$1:$BZ$1000,MATCH(PAYROLL!D47,ADJ!A$1:A$500,0),MATCH(PAYROLL!CI$2,ADJ!$2:$2,0)),0)</f>
        <v/>
      </c>
      <c r="CJ47">
        <f>IFERROR(INDEX(ADJ!$A$1:$BZ$1000,MATCH(PAYROLL!D47,ADJ!A$1:A$500,0),MATCH(PAYROLL!CJ$2,ADJ!$2:$2,0)),0)</f>
        <v/>
      </c>
      <c r="CK47">
        <f>SUM(CF47:CJ47)</f>
        <v/>
      </c>
      <c r="CL47">
        <f>ROUND(SUM(CG47:CJ47),0)</f>
        <v/>
      </c>
      <c r="CM47">
        <f>IFERROR(INDEX(CSDA!D$1:D$500,MATCH($CM$2,CSDA!C$1:C$500,0))*INDEX(PIS!V$1:V$500,MATCH(D47,PIS!C$1:C$500))+INDEX(ADJ!$A$1:$BZ$1000,MATCH(PAYROLL!D47,ADJ!A$1:A$500,0),MATCH(PAYROLL!CM$2,ADJ!$2:$2,0)),0)</f>
        <v/>
      </c>
      <c r="CN47">
        <f>IFERROR(INDEX(ADJ!$A$1:$BZ$1000,MATCH(PAYROLL!D47,ADJ!A$1:A$500,0),MATCH(PAYROLL!CN$2,ADJ!$2:$2,0)),0)</f>
        <v/>
      </c>
      <c r="CO47">
        <f>IFERROR(INDEX(ADJ!$A$1:$BZ$1000,MATCH(PAYROLL!D47,ADJ!A$1:A$500,0),MATCH(PAYROLL!CO$2,ADJ!$2:$2,0)),0)</f>
        <v/>
      </c>
      <c r="CP47">
        <f>BO47-CK47-CH47-CL47-CM47-CN47-CO47-CB47</f>
        <v/>
      </c>
      <c r="CQ47">
        <f>IFERROR(IF(RIGHT(INDEX(PIS!O$1:O$500,MATCH(D47,PIS!C$1:C$500,0)),5)="Gross",MIN(U47+V47,VLOOKUP("R700",TSC!B:C,2,0)*VLOOKUP("R101",TSC!B:C,2,0))*(VLOOKUP("T711",TSC!B:C,2,0)+VLOOKUP("T712",TSC!B:C,2,0))%,MIN(T47+V47,VLOOKUP("R700",TSC!B:C,2,0)*VLOOKUP("R101",TSC!B:C,2,0))*(VLOOKUP("T711",TSC!B:C,2,0)+VLOOKUP("T712",TSC!B:C,2,0)+VLOOKUP("R701",TSC!B:C,2,0))%),0)</f>
        <v/>
      </c>
      <c r="CR47">
        <f>IFERROR(IF(RIGHT(INDEX(PIS!O$1:O$500,MATCH(D47,PIS!C$1:C$500,0)),5)="Gross",MIN(U47+V47,VLOOKUP("R700",TSC!B:C,2,0)*VLOOKUP("R101",TSC!B:C,2,0))*(VLOOKUP("T714",TSC!B:C,2,0))%,MIN(T47+V47,VLOOKUP("R700",TSC!B:C,2,0)*VLOOKUP("R101",TSC!B:C,2,0))*(VLOOKUP("T704",TSC!B:C,2,0)+VLOOKUP("T714",TSC!B:C,2,0))%),0)</f>
        <v/>
      </c>
      <c r="CS47">
        <f>IFERROR(IF(RIGHT(INDEX(PIS!O$1:O$500,MATCH(D47,PIS!C$1:C$500,0)),5)="Gross",MIN(U47+V47,VLOOKUP("R700",TSC!B:C,2,0)*VLOOKUP("R101",TSC!B:C,2,0))*VLOOKUP("T705",TSC!B:C,2,0)%,MIN(T47+V47,VLOOKUP("R700",TSC!B:C,2,0)*VLOOKUP("R101",TSC!B:C,2,0))*VLOOKUP("T705",TSC!B:C,2,0)%),0)</f>
        <v/>
      </c>
      <c r="CT47">
        <f>IFERROR(IF(RIGHT(INDEX(PIS!O$1:O$500,MATCH(D47,PIS!C$1:C$500,0)),5)="Gross",MIN(U47+V47,VLOOKUP("R700",TSC!B:C,2,0)*VLOOKUP("R101",TSC!B:C,2,0))*(VLOOKUP("T713",TSC!B:C,2,0))%,MIN(T47+V47,VLOOKUP("R700",TSC!B:C,2,0)*VLOOKUP("R101",TSC!B:C,2,0))*(VLOOKUP("T713",TSC!B:C,2,0))%),0)</f>
        <v/>
      </c>
      <c r="CU47">
        <f>IFERROR(INDEX(ADJ!$A$1:$BZ$1000,MATCH(PAYROLL!D47,ADJ!A$1:A$500,0),MATCH(PAYROLL!CU$2,ADJ!$2:$2,0)),0)</f>
        <v/>
      </c>
      <c r="CV47">
        <f>IFERROR(INDEX(ADJ!$A$1:$BZ$1000,MATCH(PAYROLL!D47,ADJ!A$1:A$500,0),MATCH(PAYROLL!CV$2,ADJ!$2:$2,0)),0)</f>
        <v/>
      </c>
      <c r="CW47">
        <f>SUM(CQ47:CV47)</f>
        <v/>
      </c>
      <c r="CX47">
        <f>ROUND(IF(CQ47&gt;0,T47+V47*VLOOKUP("R202",TSC!$B$1:$C$500,2,0),0),0)</f>
        <v/>
      </c>
      <c r="CY47">
        <f>IFERROR(INDEX(CSDA!D$1:D$500,MATCH($CY$2,CSDA!C$1:C$500,0)),0)</f>
        <v/>
      </c>
      <c r="CZ47">
        <f>ROUND(T47*0.7%,0)</f>
        <v/>
      </c>
      <c r="DA47">
        <f>ROUND(T47/12,0)</f>
        <v/>
      </c>
      <c r="DB47">
        <f ref="DB47" t="array">IFERROR(INDEX(CSDA!D$1:D$500,MATCH("Trích giữ"&amp;PAYROLL!DB$2,CSDA!A$1:A$500&amp;CSDA!C$1:C$500,0)),0)</f>
        <v/>
      </c>
      <c r="DC47">
        <f ref="DC47" t="array">IFERROR(INDEX(CSDA!D$1:D$500,MATCH("Trích giữ"&amp;PAYROLL!DC$2,CSDA!A$1:A$500&amp;CSDA!C$1:C$500,0)),0)</f>
        <v/>
      </c>
      <c r="DD47">
        <f ref="DD47" t="array">IFERROR(INDEX(CSDA!D$1:D$500,MATCH("Trích giữ"&amp;PAYROLL!DD$2,CSDA!A$1:A$500&amp;CSDA!C$1:C$500,0)),0)</f>
        <v/>
      </c>
      <c r="DE47">
        <f>IFERROR(INDEX(CSDA!D$1:D$500,MATCH(PAYROLL!DE$2,CSDA!C$1:C$500,0)),0)</f>
        <v/>
      </c>
      <c r="DF47">
        <f ref="DF47" t="array">IFERROR(INDEX(CSDA!D$1:D$500,MATCH("Trích giữ"&amp;PAYROLL!DF$2,CSDA!A$1:A$500&amp;CSDA!C$1:C$500,0)),0)</f>
        <v/>
      </c>
      <c r="DG47">
        <f>ROUND(T47/26,0)</f>
        <v/>
      </c>
      <c r="DH47">
        <f ref="DH47" t="array">IFERROR(INDEX(CSDA!D$1:D$500,MATCH("Trích giữ"&amp;PAYROLL!DH$2,CSDA!A$1:A$500&amp;CSDA!C$1:C$500,0)),0)</f>
        <v/>
      </c>
      <c r="DI47">
        <f>IF(U47=0,T47*21.5%-BK47,0)</f>
        <v/>
      </c>
      <c r="DK47">
        <f ref="DK47" t="array">IFERROR(INDEX(CSDA!D$1:D$500,MATCH("Trích giữ"&amp;PAYROLL!DK$2,CSDA!A$1:A$500&amp;CSDA!C$1:C$500,0)),0)</f>
        <v/>
      </c>
      <c r="DL47">
        <f>IFERROR(INDEX(CSDA!D$1:D$500,MATCH(PAYROLL!DL$2,CSDA!C$1:C$500,0))/12,0)</f>
        <v/>
      </c>
      <c r="DM47">
        <f>SUM(DA47:DL47)</f>
        <v/>
      </c>
      <c r="DN47">
        <f>IFERROR(INDEX(ADJ!$A$1:$BZ$1000,MATCH(PAYROLL!D47,ADJ!A$1:A$500,0),MATCH(PAYROLL!DN$2,ADJ!$2:$2,0)),0)</f>
        <v/>
      </c>
      <c r="DO47">
        <f>IFERROR(SUM(BO47,DM47:DN47,CW47:CZ47)-DT47,0)</f>
        <v/>
      </c>
      <c r="DP47">
        <f ref="DP47" t="array">SUM(BV47*IFERROR(INDEX(CSDA!D$1:D$500,MATCH(BV$2,CSDA!C$1:C$500,0)),0)%,CW47*IFERROR(INDEX(CSDA!D$1:D$500,MATCH(CW$2,CSDA!C$1:C$500,0)),0)%,CZ47*IFERROR(INDEX(CSDA!D$1:D$500,MATCH(CZ$2,CSDA!C$1:C$500,0)),0)%,DA47*IFERROR(INDEX(CSDA!D$1:D$500,MATCH(DA$2,CSDA!C$1:C$500,0)),0)%,DE47*IFERROR(INDEX(CSDA!D$1:D$500,MATCH("Phí dịch vụ"&amp;PAYROLL!DE$2,CSDA!A$1:A$500&amp;CSDA!C$1:C$500,0)),0)%,DB47*IFERROR(INDEX(CSDA!D$1:D$500,MATCH("Phí dịch vụ"&amp;PAYROLL!DB$2,CSDA!A$1:A$500&amp;CSDA!C$1:C$500,0)),0)%,DG47*IFERROR(INDEX(CSDA!D$1:D$500,MATCH("Phí dịch vụ"&amp;PAYROLL!DG$2,CSDA!A$1:A$500&amp;CSDA!C$1:C$500,0)),0)%,DI47*IFERROR(INDEX(CSDA!D$1:D$500,MATCH("Phí dịch vụ"&amp;PAYROLL!DI$2,CSDA!A$1:A$500&amp;CSDA!C$1:C$500,0)),0)%,BM47*IFERROR(INDEX(CSDA!D$1:D$500,MATCH(BM$2,CSDA!C$1:C$500,0)),0)%)-BM47*7%</f>
        <v/>
      </c>
      <c r="DQ47">
        <f>IFERROR(INDEX(ADJ!$A$1:$BZ$1000,MATCH(PAYROLL!D47,ADJ!A$1:A$500,0),MATCH(PAYROLL!DQ$2,ADJ!$2:$2,0)),0)</f>
        <v/>
      </c>
      <c r="DR47">
        <f>IFERROR(INDEX(ADJ!$A$1:$BZ$1000,MATCH(PAYROLL!D47,ADJ!A$1:A$500,0),MATCH(PAYROLL!DR$2,ADJ!$2:$2,0)),0)</f>
        <v/>
      </c>
      <c r="DS47">
        <f>SUM(DP47:DR47)</f>
        <v/>
      </c>
      <c r="DT47">
        <f>EK47</f>
        <v/>
      </c>
      <c r="DU47">
        <f>SUM(DO47:DR47)</f>
        <v/>
      </c>
      <c r="DV47">
        <f>ROUND(DU47*0.1,0)</f>
        <v/>
      </c>
      <c r="DW47">
        <f>DU47+DV47</f>
        <v/>
      </c>
      <c r="DZ47">
        <f>IFERROR(INDEX(ADJ!$A$1:$BZ$1000,MATCH(PAYROLL!$D47,ADJ!A$1:A$500,0),MATCH(PAYROLL!DZ$2,ADJ!$2:$2,0)),0)</f>
        <v/>
      </c>
      <c r="EA47">
        <f>IFERROR(INDEX(ADJ!$A$1:$BZ$1000,MATCH(PAYROLL!$D47,ADJ!A$1:A$500,0),MATCH(PAYROLL!EA$2,ADJ!$2:$2,0)),0)</f>
        <v/>
      </c>
      <c r="EB47">
        <f>IFERROR(INDEX(ADJ!$A$1:$BZ$1000,MATCH(PAYROLL!$D47,ADJ!A$1:A$500,0),MATCH(PAYROLL!EB$2,ADJ!$2:$2,0)),0)</f>
        <v/>
      </c>
      <c r="EC47">
        <f>IFERROR(INDEX(ADJ!$A$1:$BZ$1000,MATCH(PAYROLL!$D47,ADJ!A$1:A$500,0),MATCH(PAYROLL!EC$2,ADJ!$2:$2,0)),0)</f>
        <v/>
      </c>
      <c r="ED47">
        <f>IFERROR(INDEX(ADJ!$A$1:$BZ$1000,MATCH(PAYROLL!$D47,ADJ!A$1:A$500,0),MATCH(PAYROLL!ED$2,ADJ!$2:$2,0)),0)</f>
        <v/>
      </c>
      <c r="EE47">
        <f>IFERROR(INDEX(ADJ!$A$1:$BZ$1000,MATCH(PAYROLL!$D47,ADJ!A$1:A$500,0),MATCH(PAYROLL!EE$2,ADJ!$2:$2,0)),0)</f>
        <v/>
      </c>
      <c r="EF47">
        <f>IFERROR(INDEX(ADJ!$A$1:$BZ$1000,MATCH(PAYROLL!$D47,ADJ!A$1:A$500,0),MATCH(PAYROLL!EF$2,ADJ!$2:$2,0)),0)</f>
        <v/>
      </c>
      <c r="EG47">
        <f>IFERROR(INDEX(ADJ!$A$1:$BZ$1000,MATCH(PAYROLL!$D47,ADJ!A$1:A$500,0),MATCH(PAYROLL!EG$2,ADJ!$2:$2,0)),0)</f>
        <v/>
      </c>
      <c r="EH47">
        <f>IFERROR(INDEX(ADJ!$A$1:$BZ$1000,MATCH(PAYROLL!$D47,ADJ!A$1:A$500,0),MATCH(PAYROLL!EH$2,ADJ!$2:$2,0)),0)</f>
        <v/>
      </c>
      <c r="EI47">
        <f>IFERROR(INDEX(ADJ!$A$1:$BZ$1000,MATCH(PAYROLL!D47,ADJ!A$1:A$500,0),MATCH(PAYROLL!EI$2,ADJ!$2:$2,0)),0)</f>
        <v/>
      </c>
      <c r="EJ47">
        <f>IFERROR(INDEX(ADJ!$A$1:$BZ$1000,MATCH(PAYROLL!$D47,ADJ!A$1:A$500,0),MATCH(PAYROLL!EJ$2,ADJ!$2:$2,0)),0)</f>
        <v/>
      </c>
      <c r="EK47">
        <f>SUM(DZ47:EJ47)</f>
        <v/>
      </c>
    </row>
    <row r="48">
      <c r="A48" t="n">
        <v>46</v>
      </c>
      <c r="B48" t="inlineStr">
        <is>
          <t>Phạm Văn Kiên</t>
        </is>
      </c>
      <c r="D48" t="inlineStr">
        <is>
          <t>156951-01</t>
        </is>
      </c>
      <c r="S48">
        <f>IFERROR(INDEX(PIS!$A$1:$BZ$1000,MATCH($D48,PIS!C$1:C$500,0),MATCH("Lương CB tháng trước",PIS!$1:$1,0)),0)</f>
        <v/>
      </c>
      <c r="T48">
        <f>IFERROR(INDEX(PIS!$A$1:$BZ$1000,MATCH($D48,PIS!C$1:C$500,0),MATCH("Lương CB hiện tại",PIS!$1:$1,0)),0)</f>
        <v/>
      </c>
      <c r="U48">
        <f>IFERROR(INDEX(PIS!$A$1:$BZ$1000,MATCH($D48,PIS!C$1:C$500,0),MATCH("Lương đóng BHBB",PIS!$1:$1,0)),0)</f>
        <v/>
      </c>
      <c r="V48">
        <f>IFERROR(INDEX(PIS!$A$1:$BZ$1000,MATCH($D48,PIS!C$1:C$500,0),MATCH(V$2,PIS!$2:$2,0)),0)</f>
        <v/>
      </c>
      <c r="W48">
        <f>IFERROR(INDEX(PIS!$A$1:$BZ$1000,MATCH($D48,PIS!C$1:C$500,0),MATCH(W$2,PIS!$2:$2,0)),0)</f>
        <v/>
      </c>
      <c r="X48">
        <f>IFERROR(INDEX(PIS!$A$1:$BZ$1000,MATCH($D48,PIS!C$1:C$500,0),MATCH(X$2,PIS!$2:$2,0)),0)</f>
        <v/>
      </c>
      <c r="Y48">
        <f>IFERROR(INDEX(PIS!$A$1:$BZ$1000,MATCH($D48,PIS!C$1:C$500,0),MATCH(Y$2,PIS!$2:$2,0)),0)</f>
        <v/>
      </c>
      <c r="Z48">
        <f>IFERROR(INDEX(PIS!$A$1:$BZ$1000,MATCH($D48,PIS!C$1:C$500,0),MATCH(Z$2,PIS!$2:$2,0)),0)</f>
        <v/>
      </c>
      <c r="AA48">
        <f>IFERROR(INDEX(PIS!$A$1:$BZ$1000,MATCH($D48,PIS!C$1:C$500,0),MATCH(AA$2,PIS!$2:$2,0)),0)</f>
        <v/>
      </c>
      <c r="AB48">
        <f>IFERROR(INDEX(PIS!$A$1:$BZ$1000,MATCH($D48,PIS!C$1:C$500,0),MATCH(AB$2,PIS!$2:$2,0)),0)</f>
        <v/>
      </c>
      <c r="AC48">
        <f>SUM(V48:AB48)</f>
        <v/>
      </c>
      <c r="AD48">
        <f>IFERROR(INDEX(TIMESHEET!$A$1:$AI$5000,MATCH($D48,TIMESHEET!A$1:A$500,0),MATCH("T100",TIMESHEET!$2:$2,0)),0)</f>
        <v/>
      </c>
      <c r="AE48">
        <f>IFERROR(INDEX(TIMESHEET!$A$1:$AI$5000,MATCH($D48,TIMESHEET!A$1:A$500,0),MATCH("T202",TIMESHEET!$2:$2,0)),0)</f>
        <v/>
      </c>
      <c r="AF48">
        <f>IFERROR(INDEX(TIMESHEET!$A$1:$AI$5000,MATCH($D48,TIMESHEET!A$1:A$500,0),MATCH("T302",TIMESHEET!$2:$2,0)),0)</f>
        <v/>
      </c>
      <c r="AG48">
        <f>IFERROR(INDEX(TIMESHEET!$A$1:$AI$5000,MATCH($D48,TIMESHEET!A$1:A$500,0),MATCH("T406",TIMESHEET!$2:$2,0)),0)</f>
        <v/>
      </c>
      <c r="AH48">
        <f>IF(SUM(AE48:AG48)&gt;=26,26,SUM(AE48:AG48))</f>
        <v/>
      </c>
      <c r="AI48">
        <f>IFERROR(INDEX(TIMESHEET!$A$1:$AI$5000,MATCH($D48,TIMESHEET!A$1:A$500,0),MATCH("T701",TIMESHEET!$2:$2,0)),0)</f>
        <v/>
      </c>
      <c r="AJ48">
        <f>IFERROR(IF(INDEX(PIS!N$1:N$500,MATCH(D48,PIS!C$1:C$500,0))="LC4",(T48*0.85)/AD48*AH48,ROUND(T48/AD48*AH48,0)),0)</f>
        <v/>
      </c>
      <c r="AK48">
        <f>IFERROR(INDEX(ADJ!$A$1:$BZ$1000,MATCH(PAYROLL!D48,ADJ!A$1:A$500,0),MATCH(PAYROLL!AK$2,ADJ!$2:$2,0)),0)</f>
        <v/>
      </c>
      <c r="AL48">
        <f>SUM(AJ48:AK48)</f>
        <v/>
      </c>
      <c r="AM48">
        <f>IF(AH48&gt;13,V48,ROUND(V48/AD48*AH48,0))</f>
        <v/>
      </c>
      <c r="AN48">
        <f>IF(AD48=0,0,ROUND(W48/AD48*AI48,0))</f>
        <v/>
      </c>
      <c r="AO48">
        <f>ROUND(X48*AH48,0)</f>
        <v/>
      </c>
      <c r="AP48">
        <f>IF(AD48=0,0,ROUND(Y48/AD48*AH48,0))</f>
        <v/>
      </c>
      <c r="AQ48">
        <f>IFERROR(IF((AE48+AF48+AG48)&gt;13,Z48,ROUND(Z48/AD48*AH48,0)),0)</f>
        <v/>
      </c>
      <c r="AR48">
        <f>IF(AD48=0,0,ROUND(AA77/AD48*AH48,0))</f>
        <v/>
      </c>
      <c r="AS48">
        <f>IFERROR(IF((AE48+AF48+AG48)&gt;13,AB48,ROUND(AB48/AD48*AH48,0)),0)</f>
        <v/>
      </c>
      <c r="AT48">
        <f>IFERROR(INDEX(ADJ!$A$1:$BZ$1000,MATCH(PAYROLL!D48,ADJ!A$1:A$500,0),MATCH(PAYROLL!AT$2,ADJ!$2:$2,0)),0)</f>
        <v/>
      </c>
      <c r="AU48">
        <f>ROUND(SUM(AM48:AT48),0)</f>
        <v/>
      </c>
      <c r="AV48">
        <f>IFERROR(INDEX(TIMESHEET!$A$1:$AI$5000,MATCH(PAYROLL!D48,TIMESHEET!A$1:A$500,0),MATCH("T620",TIMESHEET!$2:$2,0)),0)</f>
        <v/>
      </c>
      <c r="AW48">
        <f>IFERROR(INDEX(TIMESHEET!$A$1:$AI$5000,MATCH(PAYROLL!D48,TIMESHEET!A$1:A$500,0),MATCH("T601",TIMESHEET!$2:$2,0)),0)</f>
        <v/>
      </c>
      <c r="AX48">
        <f>IFERROR(INDEX(TIMESHEET!$A$1:$AI$5000,MATCH(PAYROLL!D48,TIMESHEET!A$1:A$500,0),MATCH("T602",TIMESHEET!$2:$2,0)),0)</f>
        <v/>
      </c>
      <c r="AY48">
        <f>IFERROR(INDEX(TIMESHEET!$A$1:$AI$5000,MATCH(PAYROLL!D48,TIMESHEET!A$1:A$500,0),MATCH("T603",TIMESHEET!$2:$2,0)),0)</f>
        <v/>
      </c>
      <c r="AZ48">
        <f>IFERROR(INDEX(TIMESHEET!$A$1:$AI$5000,MATCH(PAYROLL!D48,TIMESHEET!A$1:A$500,0),MATCH("T611",TIMESHEET!$2:$2,0)),0)</f>
        <v/>
      </c>
      <c r="BA48">
        <f>IFERROR(INDEX(TIMESHEET!$A$1:$AI$5000,MATCH(PAYROLL!D48,TIMESHEET!A$1:A$500,0),MATCH("T612",TIMESHEET!$2:$2,0)),0)</f>
        <v/>
      </c>
      <c r="BB48">
        <f>IFERROR(INDEX(TIMESHEET!$A$1:$AI$5000,MATCH(PAYROLL!D48,TIMESHEET!A$1:A$500,0),MATCH("T613",TIMESHEET!$2:$2,0)),0)</f>
        <v/>
      </c>
      <c r="BC48">
        <f>IFERROR(INDEX(TIMESHEET!$A$1:$AI$5000,MATCH(PAYROLL!D48,TIMESHEET!A$1:A$500,0),MATCH("T500",TIMESHEET!$2:$2,0)),0)</f>
        <v/>
      </c>
      <c r="BD48">
        <f>IFERROR((T48+V48)/AD48/8*(AV48+AW48*1.5+AX48*2+AY48*3+AZ48*2.1+BA48*2.7+BB48*3.9+BC48*0.3),0)</f>
        <v/>
      </c>
      <c r="BE48">
        <f>IFERROR(INDEX(ADJ!$A$1:$BZ$1000,MATCH(PAYROLL!$D48,ADJ!A$1:A$500,0),MATCH(PAYROLL!BE$2,ADJ!$2:$2,0)),0)</f>
        <v/>
      </c>
      <c r="BF48">
        <f>IFERROR(INDEX(ADJ!$A$1:$BZ$1000,MATCH(PAYROLL!D48,ADJ!A$1:A$500,0),MATCH(PAYROLL!BF$2,ADJ!$2:$2,0)),0)</f>
        <v/>
      </c>
      <c r="BG48">
        <f>IFERROR(INDEX(ADJ!$A$1:$BZ$1000,MATCH(PAYROLL!D48,ADJ!A$1:A$500,0),MATCH(PAYROLL!BG$2,ADJ!$2:$2,0)),0)</f>
        <v/>
      </c>
      <c r="BH48">
        <f>IFERROR(INDEX(ADJ!$A$1:$BZ$1000,MATCH(PAYROLL!D48,ADJ!A$1:A$500,0),MATCH(PAYROLL!BH$2,ADJ!$2:$2,0)),0)</f>
        <v/>
      </c>
      <c r="BI48">
        <f>IFERROR(INDEX(ADJ!$A$1:$BZ$1000,MATCH(PAYROLL!D48,ADJ!A$1:A$500,0),MATCH(PAYROLL!BI$2,ADJ!$2:$2,0)),0)</f>
        <v/>
      </c>
      <c r="BJ48">
        <f>SUM(BE48:BI48)</f>
        <v/>
      </c>
      <c r="BK48">
        <f>IFERROR(IF(INDEX(PIS!N$1:N$500,MATCH(D48,PIS!C$1:C$500))="LC12",(T48*21.5%)/AD48*AH48,0),0)</f>
        <v/>
      </c>
      <c r="BL48">
        <f>IFERROR(INDEX(ADJ!$A$1:$BZ$1000,MATCH(PAYROLL!D48,ADJ!A$1:A$500,0),MATCH(PAYROLL!BL$2,ADJ!$2:$2,0)),0)</f>
        <v/>
      </c>
      <c r="BM48">
        <f>IFERROR(INDEX(ADJ!$A$1:$BZ$1000,MATCH(PAYROLL!D48,ADJ!A$1:A$500,0),MATCH(PAYROLL!BM$2,ADJ!$2:$2,0)),0)</f>
        <v/>
      </c>
      <c r="BN48">
        <f>IFERROR(INDEX(ADJ!$A$1:$BZ$1000,MATCH(PAYROLL!D48,ADJ!A$1:A$500,0),MATCH(PAYROLL!BN$2,ADJ!$2:$2,0)),0)</f>
        <v/>
      </c>
      <c r="BO48">
        <f>SUM(AL48,AU48,BD48,BJ48,BK48:BN48)</f>
        <v/>
      </c>
      <c r="BP48">
        <f>BN48+AP48</f>
        <v/>
      </c>
      <c r="BQ48">
        <f>IFERROR(ROUND(IF(LEFT(INDEX(PIS!O$1:O$500,MATCH(D48,PIS!C$1:C$500)),1)="D",T48/8*(BC48*0.3),IF(LEFT(INDEX(PIS!O$1:O$500,MATCH(D48,PIS!C$1:C$500)),1)="H",T48*($BC48*0.3),T48/$AD48/8*($BC48*0.3))),0),0)</f>
        <v/>
      </c>
      <c r="BR48">
        <f>IF(AO48&lt;1,0,MIN(AO48,730000))</f>
        <v/>
      </c>
      <c r="BS48">
        <f>IFERROR(ROUND((BD48-SUM(AV48:BB48)*T48/AD48/8),0)-BQ48,0)</f>
        <v/>
      </c>
      <c r="BT48">
        <f>AN48</f>
        <v/>
      </c>
      <c r="BU48">
        <f>SUM(BP48:BT48)</f>
        <v/>
      </c>
      <c r="BV48">
        <f>BO48-BU48</f>
        <v/>
      </c>
      <c r="BW48">
        <f>IFERROR(IF(RIGHT(INDEX(PIS!O$1:O$500,MATCH(D48,PIS!C$1:C$500)),5)="Gross",MIN(U48+V48,VLOOKUP("R700",TSC!B:C,2,0)*VLOOKUP("R101",TSC!B:C,2,0))*VLOOKUP("R701",TSC!B:C,2,0)%,0),0)</f>
        <v/>
      </c>
      <c r="BX48">
        <f>IFERROR(IF(RIGHT(INDEX(PIS!O$1:O$500,MATCH(D48,PIS!C$1:C$500)),5)="Gross",MIN(U48+V48,VLOOKUP("R700",TSC!B:C,2,0)*VLOOKUP("R101",TSC!B:C,2,0))*VLOOKUP("T704",TSC!B:C,2,0)%,0),0)</f>
        <v/>
      </c>
      <c r="BY48">
        <f>IFERROR(IF(RIGHT(INDEX(PIS!O$1:O$500,MATCH(D48,PIS!C$1:C$500)),5)="Gross",MIN(U48+V48,VLOOKUP("R700",TSC!B:C,2,0)*VLOOKUP("1",TSC!F:G,2,0))*VLOOKUP("T705",TSC!B:C,2,0)%,0),0)</f>
        <v/>
      </c>
      <c r="BZ48">
        <f>IFERROR(INDEX(ADJ!$A$1:$BZ$1000,MATCH(PAYROLL!D48,ADJ!A$1:A$500,0),MATCH(PAYROLL!BZ$2,ADJ!$2:$2,0)),0)</f>
        <v/>
      </c>
      <c r="CA48">
        <f>IFERROR(INDEX(ADJ!$A$1:$BZ$1000,MATCH(PAYROLL!D48,ADJ!A$1:A$500,0),MATCH(PAYROLL!CA$2,ADJ!$2:$2,0)),0)</f>
        <v/>
      </c>
      <c r="CB48">
        <f>SUM(BW48:CA48)</f>
        <v/>
      </c>
      <c r="CC48">
        <f>IFERROR(INDEX(PIS!$A$1:$BZ$1000,MATCH(PAYROLL!D48,PIS!C$1:C$500,0),MATCH(PAYROLL!CC$1,PIS!$1:$1,0)),0)</f>
        <v/>
      </c>
      <c r="CD48">
        <f>IFERROR(IF(OR(INDEX(PIS!P$1:P$500,MATCH(D48,PIS!C$1:C$500,0))="LT2",INDEX(PIS!P$1:P$500,MATCH(D48,PIS!C$1:C$500,0))="P10"),0,SUM(CB48,CC48*VLOOKUP("R601",TSC!B:C,2,0),VLOOKUP("R602",TSC!B:C,2,0))),0)</f>
        <v/>
      </c>
      <c r="CE48">
        <f>MAX(BV48-CD48,0)</f>
        <v/>
      </c>
      <c r="CF48">
        <f>IFERROR(IF(OR(RIGHT(INDEX(PIS!P$1:P$500,MATCH(D48,PIS!C$1:C$500)),5)="P10",RIGHT(INDEX(PIS!P$1:P$500,MATCH(D48,PIS!C$1:C$500)),5)="CK"),0,IF(CE48&lt;=5000000,CE48*5%,IF(CE48&lt;=10000000,CE48*10%-250000,IF(CE48&lt;=18000000,CE48*15%-750000,IF(CE48&lt;=32000000,CE48*20%-1650000,IF(CE48&lt;=52000000,CE48*25%-3250000,IF(CE48&lt;=80000000,BG48*30%-5850000,CE48*35%-9850000))))))),0)</f>
        <v/>
      </c>
      <c r="CG48">
        <f>IFERROR(IF(OR(INDEX(PIS!P$1:P$500,MATCH(D48,PIS!C$1:C$500))="LT",INDEX(PIS!P$1:P$500,MATCH(D48,PIS!C$1:C$500))="CK"),0,IF(CE48&lt;2000000,0,CE48*10%)),0)</f>
        <v/>
      </c>
      <c r="CH48">
        <f>IFERROR(INDEX(ADJ!$A$1:$BZ$1000,MATCH(PAYROLL!D48,ADJ!A$1:A$500,0),MATCH(PAYROLL!CH$2,ADJ!$2:$2,0)),0)</f>
        <v/>
      </c>
      <c r="CI48">
        <f>IFERROR(INDEX(ADJ!$A$1:$BZ$1000,MATCH(PAYROLL!D48,ADJ!A$1:A$500,0),MATCH(PAYROLL!CI$2,ADJ!$2:$2,0)),0)</f>
        <v/>
      </c>
      <c r="CJ48">
        <f>IFERROR(INDEX(ADJ!$A$1:$BZ$1000,MATCH(PAYROLL!D48,ADJ!A$1:A$500,0),MATCH(PAYROLL!CJ$2,ADJ!$2:$2,0)),0)</f>
        <v/>
      </c>
      <c r="CK48">
        <f>SUM(CF48:CJ48)</f>
        <v/>
      </c>
      <c r="CL48">
        <f>ROUND(SUM(CG48:CJ48),0)</f>
        <v/>
      </c>
      <c r="CM48">
        <f>IFERROR(INDEX(CSDA!D$1:D$500,MATCH($CM$2,CSDA!C$1:C$500,0))*INDEX(PIS!V$1:V$500,MATCH(D48,PIS!C$1:C$500))+INDEX(ADJ!$A$1:$BZ$1000,MATCH(PAYROLL!D48,ADJ!A$1:A$500,0),MATCH(PAYROLL!CM$2,ADJ!$2:$2,0)),0)</f>
        <v/>
      </c>
      <c r="CN48">
        <f>IFERROR(INDEX(ADJ!$A$1:$BZ$1000,MATCH(PAYROLL!D48,ADJ!A$1:A$500,0),MATCH(PAYROLL!CN$2,ADJ!$2:$2,0)),0)</f>
        <v/>
      </c>
      <c r="CO48">
        <f>IFERROR(INDEX(ADJ!$A$1:$BZ$1000,MATCH(PAYROLL!D48,ADJ!A$1:A$500,0),MATCH(PAYROLL!CO$2,ADJ!$2:$2,0)),0)</f>
        <v/>
      </c>
      <c r="CP48">
        <f>BO48-CK48-CH48-CL48-CM48-CN48-CO48-CB48</f>
        <v/>
      </c>
      <c r="CQ48">
        <f>IFERROR(IF(RIGHT(INDEX(PIS!O$1:O$500,MATCH(D48,PIS!C$1:C$500,0)),5)="Gross",MIN(U48+V48,VLOOKUP("R700",TSC!B:C,2,0)*VLOOKUP("R101",TSC!B:C,2,0))*(VLOOKUP("T711",TSC!B:C,2,0)+VLOOKUP("T712",TSC!B:C,2,0))%,MIN(T48+V48,VLOOKUP("R700",TSC!B:C,2,0)*VLOOKUP("R101",TSC!B:C,2,0))*(VLOOKUP("T711",TSC!B:C,2,0)+VLOOKUP("T712",TSC!B:C,2,0)+VLOOKUP("R701",TSC!B:C,2,0))%),0)</f>
        <v/>
      </c>
      <c r="CR48">
        <f>IFERROR(IF(RIGHT(INDEX(PIS!O$1:O$500,MATCH(D48,PIS!C$1:C$500,0)),5)="Gross",MIN(U48+V48,VLOOKUP("R700",TSC!B:C,2,0)*VLOOKUP("R101",TSC!B:C,2,0))*(VLOOKUP("T714",TSC!B:C,2,0))%,MIN(T48+V48,VLOOKUP("R700",TSC!B:C,2,0)*VLOOKUP("R101",TSC!B:C,2,0))*(VLOOKUP("T704",TSC!B:C,2,0)+VLOOKUP("T714",TSC!B:C,2,0))%),0)</f>
        <v/>
      </c>
      <c r="CS48">
        <f>IFERROR(IF(RIGHT(INDEX(PIS!O$1:O$500,MATCH(D48,PIS!C$1:C$500,0)),5)="Gross",MIN(U48+V48,VLOOKUP("R700",TSC!B:C,2,0)*VLOOKUP("R101",TSC!B:C,2,0))*VLOOKUP("T705",TSC!B:C,2,0)%,MIN(T48+V48,VLOOKUP("R700",TSC!B:C,2,0)*VLOOKUP("R101",TSC!B:C,2,0))*VLOOKUP("T705",TSC!B:C,2,0)%),0)</f>
        <v/>
      </c>
      <c r="CT48">
        <f>IFERROR(IF(RIGHT(INDEX(PIS!O$1:O$500,MATCH(D48,PIS!C$1:C$500,0)),5)="Gross",MIN(U48+V48,VLOOKUP("R700",TSC!B:C,2,0)*VLOOKUP("R101",TSC!B:C,2,0))*(VLOOKUP("T713",TSC!B:C,2,0))%,MIN(T48+V48,VLOOKUP("R700",TSC!B:C,2,0)*VLOOKUP("R101",TSC!B:C,2,0))*(VLOOKUP("T713",TSC!B:C,2,0))%),0)</f>
        <v/>
      </c>
      <c r="CU48">
        <f>IFERROR(INDEX(ADJ!$A$1:$BZ$1000,MATCH(PAYROLL!D48,ADJ!A$1:A$500,0),MATCH(PAYROLL!CU$2,ADJ!$2:$2,0)),0)</f>
        <v/>
      </c>
      <c r="CV48">
        <f>IFERROR(INDEX(ADJ!$A$1:$BZ$1000,MATCH(PAYROLL!D48,ADJ!A$1:A$500,0),MATCH(PAYROLL!CV$2,ADJ!$2:$2,0)),0)</f>
        <v/>
      </c>
      <c r="CW48">
        <f>SUM(CQ48:CV48)</f>
        <v/>
      </c>
      <c r="CX48">
        <f>ROUND(IF(CQ48&gt;0,T48+V48*VLOOKUP("R202",TSC!$B$1:$C$500,2,0),0),0)</f>
        <v/>
      </c>
      <c r="CY48">
        <f>IFERROR(INDEX(CSDA!D$1:D$500,MATCH($CY$2,CSDA!C$1:C$500,0)),0)</f>
        <v/>
      </c>
      <c r="CZ48">
        <f>ROUND(T48*0.7%,0)</f>
        <v/>
      </c>
      <c r="DA48">
        <f>ROUND(T48/12,0)</f>
        <v/>
      </c>
      <c r="DB48">
        <f ref="DB48" t="array">IFERROR(INDEX(CSDA!D$1:D$500,MATCH("Trích giữ"&amp;PAYROLL!DB$2,CSDA!A$1:A$500&amp;CSDA!C$1:C$500,0)),0)</f>
        <v/>
      </c>
      <c r="DC48">
        <f ref="DC48" t="array">IFERROR(INDEX(CSDA!D$1:D$500,MATCH("Trích giữ"&amp;PAYROLL!DC$2,CSDA!A$1:A$500&amp;CSDA!C$1:C$500,0)),0)</f>
        <v/>
      </c>
      <c r="DD48">
        <f ref="DD48" t="array">IFERROR(INDEX(CSDA!D$1:D$500,MATCH("Trích giữ"&amp;PAYROLL!DD$2,CSDA!A$1:A$500&amp;CSDA!C$1:C$500,0)),0)</f>
        <v/>
      </c>
      <c r="DE48">
        <f>IFERROR(INDEX(CSDA!D$1:D$500,MATCH(PAYROLL!DE$2,CSDA!C$1:C$500,0)),0)</f>
        <v/>
      </c>
      <c r="DF48">
        <f ref="DF48" t="array">IFERROR(INDEX(CSDA!D$1:D$500,MATCH("Trích giữ"&amp;PAYROLL!DF$2,CSDA!A$1:A$500&amp;CSDA!C$1:C$500,0)),0)</f>
        <v/>
      </c>
      <c r="DG48">
        <f>ROUND(T48/26,0)</f>
        <v/>
      </c>
      <c r="DH48">
        <f ref="DH48" t="array">IFERROR(INDEX(CSDA!D$1:D$500,MATCH("Trích giữ"&amp;PAYROLL!DH$2,CSDA!A$1:A$500&amp;CSDA!C$1:C$500,0)),0)</f>
        <v/>
      </c>
      <c r="DI48">
        <f>IF(U48=0,T48*21.5%-BK48,0)</f>
        <v/>
      </c>
      <c r="DK48">
        <f ref="DK48" t="array">IFERROR(INDEX(CSDA!D$1:D$500,MATCH("Trích giữ"&amp;PAYROLL!DK$2,CSDA!A$1:A$500&amp;CSDA!C$1:C$500,0)),0)</f>
        <v/>
      </c>
      <c r="DL48">
        <f>IFERROR(INDEX(CSDA!D$1:D$500,MATCH(PAYROLL!DL$2,CSDA!C$1:C$500,0))/12,0)</f>
        <v/>
      </c>
      <c r="DM48">
        <f>SUM(DA48:DL48)</f>
        <v/>
      </c>
      <c r="DN48">
        <f>IFERROR(INDEX(ADJ!$A$1:$BZ$1000,MATCH(PAYROLL!D48,ADJ!A$1:A$500,0),MATCH(PAYROLL!DN$2,ADJ!$2:$2,0)),0)</f>
        <v/>
      </c>
      <c r="DO48">
        <f>IFERROR(SUM(BO48,DM48:DN48,CW48:CZ48)-DT48,0)</f>
        <v/>
      </c>
      <c r="DP48">
        <f ref="DP48" t="array">SUM(BV48*IFERROR(INDEX(CSDA!D$1:D$500,MATCH(BV$2,CSDA!C$1:C$500,0)),0)%,CW48*IFERROR(INDEX(CSDA!D$1:D$500,MATCH(CW$2,CSDA!C$1:C$500,0)),0)%,CZ48*IFERROR(INDEX(CSDA!D$1:D$500,MATCH(CZ$2,CSDA!C$1:C$500,0)),0)%,DA48*IFERROR(INDEX(CSDA!D$1:D$500,MATCH(DA$2,CSDA!C$1:C$500,0)),0)%,DE48*IFERROR(INDEX(CSDA!D$1:D$500,MATCH("Phí dịch vụ"&amp;PAYROLL!DE$2,CSDA!A$1:A$500&amp;CSDA!C$1:C$500,0)),0)%,DB48*IFERROR(INDEX(CSDA!D$1:D$500,MATCH("Phí dịch vụ"&amp;PAYROLL!DB$2,CSDA!A$1:A$500&amp;CSDA!C$1:C$500,0)),0)%,DG48*IFERROR(INDEX(CSDA!D$1:D$500,MATCH("Phí dịch vụ"&amp;PAYROLL!DG$2,CSDA!A$1:A$500&amp;CSDA!C$1:C$500,0)),0)%,DI48*IFERROR(INDEX(CSDA!D$1:D$500,MATCH("Phí dịch vụ"&amp;PAYROLL!DI$2,CSDA!A$1:A$500&amp;CSDA!C$1:C$500,0)),0)%,BM48*IFERROR(INDEX(CSDA!D$1:D$500,MATCH(BM$2,CSDA!C$1:C$500,0)),0)%)-BM48*7%</f>
        <v/>
      </c>
      <c r="DQ48">
        <f>IFERROR(INDEX(ADJ!$A$1:$BZ$1000,MATCH(PAYROLL!D48,ADJ!A$1:A$500,0),MATCH(PAYROLL!DQ$2,ADJ!$2:$2,0)),0)</f>
        <v/>
      </c>
      <c r="DR48">
        <f>IFERROR(INDEX(ADJ!$A$1:$BZ$1000,MATCH(PAYROLL!D48,ADJ!A$1:A$500,0),MATCH(PAYROLL!DR$2,ADJ!$2:$2,0)),0)</f>
        <v/>
      </c>
      <c r="DS48">
        <f>SUM(DP48:DR48)</f>
        <v/>
      </c>
      <c r="DT48">
        <f>EK48</f>
        <v/>
      </c>
      <c r="DU48">
        <f>SUM(DO48:DR48)</f>
        <v/>
      </c>
      <c r="DV48">
        <f>ROUND(DU48*0.1,0)</f>
        <v/>
      </c>
      <c r="DW48">
        <f>DU48+DV48</f>
        <v/>
      </c>
      <c r="DZ48">
        <f>IFERROR(INDEX(ADJ!$A$1:$BZ$1000,MATCH(PAYROLL!$D48,ADJ!A$1:A$500,0),MATCH(PAYROLL!DZ$2,ADJ!$2:$2,0)),0)</f>
        <v/>
      </c>
      <c r="EA48">
        <f>IFERROR(INDEX(ADJ!$A$1:$BZ$1000,MATCH(PAYROLL!$D48,ADJ!A$1:A$500,0),MATCH(PAYROLL!EA$2,ADJ!$2:$2,0)),0)</f>
        <v/>
      </c>
      <c r="EB48">
        <f>IFERROR(INDEX(ADJ!$A$1:$BZ$1000,MATCH(PAYROLL!$D48,ADJ!A$1:A$500,0),MATCH(PAYROLL!EB$2,ADJ!$2:$2,0)),0)</f>
        <v/>
      </c>
      <c r="EC48">
        <f>IFERROR(INDEX(ADJ!$A$1:$BZ$1000,MATCH(PAYROLL!$D48,ADJ!A$1:A$500,0),MATCH(PAYROLL!EC$2,ADJ!$2:$2,0)),0)</f>
        <v/>
      </c>
      <c r="ED48">
        <f>IFERROR(INDEX(ADJ!$A$1:$BZ$1000,MATCH(PAYROLL!$D48,ADJ!A$1:A$500,0),MATCH(PAYROLL!ED$2,ADJ!$2:$2,0)),0)</f>
        <v/>
      </c>
      <c r="EE48">
        <f>IFERROR(INDEX(ADJ!$A$1:$BZ$1000,MATCH(PAYROLL!$D48,ADJ!A$1:A$500,0),MATCH(PAYROLL!EE$2,ADJ!$2:$2,0)),0)</f>
        <v/>
      </c>
      <c r="EF48">
        <f>IFERROR(INDEX(ADJ!$A$1:$BZ$1000,MATCH(PAYROLL!$D48,ADJ!A$1:A$500,0),MATCH(PAYROLL!EF$2,ADJ!$2:$2,0)),0)</f>
        <v/>
      </c>
      <c r="EG48">
        <f>IFERROR(INDEX(ADJ!$A$1:$BZ$1000,MATCH(PAYROLL!$D48,ADJ!A$1:A$500,0),MATCH(PAYROLL!EG$2,ADJ!$2:$2,0)),0)</f>
        <v/>
      </c>
      <c r="EH48">
        <f>IFERROR(INDEX(ADJ!$A$1:$BZ$1000,MATCH(PAYROLL!$D48,ADJ!A$1:A$500,0),MATCH(PAYROLL!EH$2,ADJ!$2:$2,0)),0)</f>
        <v/>
      </c>
      <c r="EI48">
        <f>IFERROR(INDEX(ADJ!$A$1:$BZ$1000,MATCH(PAYROLL!D48,ADJ!A$1:A$500,0),MATCH(PAYROLL!EI$2,ADJ!$2:$2,0)),0)</f>
        <v/>
      </c>
      <c r="EJ48">
        <f>IFERROR(INDEX(ADJ!$A$1:$BZ$1000,MATCH(PAYROLL!$D48,ADJ!A$1:A$500,0),MATCH(PAYROLL!EJ$2,ADJ!$2:$2,0)),0)</f>
        <v/>
      </c>
      <c r="EK48">
        <f>SUM(DZ48:EJ48)</f>
        <v/>
      </c>
    </row>
  </sheetData>
  <dataValidations count="2">
    <dataValidation allowBlank="0" operator="equal" showDropDown="0" showErrorMessage="1" showInputMessage="0" sqref="F1:EQ1">
      <formula1>0</formula1>
      <formula2>0</formula2>
    </dataValidation>
    <dataValidation allowBlank="0" operator="equal" showDropDown="0" showErrorMessage="1" showInputMessage="0" sqref="Q2:Q176" type="list">
      <formula1>#REF!</formula1>
      <formula2>0</formula2>
    </dataValidation>
  </dataValidations>
  <pageMargins bottom="0.7875" footer="0.511811023622047" header="0.511811023622047" left="0.7875" right="0.7875" top="0.78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2.5"/>
  <cols>
    <col customWidth="1" max="1" min="1" width="14"/>
    <col customWidth="1" max="2" min="2" width="14"/>
    <col customWidth="1" max="3" min="3" width="16"/>
    <col customWidth="1" max="4" min="4" width="13"/>
    <col customWidth="1" max="5" min="5" width="10"/>
    <col customWidth="1" max="6" min="6" width="14"/>
    <col customWidth="1" max="7" min="7" width="15"/>
    <col customWidth="1" max="8" min="8" width="17"/>
    <col customWidth="1" max="9" min="9" width="19"/>
    <col customWidth="1" max="10" min="10" width="14"/>
    <col customWidth="1" max="11" min="11" width="12"/>
    <col customWidth="1" max="12" min="12" width="14"/>
    <col customWidth="1" max="13" min="13" width="14"/>
    <col customWidth="1" max="14" min="14" width="14"/>
    <col customWidth="1" max="15" min="15" width="15"/>
    <col customWidth="1" max="16" min="16" width="19"/>
    <col customWidth="1" max="17" min="17" width="20"/>
    <col customWidth="1" max="18" min="18" width="25"/>
    <col customWidth="1" max="19" min="19" width="22"/>
    <col customWidth="1" max="20" min="20" width="20"/>
    <col customWidth="1" max="21" min="21" width="16"/>
    <col customWidth="1" max="22" min="22" width="18"/>
    <col customWidth="1" max="23" min="23" width="23"/>
    <col customWidth="1" max="24" min="24" width="23"/>
    <col customWidth="1" max="25" min="25" width="24"/>
    <col customWidth="1" max="26" min="26" width="11"/>
    <col customWidth="1" max="27" min="27" width="18"/>
    <col customWidth="1" max="28" min="28" width="14"/>
    <col customWidth="1" max="29" min="29" width="30"/>
    <col customWidth="1" max="30" min="30" width="12"/>
    <col customWidth="1" max="31" min="31" width="22"/>
    <col customWidth="1" max="32" min="32" width="9"/>
    <col customWidth="1" max="33" min="33" width="18"/>
    <col customWidth="1" max="34" min="34" width="13"/>
    <col customWidth="1" max="35" min="35" width="14"/>
    <col customWidth="1" max="36" min="36" width="23"/>
  </cols>
  <sheetData>
    <row customHeight="1" ht="25" r="1">
      <c r="A1" s="15" t="inlineStr">
        <is>
          <t>Mã NV gốc</t>
        </is>
      </c>
      <c r="B1" s="15" t="inlineStr">
        <is>
          <t>Họ tên NV</t>
        </is>
      </c>
      <c r="C1" s="15" t="inlineStr">
        <is>
          <t>Mã NV dự án</t>
        </is>
      </c>
      <c r="D1" s="15" t="inlineStr">
        <is>
          <t>Mã dự án</t>
        </is>
      </c>
      <c r="E1" s="15" t="inlineStr">
        <is>
          <t>Dự án</t>
        </is>
      </c>
      <c r="F1" s="15" t="inlineStr">
        <is>
          <t>Ngày sinh</t>
        </is>
      </c>
      <c r="G1" s="15" t="inlineStr">
        <is>
          <t>Tình trạng</t>
        </is>
      </c>
      <c r="H1" s="15" t="inlineStr">
        <is>
          <t>Ngày vào làm</t>
        </is>
      </c>
      <c r="I1" s="15" t="inlineStr">
        <is>
          <t>Ngày nghỉ việc</t>
        </is>
      </c>
      <c r="J1" s="15" t="inlineStr">
        <is>
          <t>Công việc</t>
        </is>
      </c>
      <c r="K1" s="15" t="inlineStr">
        <is>
          <t>Chức vụ</t>
        </is>
      </c>
      <c r="L1" s="15" t="inlineStr">
        <is>
          <t>Chức danh</t>
        </is>
      </c>
      <c r="M1" s="15" t="inlineStr">
        <is>
          <t>Phòng ban</t>
        </is>
      </c>
      <c r="N1" s="15" t="inlineStr">
        <is>
          <t>Loại HĐLĐ</t>
        </is>
      </c>
      <c r="O1" s="15" t="inlineStr">
        <is>
          <t>Loại lương</t>
        </is>
      </c>
      <c r="P1" s="15" t="inlineStr">
        <is>
          <t>Biểu thuế TNCN</t>
        </is>
      </c>
      <c r="Q1" s="15" t="inlineStr">
        <is>
          <t>Đoàn viên 
 1/0</t>
        </is>
      </c>
      <c r="R1" s="15" t="inlineStr">
        <is>
          <t>Lương CB tháng trước</t>
        </is>
      </c>
      <c r="S1" s="15" t="inlineStr">
        <is>
          <t>Lương CB hiện tại</t>
        </is>
      </c>
      <c r="T1" s="15" t="inlineStr">
        <is>
          <t>Lương đóng BHBB</t>
        </is>
      </c>
      <c r="U1" s="16" t="inlineStr">
        <is>
          <t>Trợ cấp cơm</t>
        </is>
      </c>
      <c r="V1" s="16" t="inlineStr">
        <is>
          <t>Trợ cấp nhà ở</t>
        </is>
      </c>
      <c r="W1" s="16" t="inlineStr">
        <is>
          <t>Phụ cấp chuyên cần</t>
        </is>
      </c>
      <c r="X1" s="16" t="inlineStr">
        <is>
          <t>Trợ cấp điện thoại</t>
        </is>
      </c>
      <c r="Y1" s="16" t="inlineStr">
        <is>
          <t>Trợ cấp gửi xe/Xăng</t>
        </is>
      </c>
      <c r="Z1" s="15" t="inlineStr">
        <is>
          <t>Số NPT</t>
        </is>
      </c>
      <c r="AA1" s="15" t="inlineStr">
        <is>
          <t>Chủ tài khoản</t>
        </is>
      </c>
      <c r="AB1" s="15" t="inlineStr">
        <is>
          <t>Tài khoản</t>
        </is>
      </c>
      <c r="AC1" s="15" t="inlineStr">
        <is>
          <t>Tên Ngân hàng &amp; Chi nhánh</t>
        </is>
      </c>
      <c r="AD1" s="15" t="inlineStr">
        <is>
          <t>Ký hiệu</t>
        </is>
      </c>
      <c r="AE1" s="15" t="inlineStr">
        <is>
          <t>Ghi chú chi nhánh</t>
        </is>
      </c>
      <c r="AF1" s="15" t="inlineStr">
        <is>
          <t>CMND</t>
        </is>
      </c>
      <c r="AG1" s="15" t="inlineStr">
        <is>
          <t>Tiến trình HS</t>
        </is>
      </c>
      <c r="AH1" s="15" t="inlineStr">
        <is>
          <t>Hợp đồng</t>
        </is>
      </c>
      <c r="AI1" s="15" t="inlineStr">
        <is>
          <t>Đối tượng</t>
        </is>
      </c>
      <c r="AJ1" s="15" t="inlineStr">
        <is>
          <t>Ngày kết thúc HĐLĐ</t>
        </is>
      </c>
    </row>
    <row r="2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8" t="inlineStr">
        <is>
          <t>14</t>
        </is>
      </c>
      <c r="V2" s="18" t="inlineStr">
        <is>
          <t>18</t>
        </is>
      </c>
      <c r="W2" s="18" t="inlineStr">
        <is>
          <t>162</t>
        </is>
      </c>
      <c r="X2" s="18" t="inlineStr">
        <is>
          <t>15</t>
        </is>
      </c>
      <c r="Y2" s="18" t="inlineStr">
        <is>
          <t>12</t>
        </is>
      </c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</row>
    <row r="3">
      <c r="A3" s="18" t="inlineStr">
        <is>
          <t>162838</t>
        </is>
      </c>
      <c r="B3" s="18" t="inlineStr">
        <is>
          <t>Đoàn Đức Anh</t>
        </is>
      </c>
      <c r="C3" s="18" t="inlineStr">
        <is>
          <t>162838-02</t>
        </is>
      </c>
      <c r="D3" s="18" t="inlineStr">
        <is>
          <t>1778</t>
        </is>
      </c>
      <c r="E3" s="18" t="inlineStr">
        <is>
          <t>KUEHNE + NAGEL 1.1</t>
        </is>
      </c>
      <c r="F3" s="19" t="inlineStr">
        <is>
          <t>2002-12-03</t>
        </is>
      </c>
      <c r="G3" s="18" t="inlineStr">
        <is>
          <t>OLD</t>
        </is>
      </c>
      <c r="H3" s="19" t="inlineStr">
        <is>
          <t>2023-09-06</t>
        </is>
      </c>
      <c r="I3" s="19" t="inlineStr"/>
      <c r="J3" s="18" t="inlineStr">
        <is>
          <t>Bốc xếp hàng hóa</t>
        </is>
      </c>
      <c r="K3" s="18" t="inlineStr">
        <is>
          <t>Nhân viên</t>
        </is>
      </c>
      <c r="L3" s="18" t="inlineStr">
        <is>
          <t>Nhân viên</t>
        </is>
      </c>
      <c r="M3" s="18" t="inlineStr"/>
      <c r="N3" s="18" t="inlineStr">
        <is>
          <t>LC12</t>
        </is>
      </c>
      <c r="O3" s="18" t="inlineStr">
        <is>
          <t>M-GROSS</t>
        </is>
      </c>
      <c r="P3" s="18" t="inlineStr">
        <is>
          <t>LT</t>
        </is>
      </c>
      <c r="Q3" s="18" t="inlineStr">
        <is>
          <t>0</t>
        </is>
      </c>
      <c r="R3" s="20" t="n">
        <v>0</v>
      </c>
      <c r="S3" s="20" t="n">
        <v>6500000</v>
      </c>
      <c r="T3" s="20" t="n">
        <v>0</v>
      </c>
      <c r="U3" s="20" t="n">
        <v>30000</v>
      </c>
      <c r="V3" s="20" t="n">
        <v>500000</v>
      </c>
      <c r="W3" s="20" t="n">
        <v>500000</v>
      </c>
      <c r="X3" s="18" t="n">
        <v>0</v>
      </c>
      <c r="Y3" s="18" t="n">
        <v>0</v>
      </c>
      <c r="Z3" s="20" t="n">
        <v>0</v>
      </c>
      <c r="AA3" s="18" t="inlineStr">
        <is>
          <t>DOAN DUC ANH</t>
        </is>
      </c>
      <c r="AB3" s="18" t="inlineStr">
        <is>
          <t>0588947796</t>
        </is>
      </c>
      <c r="AC3" s="18" t="inlineStr">
        <is>
          <t>Ngân hàng Thương mại Cổ phần Quân đội</t>
        </is>
      </c>
      <c r="AD3" s="18" t="inlineStr">
        <is>
          <t>MB BANK</t>
        </is>
      </c>
      <c r="AE3" s="18" t="inlineStr"/>
      <c r="AF3" s="18" t="inlineStr">
        <is>
          <t>031202004311</t>
        </is>
      </c>
      <c r="AG3" s="18" t="inlineStr">
        <is>
          <t>10.0%</t>
        </is>
      </c>
      <c r="AH3" s="18" t="inlineStr">
        <is>
          <t>162838-01-1778/K11174/060923/HĐHV</t>
        </is>
      </c>
      <c r="AI3" s="18" t="inlineStr">
        <is>
          <t>Hợp Đồng Đào Tạo Tập Nghề</t>
        </is>
      </c>
      <c r="AJ3" s="18" t="inlineStr">
        <is>
          <t>2023-10-05</t>
        </is>
      </c>
    </row>
    <row r="4">
      <c r="A4" s="18" t="inlineStr">
        <is>
          <t>161881</t>
        </is>
      </c>
      <c r="B4" s="18" t="inlineStr">
        <is>
          <t>Nguyễn Hải Long</t>
        </is>
      </c>
      <c r="C4" s="18" t="inlineStr">
        <is>
          <t>161881-01</t>
        </is>
      </c>
      <c r="D4" s="18" t="inlineStr">
        <is>
          <t>1778</t>
        </is>
      </c>
      <c r="E4" s="18" t="inlineStr">
        <is>
          <t>KUEHNE + NAGEL 1.1</t>
        </is>
      </c>
      <c r="F4" s="19" t="inlineStr">
        <is>
          <t>1977-08-17</t>
        </is>
      </c>
      <c r="G4" s="18" t="inlineStr">
        <is>
          <t>OLD</t>
        </is>
      </c>
      <c r="H4" s="19" t="inlineStr">
        <is>
          <t>2023-08-21</t>
        </is>
      </c>
      <c r="I4" s="19" t="inlineStr"/>
      <c r="J4" s="18" t="inlineStr">
        <is>
          <t>Bốc xếp hàng hóa</t>
        </is>
      </c>
      <c r="K4" s="18" t="inlineStr">
        <is>
          <t>Nhân viên</t>
        </is>
      </c>
      <c r="L4" s="18" t="inlineStr">
        <is>
          <t>Nhân viên</t>
        </is>
      </c>
      <c r="M4" s="18" t="inlineStr"/>
      <c r="N4" s="18" t="inlineStr">
        <is>
          <t>LC1</t>
        </is>
      </c>
      <c r="O4" s="18" t="inlineStr">
        <is>
          <t>M-GROSS</t>
        </is>
      </c>
      <c r="P4" s="18" t="inlineStr">
        <is>
          <t>LT</t>
        </is>
      </c>
      <c r="Q4" s="18" t="inlineStr">
        <is>
          <t>0</t>
        </is>
      </c>
      <c r="R4" s="20" t="n">
        <v>0</v>
      </c>
      <c r="S4" s="20" t="n">
        <v>6500000</v>
      </c>
      <c r="T4" s="20" t="n">
        <v>6500000</v>
      </c>
      <c r="U4" s="20" t="n">
        <v>30000</v>
      </c>
      <c r="V4" s="20" t="n">
        <v>500000</v>
      </c>
      <c r="W4" s="20" t="n">
        <v>500000</v>
      </c>
      <c r="X4" s="18" t="n">
        <v>0</v>
      </c>
      <c r="Y4" s="18" t="n">
        <v>0</v>
      </c>
      <c r="Z4" s="20" t="n">
        <v>0</v>
      </c>
      <c r="AA4" s="18" t="inlineStr">
        <is>
          <t>NGUYEN HAI LONG</t>
        </is>
      </c>
      <c r="AB4" s="18" t="inlineStr">
        <is>
          <t>0326238626</t>
        </is>
      </c>
      <c r="AC4" s="18" t="inlineStr">
        <is>
          <t>Ngân hàng Thương mại Cổ phần Quân đội</t>
        </is>
      </c>
      <c r="AD4" s="18" t="inlineStr">
        <is>
          <t>MB BANK</t>
        </is>
      </c>
      <c r="AE4" s="18" t="inlineStr"/>
      <c r="AF4" s="18" t="inlineStr">
        <is>
          <t>031077002792</t>
        </is>
      </c>
      <c r="AG4" s="18" t="inlineStr">
        <is>
          <t>60.0%</t>
        </is>
      </c>
      <c r="AH4" s="18" t="inlineStr">
        <is>
          <t>161881-01-1778/K11174/210923</t>
        </is>
      </c>
      <c r="AI4" s="18" t="inlineStr">
        <is>
          <t>Hợp đồng lao động Xác định thời hạn</t>
        </is>
      </c>
      <c r="AJ4" s="18" t="inlineStr">
        <is>
          <t>2024-09-20</t>
        </is>
      </c>
    </row>
    <row r="5">
      <c r="A5" s="18" t="inlineStr">
        <is>
          <t>162085</t>
        </is>
      </c>
      <c r="B5" s="18" t="inlineStr">
        <is>
          <t>Đặng Văn Trí</t>
        </is>
      </c>
      <c r="C5" s="18" t="inlineStr">
        <is>
          <t>162085-01</t>
        </is>
      </c>
      <c r="D5" s="18" t="inlineStr">
        <is>
          <t>1778</t>
        </is>
      </c>
      <c r="E5" s="18" t="inlineStr">
        <is>
          <t>KUEHNE + NAGEL 1.1</t>
        </is>
      </c>
      <c r="F5" s="19" t="inlineStr">
        <is>
          <t>1996-11-30</t>
        </is>
      </c>
      <c r="G5" s="18" t="inlineStr">
        <is>
          <t>OLD</t>
        </is>
      </c>
      <c r="H5" s="19" t="inlineStr">
        <is>
          <t>2023-09-06</t>
        </is>
      </c>
      <c r="I5" s="19" t="inlineStr"/>
      <c r="J5" s="18" t="inlineStr">
        <is>
          <t>Lái xe nâng</t>
        </is>
      </c>
      <c r="K5" s="18" t="inlineStr">
        <is>
          <t>Nhân viên</t>
        </is>
      </c>
      <c r="L5" s="18" t="inlineStr">
        <is>
          <t>Nhân viên</t>
        </is>
      </c>
      <c r="M5" s="18" t="inlineStr"/>
      <c r="N5" s="18" t="inlineStr">
        <is>
          <t>LC12</t>
        </is>
      </c>
      <c r="O5" s="18" t="inlineStr">
        <is>
          <t>M-GROSS</t>
        </is>
      </c>
      <c r="P5" s="18" t="inlineStr">
        <is>
          <t>LT</t>
        </is>
      </c>
      <c r="Q5" s="18" t="inlineStr">
        <is>
          <t>0</t>
        </is>
      </c>
      <c r="R5" s="20" t="n">
        <v>0</v>
      </c>
      <c r="S5" s="20" t="n">
        <v>7000000</v>
      </c>
      <c r="T5" s="20" t="n">
        <v>0</v>
      </c>
      <c r="U5" s="20" t="n">
        <v>30000</v>
      </c>
      <c r="V5" s="20" t="n">
        <v>500000</v>
      </c>
      <c r="W5" s="20" t="n">
        <v>500000</v>
      </c>
      <c r="X5" s="18" t="n">
        <v>0</v>
      </c>
      <c r="Y5" s="18" t="n">
        <v>0</v>
      </c>
      <c r="Z5" s="20" t="n">
        <v>0</v>
      </c>
      <c r="AA5" s="18" t="inlineStr">
        <is>
          <t>DANG VAN TRI</t>
        </is>
      </c>
      <c r="AB5" s="18" t="inlineStr">
        <is>
          <t>105877483812</t>
        </is>
      </c>
      <c r="AC5" s="18" t="inlineStr">
        <is>
          <t>Ngân hàng Thương mại Cổ phần Công thương Việt Nam</t>
        </is>
      </c>
      <c r="AD5" s="18" t="inlineStr">
        <is>
          <t>VIETINBANK</t>
        </is>
      </c>
      <c r="AE5" s="18" t="inlineStr"/>
      <c r="AF5" s="18" t="inlineStr">
        <is>
          <t>037096003960</t>
        </is>
      </c>
      <c r="AG5" s="18" t="inlineStr">
        <is>
          <t>9.090909090909092%</t>
        </is>
      </c>
      <c r="AH5" s="18" t="inlineStr">
        <is>
          <t>162085-01-1778/K11174/060923/HĐHV</t>
        </is>
      </c>
      <c r="AI5" s="18" t="inlineStr">
        <is>
          <t>Hợp Đồng Đào Tạo Tập Nghề</t>
        </is>
      </c>
      <c r="AJ5" s="18" t="inlineStr">
        <is>
          <t>2023-10-05</t>
        </is>
      </c>
    </row>
    <row r="6">
      <c r="A6" s="18" t="inlineStr">
        <is>
          <t>160699</t>
        </is>
      </c>
      <c r="B6" s="18" t="inlineStr">
        <is>
          <t>Trịnh Văn Đạt</t>
        </is>
      </c>
      <c r="C6" s="18" t="inlineStr">
        <is>
          <t>160699-01</t>
        </is>
      </c>
      <c r="D6" s="18" t="inlineStr">
        <is>
          <t>1778</t>
        </is>
      </c>
      <c r="E6" s="18" t="inlineStr">
        <is>
          <t>KUEHNE + NAGEL 1.1</t>
        </is>
      </c>
      <c r="F6" s="19" t="inlineStr">
        <is>
          <t>2002-10-24</t>
        </is>
      </c>
      <c r="G6" s="18" t="inlineStr">
        <is>
          <t>OLD</t>
        </is>
      </c>
      <c r="H6" s="19" t="inlineStr">
        <is>
          <t>2023-07-25</t>
        </is>
      </c>
      <c r="I6" s="19" t="inlineStr"/>
      <c r="J6" s="18" t="inlineStr">
        <is>
          <t>Bốc xếp hàng hóa</t>
        </is>
      </c>
      <c r="K6" s="18" t="inlineStr">
        <is>
          <t>Nhân viên</t>
        </is>
      </c>
      <c r="L6" s="18" t="inlineStr">
        <is>
          <t>Nhân viên</t>
        </is>
      </c>
      <c r="M6" s="18" t="inlineStr"/>
      <c r="N6" s="18" t="inlineStr">
        <is>
          <t>LC1</t>
        </is>
      </c>
      <c r="O6" s="18" t="inlineStr">
        <is>
          <t>M-GROSS</t>
        </is>
      </c>
      <c r="P6" s="18" t="inlineStr"/>
      <c r="Q6" s="18" t="inlineStr">
        <is>
          <t>0</t>
        </is>
      </c>
      <c r="R6" s="20" t="n">
        <v>0</v>
      </c>
      <c r="S6" s="20" t="n">
        <v>6500000</v>
      </c>
      <c r="T6" s="20" t="n">
        <v>6500000</v>
      </c>
      <c r="U6" s="20" t="n">
        <v>30000</v>
      </c>
      <c r="V6" s="20" t="n">
        <v>500000</v>
      </c>
      <c r="W6" s="20" t="n">
        <v>500000</v>
      </c>
      <c r="X6" s="18" t="n">
        <v>0</v>
      </c>
      <c r="Y6" s="18" t="n">
        <v>0</v>
      </c>
      <c r="Z6" s="20" t="n">
        <v>0</v>
      </c>
      <c r="AA6" s="18" t="inlineStr">
        <is>
          <t>TRINH VAN DAT</t>
        </is>
      </c>
      <c r="AB6" s="18" t="inlineStr">
        <is>
          <t>700024909804</t>
        </is>
      </c>
      <c r="AC6" s="18" t="inlineStr">
        <is>
          <t>SHINHANVINA BANK</t>
        </is>
      </c>
      <c r="AD6" s="18" t="inlineStr">
        <is>
          <t>SHINHANVINA BANK</t>
        </is>
      </c>
      <c r="AE6" s="18" t="inlineStr"/>
      <c r="AF6" s="18" t="inlineStr">
        <is>
          <t>034202002543</t>
        </is>
      </c>
      <c r="AG6" s="18" t="inlineStr">
        <is>
          <t>60.0%</t>
        </is>
      </c>
      <c r="AH6" s="18" t="inlineStr">
        <is>
          <t>160699-01-1778/K11174/250823</t>
        </is>
      </c>
      <c r="AI6" s="18" t="inlineStr">
        <is>
          <t>Hợp đồng lao động Xác định thời hạn</t>
        </is>
      </c>
      <c r="AJ6" s="18" t="inlineStr">
        <is>
          <t>2024-08-24</t>
        </is>
      </c>
    </row>
    <row r="7">
      <c r="A7" s="18" t="inlineStr">
        <is>
          <t>157311</t>
        </is>
      </c>
      <c r="B7" s="18" t="inlineStr">
        <is>
          <t>Phạm Minh Tuấn</t>
        </is>
      </c>
      <c r="C7" s="18" t="inlineStr">
        <is>
          <t>157311-01</t>
        </is>
      </c>
      <c r="D7" s="18" t="inlineStr">
        <is>
          <t>1778</t>
        </is>
      </c>
      <c r="E7" s="18" t="inlineStr">
        <is>
          <t>KUEHNE + NAGEL 1.1</t>
        </is>
      </c>
      <c r="F7" s="19" t="inlineStr">
        <is>
          <t>1993-04-28</t>
        </is>
      </c>
      <c r="G7" s="18" t="inlineStr">
        <is>
          <t>OLD</t>
        </is>
      </c>
      <c r="H7" s="19" t="inlineStr">
        <is>
          <t>2023-03-01</t>
        </is>
      </c>
      <c r="I7" s="19" t="inlineStr"/>
      <c r="J7" s="18" t="inlineStr"/>
      <c r="K7" s="18" t="inlineStr">
        <is>
          <t>Nhân viên</t>
        </is>
      </c>
      <c r="L7" s="18" t="inlineStr">
        <is>
          <t>Nhân viên</t>
        </is>
      </c>
      <c r="M7" s="18" t="inlineStr"/>
      <c r="N7" s="18" t="inlineStr">
        <is>
          <t>LC1</t>
        </is>
      </c>
      <c r="O7" s="18" t="inlineStr">
        <is>
          <t>M-GROSS</t>
        </is>
      </c>
      <c r="P7" s="18" t="inlineStr">
        <is>
          <t>LT</t>
        </is>
      </c>
      <c r="Q7" s="18" t="inlineStr">
        <is>
          <t>1</t>
        </is>
      </c>
      <c r="R7" s="20" t="n">
        <v>0</v>
      </c>
      <c r="S7" s="20" t="n">
        <v>12000000</v>
      </c>
      <c r="T7" s="20" t="n">
        <v>12000000</v>
      </c>
      <c r="U7" s="20" t="n">
        <v>30000</v>
      </c>
      <c r="V7" s="20" t="n">
        <v>500000</v>
      </c>
      <c r="W7" s="20" t="n">
        <v>500000</v>
      </c>
      <c r="X7" s="20" t="n">
        <v>200000</v>
      </c>
      <c r="Y7" s="18" t="n">
        <v>0</v>
      </c>
      <c r="Z7" s="20" t="n">
        <v>0</v>
      </c>
      <c r="AA7" s="18" t="inlineStr">
        <is>
          <t>PHAM MINH TUAN</t>
        </is>
      </c>
      <c r="AB7" s="18" t="inlineStr">
        <is>
          <t>0031000245864</t>
        </is>
      </c>
      <c r="AC7" s="18" t="inlineStr">
        <is>
          <t>Ngân hàng Thương mại Cổ phần Ngoại thương Việt Nam</t>
        </is>
      </c>
      <c r="AD7" s="18" t="inlineStr">
        <is>
          <t>VCB</t>
        </is>
      </c>
      <c r="AE7" s="18" t="inlineStr"/>
      <c r="AF7" s="18" t="inlineStr">
        <is>
          <t>031093016031</t>
        </is>
      </c>
      <c r="AG7" s="18" t="inlineStr">
        <is>
          <t>77.77777777777777%</t>
        </is>
      </c>
      <c r="AH7" s="18" t="inlineStr">
        <is>
          <t>157311-01-1778/K11174/020523</t>
        </is>
      </c>
      <c r="AI7" s="18" t="inlineStr">
        <is>
          <t>Hợp đồng lao động Xác định thời hạn</t>
        </is>
      </c>
      <c r="AJ7" s="18" t="inlineStr">
        <is>
          <t>2024-05-20</t>
        </is>
      </c>
    </row>
    <row r="8">
      <c r="A8" s="18" t="inlineStr">
        <is>
          <t>159808</t>
        </is>
      </c>
      <c r="B8" s="18" t="inlineStr">
        <is>
          <t>Trần Việt Hoàng</t>
        </is>
      </c>
      <c r="C8" s="18" t="inlineStr">
        <is>
          <t>159808-01</t>
        </is>
      </c>
      <c r="D8" s="18" t="inlineStr">
        <is>
          <t>1778</t>
        </is>
      </c>
      <c r="E8" s="18" t="inlineStr">
        <is>
          <t>KUEHNE + NAGEL 1.1</t>
        </is>
      </c>
      <c r="F8" s="19" t="inlineStr">
        <is>
          <t>1998-11-09</t>
        </is>
      </c>
      <c r="G8" s="18" t="inlineStr">
        <is>
          <t>OLD</t>
        </is>
      </c>
      <c r="H8" s="19" t="inlineStr">
        <is>
          <t>2023-06-22</t>
        </is>
      </c>
      <c r="I8" s="19" t="inlineStr"/>
      <c r="J8" s="18" t="inlineStr">
        <is>
          <t>Hành chính</t>
        </is>
      </c>
      <c r="K8" s="18" t="inlineStr">
        <is>
          <t>Nhân viên</t>
        </is>
      </c>
      <c r="L8" s="18" t="inlineStr">
        <is>
          <t>Nhân viên</t>
        </is>
      </c>
      <c r="M8" s="18" t="inlineStr"/>
      <c r="N8" s="18" t="inlineStr">
        <is>
          <t>LC1</t>
        </is>
      </c>
      <c r="O8" s="18" t="inlineStr">
        <is>
          <t>M-GROSS</t>
        </is>
      </c>
      <c r="P8" s="18" t="inlineStr">
        <is>
          <t>LT</t>
        </is>
      </c>
      <c r="Q8" s="18" t="inlineStr">
        <is>
          <t>0</t>
        </is>
      </c>
      <c r="R8" s="20" t="n">
        <v>0</v>
      </c>
      <c r="S8" s="20" t="n">
        <v>9000000</v>
      </c>
      <c r="T8" s="20" t="n">
        <v>9000000</v>
      </c>
      <c r="U8" s="20" t="n">
        <v>30000</v>
      </c>
      <c r="V8" s="20" t="n">
        <v>500000</v>
      </c>
      <c r="W8" s="20" t="n">
        <v>500000</v>
      </c>
      <c r="X8" s="18" t="n">
        <v>0</v>
      </c>
      <c r="Y8" s="18" t="n">
        <v>0</v>
      </c>
      <c r="Z8" s="20" t="n">
        <v>0</v>
      </c>
      <c r="AA8" s="18" t="inlineStr">
        <is>
          <t>TRAN VIET HOANG</t>
        </is>
      </c>
      <c r="AB8" s="18" t="inlineStr">
        <is>
          <t>1019750472</t>
        </is>
      </c>
      <c r="AC8" s="18" t="inlineStr">
        <is>
          <t>Ngân hàng Thương mại Cổ phần Ngoại thương Việt Nam</t>
        </is>
      </c>
      <c r="AD8" s="18" t="inlineStr">
        <is>
          <t>VCB</t>
        </is>
      </c>
      <c r="AE8" s="18" t="inlineStr"/>
      <c r="AF8" s="18" t="inlineStr">
        <is>
          <t>031098003643</t>
        </is>
      </c>
      <c r="AG8" s="18" t="inlineStr">
        <is>
          <t>60.0%</t>
        </is>
      </c>
      <c r="AH8" s="18" t="inlineStr">
        <is>
          <t>159808-01-1778/K11174/220823</t>
        </is>
      </c>
      <c r="AI8" s="18" t="inlineStr">
        <is>
          <t>Hợp đồng lao động Xác định thời hạn</t>
        </is>
      </c>
      <c r="AJ8" s="18" t="inlineStr">
        <is>
          <t>2024-08-20</t>
        </is>
      </c>
    </row>
    <row r="9">
      <c r="A9" s="18" t="inlineStr">
        <is>
          <t>157310</t>
        </is>
      </c>
      <c r="B9" s="18" t="inlineStr">
        <is>
          <t>Đinh Xuân Hoàng</t>
        </is>
      </c>
      <c r="C9" s="18" t="inlineStr">
        <is>
          <t>157310-01</t>
        </is>
      </c>
      <c r="D9" s="18" t="inlineStr">
        <is>
          <t>1778</t>
        </is>
      </c>
      <c r="E9" s="18" t="inlineStr">
        <is>
          <t>KUEHNE + NAGEL 1.1</t>
        </is>
      </c>
      <c r="F9" s="19" t="inlineStr">
        <is>
          <t>1992-11-06</t>
        </is>
      </c>
      <c r="G9" s="18" t="inlineStr">
        <is>
          <t>OLD</t>
        </is>
      </c>
      <c r="H9" s="19" t="inlineStr">
        <is>
          <t>2023-03-01</t>
        </is>
      </c>
      <c r="I9" s="19" t="inlineStr"/>
      <c r="J9" s="18" t="inlineStr"/>
      <c r="K9" s="18" t="inlineStr">
        <is>
          <t>Trưởng nhóm</t>
        </is>
      </c>
      <c r="L9" s="18" t="inlineStr">
        <is>
          <t>Trưởng nhóm</t>
        </is>
      </c>
      <c r="M9" s="18" t="inlineStr"/>
      <c r="N9" s="18" t="inlineStr">
        <is>
          <t>LC1</t>
        </is>
      </c>
      <c r="O9" s="18" t="inlineStr">
        <is>
          <t>M-GROSS</t>
        </is>
      </c>
      <c r="P9" s="18" t="inlineStr"/>
      <c r="Q9" s="18" t="inlineStr">
        <is>
          <t>1</t>
        </is>
      </c>
      <c r="R9" s="20" t="n">
        <v>0</v>
      </c>
      <c r="S9" s="20" t="n">
        <v>10000000</v>
      </c>
      <c r="T9" s="20" t="n">
        <v>10000000</v>
      </c>
      <c r="U9" s="20" t="n">
        <v>30000</v>
      </c>
      <c r="V9" s="20" t="n">
        <v>500000</v>
      </c>
      <c r="W9" s="20" t="n">
        <v>500000</v>
      </c>
      <c r="X9" s="20" t="n">
        <v>200000</v>
      </c>
      <c r="Y9" s="18" t="n">
        <v>0</v>
      </c>
      <c r="Z9" s="20" t="n">
        <v>0</v>
      </c>
      <c r="AA9" s="18" t="inlineStr">
        <is>
          <t>DINH XUAN HOANG</t>
        </is>
      </c>
      <c r="AB9" s="18" t="inlineStr">
        <is>
          <t>19032005388015</t>
        </is>
      </c>
      <c r="AC9" s="18" t="inlineStr">
        <is>
          <t>Ngân hàng Thương mại Cổ phần Kỹ thương Việt Nam</t>
        </is>
      </c>
      <c r="AD9" s="18" t="inlineStr">
        <is>
          <t>TCB</t>
        </is>
      </c>
      <c r="AE9" s="18" t="inlineStr"/>
      <c r="AF9" s="18" t="inlineStr">
        <is>
          <t>031092001432</t>
        </is>
      </c>
      <c r="AG9" s="18" t="inlineStr">
        <is>
          <t>55.55555555555556%</t>
        </is>
      </c>
      <c r="AH9" s="18" t="inlineStr">
        <is>
          <t>157310-01-1778/K11174/300423</t>
        </is>
      </c>
      <c r="AI9" s="18" t="inlineStr">
        <is>
          <t>Hợp đồng lao động Xác định thời hạn</t>
        </is>
      </c>
      <c r="AJ9" s="18" t="inlineStr">
        <is>
          <t>2024-05-20</t>
        </is>
      </c>
    </row>
    <row r="10">
      <c r="A10" s="18" t="inlineStr">
        <is>
          <t>156800</t>
        </is>
      </c>
      <c r="B10" s="18" t="inlineStr">
        <is>
          <t>Nguyễn Tuấn Nghĩa</t>
        </is>
      </c>
      <c r="C10" s="18" t="inlineStr">
        <is>
          <t>156800-01</t>
        </is>
      </c>
      <c r="D10" s="18" t="inlineStr">
        <is>
          <t>1778</t>
        </is>
      </c>
      <c r="E10" s="18" t="inlineStr">
        <is>
          <t>KUEHNE + NAGEL 1.1</t>
        </is>
      </c>
      <c r="F10" s="19" t="inlineStr">
        <is>
          <t>1992-12-10</t>
        </is>
      </c>
      <c r="G10" s="18" t="inlineStr">
        <is>
          <t>OLD</t>
        </is>
      </c>
      <c r="H10" s="19" t="inlineStr">
        <is>
          <t>2023-02-08</t>
        </is>
      </c>
      <c r="I10" s="19" t="inlineStr"/>
      <c r="J10" s="18" t="inlineStr">
        <is>
          <t>Bốc xếp hàng hóa</t>
        </is>
      </c>
      <c r="K10" s="18" t="inlineStr">
        <is>
          <t>Trưởng nhóm</t>
        </is>
      </c>
      <c r="L10" s="18" t="inlineStr">
        <is>
          <t>Trưởng nhóm</t>
        </is>
      </c>
      <c r="M10" s="18" t="inlineStr"/>
      <c r="N10" s="18" t="inlineStr">
        <is>
          <t>LC1</t>
        </is>
      </c>
      <c r="O10" s="18" t="inlineStr">
        <is>
          <t>M-GROSS</t>
        </is>
      </c>
      <c r="P10" s="18" t="inlineStr">
        <is>
          <t>LT</t>
        </is>
      </c>
      <c r="Q10" s="18" t="inlineStr">
        <is>
          <t>1</t>
        </is>
      </c>
      <c r="R10" s="20" t="n">
        <v>0</v>
      </c>
      <c r="S10" s="20" t="n">
        <v>10000000</v>
      </c>
      <c r="T10" s="20" t="n">
        <v>10000000</v>
      </c>
      <c r="U10" s="20" t="n">
        <v>30000</v>
      </c>
      <c r="V10" s="20" t="n">
        <v>500000</v>
      </c>
      <c r="W10" s="20" t="n">
        <v>500000</v>
      </c>
      <c r="X10" s="20" t="n">
        <v>200000</v>
      </c>
      <c r="Y10" s="18" t="n">
        <v>0</v>
      </c>
      <c r="Z10" s="20" t="n">
        <v>0</v>
      </c>
      <c r="AA10" s="18" t="inlineStr">
        <is>
          <t>NGUYEN TUAN NGHIA</t>
        </is>
      </c>
      <c r="AB10" s="18" t="inlineStr">
        <is>
          <t>0491000044394</t>
        </is>
      </c>
      <c r="AC10" s="18" t="inlineStr">
        <is>
          <t>Ngân hàng Thương mại Cổ phần Ngoại thương Việt Nam</t>
        </is>
      </c>
      <c r="AD10" s="18" t="inlineStr">
        <is>
          <t>VCB</t>
        </is>
      </c>
      <c r="AE10" s="18" t="inlineStr"/>
      <c r="AF10" s="18" t="inlineStr">
        <is>
          <t>035092000341</t>
        </is>
      </c>
      <c r="AG10" s="18" t="inlineStr">
        <is>
          <t>77.77777777777777%</t>
        </is>
      </c>
      <c r="AH10" s="18" t="inlineStr">
        <is>
          <t>156800-01-1778/K11174/210423</t>
        </is>
      </c>
      <c r="AI10" s="18" t="inlineStr">
        <is>
          <t>Hợp đồng lao động Xác định thời hạn</t>
        </is>
      </c>
      <c r="AJ10" s="18" t="inlineStr">
        <is>
          <t>2024-04-20</t>
        </is>
      </c>
    </row>
    <row r="11">
      <c r="A11" s="18" t="inlineStr">
        <is>
          <t>157507</t>
        </is>
      </c>
      <c r="B11" s="18" t="inlineStr">
        <is>
          <t>Nguyễn Mạnh Dương</t>
        </is>
      </c>
      <c r="C11" s="18" t="inlineStr">
        <is>
          <t>157507-01</t>
        </is>
      </c>
      <c r="D11" s="18" t="inlineStr">
        <is>
          <t>1778</t>
        </is>
      </c>
      <c r="E11" s="18" t="inlineStr">
        <is>
          <t>KUEHNE + NAGEL 1.1</t>
        </is>
      </c>
      <c r="F11" s="19" t="inlineStr">
        <is>
          <t>1994-11-23</t>
        </is>
      </c>
      <c r="G11" s="18" t="inlineStr">
        <is>
          <t>OLD</t>
        </is>
      </c>
      <c r="H11" s="19" t="inlineStr">
        <is>
          <t>2023-03-08</t>
        </is>
      </c>
      <c r="I11" s="19" t="inlineStr"/>
      <c r="J11" s="18" t="inlineStr">
        <is>
          <t>Bốc xếp hàng hóa</t>
        </is>
      </c>
      <c r="K11" s="18" t="inlineStr">
        <is>
          <t>Nhân viên</t>
        </is>
      </c>
      <c r="L11" s="18" t="inlineStr">
        <is>
          <t>Nhân viên</t>
        </is>
      </c>
      <c r="M11" s="18" t="inlineStr"/>
      <c r="N11" s="18" t="inlineStr">
        <is>
          <t>LC1</t>
        </is>
      </c>
      <c r="O11" s="18" t="inlineStr">
        <is>
          <t>M-GROSS</t>
        </is>
      </c>
      <c r="P11" s="18" t="inlineStr">
        <is>
          <t>LT</t>
        </is>
      </c>
      <c r="Q11" s="18" t="inlineStr">
        <is>
          <t>1</t>
        </is>
      </c>
      <c r="R11" s="20" t="n">
        <v>0</v>
      </c>
      <c r="S11" s="20" t="n">
        <v>10000000</v>
      </c>
      <c r="T11" s="20" t="n">
        <v>10000000</v>
      </c>
      <c r="U11" s="20" t="n">
        <v>30000</v>
      </c>
      <c r="V11" s="20" t="n">
        <v>500000</v>
      </c>
      <c r="W11" s="20" t="n">
        <v>500000</v>
      </c>
      <c r="X11" s="20" t="n">
        <v>200000</v>
      </c>
      <c r="Y11" s="18" t="n">
        <v>0</v>
      </c>
      <c r="Z11" s="20" t="n">
        <v>0</v>
      </c>
      <c r="AA11" s="18" t="inlineStr">
        <is>
          <t>NGUYEN MANH DUONG</t>
        </is>
      </c>
      <c r="AB11" s="18" t="inlineStr">
        <is>
          <t>19035016874018</t>
        </is>
      </c>
      <c r="AC11" s="18" t="inlineStr">
        <is>
          <t>Ngân hàng Thương mại Cổ phần Kỹ thương Việt Nam</t>
        </is>
      </c>
      <c r="AD11" s="18" t="inlineStr">
        <is>
          <t>TCB</t>
        </is>
      </c>
      <c r="AE11" s="18" t="inlineStr"/>
      <c r="AF11" s="18" t="inlineStr">
        <is>
          <t>031094007708</t>
        </is>
      </c>
      <c r="AG11" s="18" t="inlineStr">
        <is>
          <t>77.77777777777777%</t>
        </is>
      </c>
      <c r="AH11" s="18" t="inlineStr">
        <is>
          <t>157507-01-1778/K11174/210423</t>
        </is>
      </c>
      <c r="AI11" s="18" t="inlineStr">
        <is>
          <t>Hợp đồng lao động Xác định thời hạn</t>
        </is>
      </c>
      <c r="AJ11" s="18" t="inlineStr">
        <is>
          <t>2024-04-20</t>
        </is>
      </c>
    </row>
    <row r="12">
      <c r="A12" s="18" t="inlineStr">
        <is>
          <t>158026</t>
        </is>
      </c>
      <c r="B12" s="18" t="inlineStr">
        <is>
          <t>Trần Ngôn Khanh</t>
        </is>
      </c>
      <c r="C12" s="18" t="inlineStr">
        <is>
          <t>158026-01</t>
        </is>
      </c>
      <c r="D12" s="18" t="inlineStr">
        <is>
          <t>1778</t>
        </is>
      </c>
      <c r="E12" s="18" t="inlineStr">
        <is>
          <t>KUEHNE + NAGEL 1.1</t>
        </is>
      </c>
      <c r="F12" s="19" t="inlineStr">
        <is>
          <t>1999-07-17</t>
        </is>
      </c>
      <c r="G12" s="18" t="inlineStr">
        <is>
          <t>OLD</t>
        </is>
      </c>
      <c r="H12" s="19" t="inlineStr">
        <is>
          <t>2023-03-27</t>
        </is>
      </c>
      <c r="I12" s="19" t="inlineStr"/>
      <c r="J12" s="18" t="inlineStr"/>
      <c r="K12" s="18" t="inlineStr">
        <is>
          <t>Nhân viên</t>
        </is>
      </c>
      <c r="L12" s="18" t="inlineStr">
        <is>
          <t>Nhân viên</t>
        </is>
      </c>
      <c r="M12" s="18" t="inlineStr"/>
      <c r="N12" s="18" t="inlineStr">
        <is>
          <t>LC1</t>
        </is>
      </c>
      <c r="O12" s="18" t="inlineStr">
        <is>
          <t>M-GROSS</t>
        </is>
      </c>
      <c r="P12" s="18" t="inlineStr"/>
      <c r="Q12" s="18" t="inlineStr">
        <is>
          <t>1</t>
        </is>
      </c>
      <c r="R12" s="20" t="n">
        <v>0</v>
      </c>
      <c r="S12" s="20" t="n">
        <v>9000000</v>
      </c>
      <c r="T12" s="20" t="n">
        <v>9000000</v>
      </c>
      <c r="U12" s="20" t="n">
        <v>30000</v>
      </c>
      <c r="V12" s="20" t="n">
        <v>500000</v>
      </c>
      <c r="W12" s="20" t="n">
        <v>500000</v>
      </c>
      <c r="X12" s="20" t="n">
        <v>200000</v>
      </c>
      <c r="Y12" s="20" t="n">
        <v>300000</v>
      </c>
      <c r="Z12" s="20" t="n">
        <v>0</v>
      </c>
      <c r="AA12" s="18" t="inlineStr">
        <is>
          <t>TRAN NGON KHANH</t>
        </is>
      </c>
      <c r="AB12" s="18" t="inlineStr">
        <is>
          <t>0031000345076</t>
        </is>
      </c>
      <c r="AC12" s="18" t="inlineStr">
        <is>
          <t>Ngân hàng Thương mại Cổ phần Ngoại thương Việt Nam</t>
        </is>
      </c>
      <c r="AD12" s="18" t="inlineStr">
        <is>
          <t>VCB</t>
        </is>
      </c>
      <c r="AE12" s="18" t="inlineStr"/>
      <c r="AF12" s="18" t="inlineStr">
        <is>
          <t>031099007481</t>
        </is>
      </c>
      <c r="AG12" s="18" t="inlineStr">
        <is>
          <t>35.714285714285715%</t>
        </is>
      </c>
      <c r="AH12" s="18" t="inlineStr">
        <is>
          <t>158026-01-1778/K11174/260523</t>
        </is>
      </c>
      <c r="AI12" s="18" t="inlineStr">
        <is>
          <t>Hợp đồng lao động Xác định thời hạn</t>
        </is>
      </c>
      <c r="AJ12" s="18" t="inlineStr">
        <is>
          <t>2024-05-20</t>
        </is>
      </c>
    </row>
    <row r="13">
      <c r="A13" s="18" t="inlineStr">
        <is>
          <t>161169</t>
        </is>
      </c>
      <c r="B13" s="18" t="inlineStr">
        <is>
          <t>Hoàng Khánh</t>
        </is>
      </c>
      <c r="C13" s="18" t="inlineStr">
        <is>
          <t>161169-01</t>
        </is>
      </c>
      <c r="D13" s="18" t="inlineStr">
        <is>
          <t>1778</t>
        </is>
      </c>
      <c r="E13" s="18" t="inlineStr">
        <is>
          <t>KUEHNE + NAGEL 1.1</t>
        </is>
      </c>
      <c r="F13" s="19" t="inlineStr">
        <is>
          <t>1993-11-20</t>
        </is>
      </c>
      <c r="G13" s="18" t="inlineStr">
        <is>
          <t>OLD</t>
        </is>
      </c>
      <c r="H13" s="19" t="inlineStr">
        <is>
          <t>2023-08-02</t>
        </is>
      </c>
      <c r="I13" s="19" t="inlineStr"/>
      <c r="J13" s="18" t="inlineStr">
        <is>
          <t>Bốc xếp hàng hóa</t>
        </is>
      </c>
      <c r="K13" s="18" t="inlineStr">
        <is>
          <t>Nhân viên</t>
        </is>
      </c>
      <c r="L13" s="18" t="inlineStr">
        <is>
          <t>Nhân viên</t>
        </is>
      </c>
      <c r="M13" s="18" t="inlineStr"/>
      <c r="N13" s="18" t="inlineStr">
        <is>
          <t>LC1</t>
        </is>
      </c>
      <c r="O13" s="18" t="inlineStr">
        <is>
          <t>M-GROSS</t>
        </is>
      </c>
      <c r="P13" s="18" t="inlineStr">
        <is>
          <t>LT</t>
        </is>
      </c>
      <c r="Q13" s="18" t="inlineStr">
        <is>
          <t>0</t>
        </is>
      </c>
      <c r="R13" s="20" t="n">
        <v>0</v>
      </c>
      <c r="S13" s="20" t="n">
        <v>6500000</v>
      </c>
      <c r="T13" s="20" t="n">
        <v>6500000</v>
      </c>
      <c r="U13" s="20" t="n">
        <v>30000</v>
      </c>
      <c r="V13" s="20" t="n">
        <v>500000</v>
      </c>
      <c r="W13" s="20" t="n">
        <v>500000</v>
      </c>
      <c r="X13" s="18" t="n">
        <v>0</v>
      </c>
      <c r="Y13" s="18" t="n">
        <v>0</v>
      </c>
      <c r="Z13" s="20" t="n">
        <v>0</v>
      </c>
      <c r="AA13" s="18" t="inlineStr">
        <is>
          <t>HOANG KHANH</t>
        </is>
      </c>
      <c r="AB13" s="18" t="inlineStr">
        <is>
          <t>19033143133334</t>
        </is>
      </c>
      <c r="AC13" s="18" t="inlineStr">
        <is>
          <t>Ngân hàng Thương mại Cổ phần Kỹ thương Việt Nam</t>
        </is>
      </c>
      <c r="AD13" s="18" t="inlineStr">
        <is>
          <t>TCB</t>
        </is>
      </c>
      <c r="AE13" s="18" t="inlineStr"/>
      <c r="AF13" s="18" t="inlineStr">
        <is>
          <t>031093007876</t>
        </is>
      </c>
      <c r="AG13" s="18" t="inlineStr">
        <is>
          <t>70.0%</t>
        </is>
      </c>
      <c r="AH13" s="18" t="inlineStr">
        <is>
          <t>161169-01-1778/K11174/010923</t>
        </is>
      </c>
      <c r="AI13" s="18" t="inlineStr">
        <is>
          <t>Hợp đồng lao động Xác định thời hạn</t>
        </is>
      </c>
      <c r="AJ13" s="18" t="inlineStr">
        <is>
          <t>2024-08-31</t>
        </is>
      </c>
    </row>
    <row r="14">
      <c r="A14" s="18" t="inlineStr">
        <is>
          <t>160214</t>
        </is>
      </c>
      <c r="B14" s="18" t="inlineStr">
        <is>
          <t>Nguyễn Văn Nhân</t>
        </is>
      </c>
      <c r="C14" s="18" t="inlineStr">
        <is>
          <t>160214-01</t>
        </is>
      </c>
      <c r="D14" s="18" t="inlineStr">
        <is>
          <t>1778</t>
        </is>
      </c>
      <c r="E14" s="18" t="inlineStr">
        <is>
          <t>KUEHNE + NAGEL 1.1</t>
        </is>
      </c>
      <c r="F14" s="19" t="inlineStr">
        <is>
          <t>1995-02-28</t>
        </is>
      </c>
      <c r="G14" s="18" t="inlineStr">
        <is>
          <t>OLD</t>
        </is>
      </c>
      <c r="H14" s="19" t="inlineStr">
        <is>
          <t>2023-07-05</t>
        </is>
      </c>
      <c r="I14" s="19" t="inlineStr"/>
      <c r="J14" s="18" t="inlineStr">
        <is>
          <t>Bốc xếp hàng hóa</t>
        </is>
      </c>
      <c r="K14" s="18" t="inlineStr">
        <is>
          <t>Nhân viên</t>
        </is>
      </c>
      <c r="L14" s="18" t="inlineStr">
        <is>
          <t>Nhân viên</t>
        </is>
      </c>
      <c r="M14" s="18" t="inlineStr"/>
      <c r="N14" s="18" t="inlineStr">
        <is>
          <t>LC1</t>
        </is>
      </c>
      <c r="O14" s="18" t="inlineStr">
        <is>
          <t>M-GROSS</t>
        </is>
      </c>
      <c r="P14" s="18" t="inlineStr">
        <is>
          <t>LT</t>
        </is>
      </c>
      <c r="Q14" s="18" t="inlineStr">
        <is>
          <t>0</t>
        </is>
      </c>
      <c r="R14" s="20" t="n">
        <v>0</v>
      </c>
      <c r="S14" s="20" t="n">
        <v>6500000</v>
      </c>
      <c r="T14" s="20" t="n">
        <v>6500000</v>
      </c>
      <c r="U14" s="20" t="n">
        <v>30000</v>
      </c>
      <c r="V14" s="20" t="n">
        <v>500000</v>
      </c>
      <c r="W14" s="20" t="n">
        <v>500000</v>
      </c>
      <c r="X14" s="18" t="n">
        <v>0</v>
      </c>
      <c r="Y14" s="18" t="n">
        <v>0</v>
      </c>
      <c r="Z14" s="20" t="n">
        <v>0</v>
      </c>
      <c r="AA14" s="18" t="inlineStr">
        <is>
          <t>NGUYEN VAN NHAN</t>
        </is>
      </c>
      <c r="AB14" s="18" t="inlineStr">
        <is>
          <t>292202229</t>
        </is>
      </c>
      <c r="AC14" s="18" t="inlineStr">
        <is>
          <t>Ngân hàng Thương mại Cổ phần Việt Nam Thịnh Vượng</t>
        </is>
      </c>
      <c r="AD14" s="18" t="inlineStr">
        <is>
          <t>VPBANK</t>
        </is>
      </c>
      <c r="AE14" s="18" t="inlineStr"/>
      <c r="AF14" s="18" t="inlineStr">
        <is>
          <t>064095012634</t>
        </is>
      </c>
      <c r="AG14" s="18" t="inlineStr">
        <is>
          <t>40.0%</t>
        </is>
      </c>
      <c r="AH14" s="18" t="inlineStr">
        <is>
          <t>160214-01-1778/K11174/040823</t>
        </is>
      </c>
      <c r="AI14" s="18" t="inlineStr">
        <is>
          <t>Hợp đồng lao động Xác định thời hạn</t>
        </is>
      </c>
      <c r="AJ14" s="18" t="inlineStr">
        <is>
          <t>2024-08-03</t>
        </is>
      </c>
    </row>
    <row r="15">
      <c r="A15" s="18" t="inlineStr">
        <is>
          <t>158777</t>
        </is>
      </c>
      <c r="B15" s="18" t="inlineStr">
        <is>
          <t>Phạm Tăng Sơn</t>
        </is>
      </c>
      <c r="C15" s="18" t="inlineStr">
        <is>
          <t>158777-01</t>
        </is>
      </c>
      <c r="D15" s="18" t="inlineStr">
        <is>
          <t>1778</t>
        </is>
      </c>
      <c r="E15" s="18" t="inlineStr">
        <is>
          <t>KUEHNE + NAGEL 1.1</t>
        </is>
      </c>
      <c r="F15" s="19" t="inlineStr">
        <is>
          <t>1993-09-14</t>
        </is>
      </c>
      <c r="G15" s="18" t="inlineStr">
        <is>
          <t>OLD</t>
        </is>
      </c>
      <c r="H15" s="19" t="inlineStr">
        <is>
          <t>2023-05-22</t>
        </is>
      </c>
      <c r="I15" s="19" t="inlineStr"/>
      <c r="J15" s="18" t="inlineStr">
        <is>
          <t>Bốc xếp hàng hóa</t>
        </is>
      </c>
      <c r="K15" s="18" t="inlineStr">
        <is>
          <t>Nhân viên</t>
        </is>
      </c>
      <c r="L15" s="18" t="inlineStr">
        <is>
          <t>Nhân viên</t>
        </is>
      </c>
      <c r="M15" s="18" t="inlineStr"/>
      <c r="N15" s="18" t="inlineStr">
        <is>
          <t>LC1</t>
        </is>
      </c>
      <c r="O15" s="18" t="inlineStr">
        <is>
          <t>M-GROSS</t>
        </is>
      </c>
      <c r="P15" s="18" t="inlineStr">
        <is>
          <t>LT</t>
        </is>
      </c>
      <c r="Q15" s="18" t="inlineStr">
        <is>
          <t>1</t>
        </is>
      </c>
      <c r="R15" s="20" t="n">
        <v>0</v>
      </c>
      <c r="S15" s="20" t="n">
        <v>7000000</v>
      </c>
      <c r="T15" s="20" t="n">
        <v>6500000</v>
      </c>
      <c r="U15" s="20" t="n">
        <v>30000</v>
      </c>
      <c r="V15" s="20" t="n">
        <v>500000</v>
      </c>
      <c r="W15" s="20" t="n">
        <v>500000</v>
      </c>
      <c r="X15" s="18" t="n">
        <v>0</v>
      </c>
      <c r="Y15" s="18" t="n">
        <v>0</v>
      </c>
      <c r="Z15" s="20" t="n">
        <v>0</v>
      </c>
      <c r="AA15" s="18" t="inlineStr">
        <is>
          <t>PHAM TANG SON</t>
        </is>
      </c>
      <c r="AB15" s="18" t="inlineStr">
        <is>
          <t>1027856404</t>
        </is>
      </c>
      <c r="AC15" s="18" t="inlineStr">
        <is>
          <t>Ngân hàng Thương mại Cổ phần Ngoại thương Việt Nam</t>
        </is>
      </c>
      <c r="AD15" s="18" t="inlineStr">
        <is>
          <t>VCB</t>
        </is>
      </c>
      <c r="AE15" s="18" t="inlineStr"/>
      <c r="AF15" s="18" t="inlineStr">
        <is>
          <t>031093018650</t>
        </is>
      </c>
      <c r="AG15" s="18" t="inlineStr">
        <is>
          <t>11.11111111111111%</t>
        </is>
      </c>
      <c r="AH15" s="18" t="inlineStr">
        <is>
          <t>158777-01-1778/K11174/220523/HĐHV</t>
        </is>
      </c>
      <c r="AI15" s="18" t="inlineStr">
        <is>
          <t>Hợp đồng lao động Xác định thời hạn</t>
        </is>
      </c>
      <c r="AJ15" s="18" t="inlineStr">
        <is>
          <t>2024-05-22</t>
        </is>
      </c>
    </row>
    <row r="16">
      <c r="A16" s="18" t="inlineStr">
        <is>
          <t>158027</t>
        </is>
      </c>
      <c r="B16" s="18" t="inlineStr">
        <is>
          <t>Nguyễn Tiến Bảo</t>
        </is>
      </c>
      <c r="C16" s="18" t="inlineStr">
        <is>
          <t>158027-01</t>
        </is>
      </c>
      <c r="D16" s="18" t="inlineStr">
        <is>
          <t>1778</t>
        </is>
      </c>
      <c r="E16" s="18" t="inlineStr">
        <is>
          <t>KUEHNE + NAGEL 1.1</t>
        </is>
      </c>
      <c r="F16" s="19" t="inlineStr">
        <is>
          <t>1983-11-20</t>
        </is>
      </c>
      <c r="G16" s="18" t="inlineStr">
        <is>
          <t>OLD</t>
        </is>
      </c>
      <c r="H16" s="19" t="inlineStr">
        <is>
          <t>2023-03-27</t>
        </is>
      </c>
      <c r="I16" s="19" t="inlineStr"/>
      <c r="J16" s="18" t="inlineStr">
        <is>
          <t>Lái xe nâng</t>
        </is>
      </c>
      <c r="K16" s="18" t="inlineStr">
        <is>
          <t>Công nhân</t>
        </is>
      </c>
      <c r="L16" s="18" t="inlineStr">
        <is>
          <t>Công nhân</t>
        </is>
      </c>
      <c r="M16" s="18" t="inlineStr"/>
      <c r="N16" s="18" t="inlineStr">
        <is>
          <t>LC1</t>
        </is>
      </c>
      <c r="O16" s="18" t="inlineStr">
        <is>
          <t>M-GROSS</t>
        </is>
      </c>
      <c r="P16" s="18" t="inlineStr">
        <is>
          <t>LT</t>
        </is>
      </c>
      <c r="Q16" s="18" t="inlineStr">
        <is>
          <t>1</t>
        </is>
      </c>
      <c r="R16" s="20" t="n">
        <v>0</v>
      </c>
      <c r="S16" s="20" t="n">
        <v>7000000</v>
      </c>
      <c r="T16" s="20" t="n">
        <v>7000000</v>
      </c>
      <c r="U16" s="20" t="n">
        <v>30000</v>
      </c>
      <c r="V16" s="20" t="n">
        <v>500000</v>
      </c>
      <c r="W16" s="20" t="n">
        <v>500000</v>
      </c>
      <c r="X16" s="18" t="n">
        <v>0</v>
      </c>
      <c r="Y16" s="18" t="n">
        <v>0</v>
      </c>
      <c r="Z16" s="20" t="n">
        <v>0</v>
      </c>
      <c r="AA16" s="18" t="inlineStr">
        <is>
          <t>NGUYEN TIEN BAO</t>
        </is>
      </c>
      <c r="AB16" s="18" t="inlineStr">
        <is>
          <t>0491000142253</t>
        </is>
      </c>
      <c r="AC16" s="18" t="inlineStr">
        <is>
          <t>Ngân hàng Thương mại Cổ phần Ngoại thương Việt Nam</t>
        </is>
      </c>
      <c r="AD16" s="18" t="inlineStr">
        <is>
          <t>VCB</t>
        </is>
      </c>
      <c r="AE16" s="18" t="inlineStr"/>
      <c r="AF16" s="18" t="inlineStr">
        <is>
          <t>031083014317</t>
        </is>
      </c>
      <c r="AG16" s="18" t="inlineStr">
        <is>
          <t>70.0%</t>
        </is>
      </c>
      <c r="AH16" s="18" t="inlineStr">
        <is>
          <t>158027-01-1778/K11174/210623</t>
        </is>
      </c>
      <c r="AI16" s="18" t="inlineStr">
        <is>
          <t>Hợp đồng lao động Xác định thời hạn</t>
        </is>
      </c>
      <c r="AJ16" s="18" t="inlineStr">
        <is>
          <t>2024-06-20</t>
        </is>
      </c>
    </row>
    <row r="17">
      <c r="A17" s="18" t="inlineStr">
        <is>
          <t>159077</t>
        </is>
      </c>
      <c r="B17" s="18" t="inlineStr">
        <is>
          <t>Trịnh Văn Được</t>
        </is>
      </c>
      <c r="C17" s="18" t="inlineStr">
        <is>
          <t>159077-01</t>
        </is>
      </c>
      <c r="D17" s="18" t="inlineStr">
        <is>
          <t>1778</t>
        </is>
      </c>
      <c r="E17" s="18" t="inlineStr">
        <is>
          <t>KUEHNE + NAGEL 1.1</t>
        </is>
      </c>
      <c r="F17" s="19" t="inlineStr">
        <is>
          <t>1997-10-11</t>
        </is>
      </c>
      <c r="G17" s="18" t="inlineStr">
        <is>
          <t>OFF</t>
        </is>
      </c>
      <c r="H17" s="19" t="inlineStr">
        <is>
          <t>2023-05-22</t>
        </is>
      </c>
      <c r="I17" s="19" t="inlineStr">
        <is>
          <t>2023-08-14</t>
        </is>
      </c>
      <c r="J17" s="18" t="inlineStr">
        <is>
          <t>Bốc xếp hàng hóa</t>
        </is>
      </c>
      <c r="K17" s="18" t="inlineStr">
        <is>
          <t>Nhân viên</t>
        </is>
      </c>
      <c r="L17" s="18" t="inlineStr">
        <is>
          <t>Nhân viên</t>
        </is>
      </c>
      <c r="M17" s="18" t="inlineStr"/>
      <c r="N17" s="18" t="inlineStr">
        <is>
          <t>LC1</t>
        </is>
      </c>
      <c r="O17" s="18" t="inlineStr">
        <is>
          <t>M-GROSS</t>
        </is>
      </c>
      <c r="P17" s="18" t="inlineStr">
        <is>
          <t>LT</t>
        </is>
      </c>
      <c r="Q17" s="18" t="inlineStr">
        <is>
          <t>1</t>
        </is>
      </c>
      <c r="R17" s="20" t="n">
        <v>0</v>
      </c>
      <c r="S17" s="20" t="n">
        <v>6500000</v>
      </c>
      <c r="T17" s="20" t="n">
        <v>6500000</v>
      </c>
      <c r="U17" s="20" t="n">
        <v>30000</v>
      </c>
      <c r="V17" s="20" t="n">
        <v>500000</v>
      </c>
      <c r="W17" s="20" t="n">
        <v>500000</v>
      </c>
      <c r="X17" s="18" t="n">
        <v>0</v>
      </c>
      <c r="Y17" s="18" t="n">
        <v>0</v>
      </c>
      <c r="Z17" s="20" t="n">
        <v>0</v>
      </c>
      <c r="AA17" s="18" t="inlineStr">
        <is>
          <t>TRINH VAN DUOC</t>
        </is>
      </c>
      <c r="AB17" s="18" t="inlineStr">
        <is>
          <t>19031663737019</t>
        </is>
      </c>
      <c r="AC17" s="18" t="inlineStr">
        <is>
          <t>Ngân hàng Thương mại Cổ phần Kỹ thương Việt Nam</t>
        </is>
      </c>
      <c r="AD17" s="18" t="inlineStr">
        <is>
          <t>TCB</t>
        </is>
      </c>
      <c r="AE17" s="18" t="inlineStr"/>
      <c r="AF17" s="18" t="inlineStr">
        <is>
          <t>075097004895</t>
        </is>
      </c>
      <c r="AG17" s="18" t="inlineStr">
        <is>
          <t>11.11111111111111%</t>
        </is>
      </c>
      <c r="AH17" s="18" t="inlineStr">
        <is>
          <t>159077-01-1778/K11174/220523/HĐHV</t>
        </is>
      </c>
      <c r="AI17" s="18" t="inlineStr">
        <is>
          <t>Hợp đồng lao động Xác định thời hạn</t>
        </is>
      </c>
      <c r="AJ17" s="18" t="inlineStr">
        <is>
          <t>2024-06-20</t>
        </is>
      </c>
    </row>
    <row r="18">
      <c r="A18" s="18" t="inlineStr">
        <is>
          <t>157412</t>
        </is>
      </c>
      <c r="B18" s="18" t="inlineStr">
        <is>
          <t>Phạm Trung Dũng</t>
        </is>
      </c>
      <c r="C18" s="18" t="inlineStr">
        <is>
          <t>157412-01</t>
        </is>
      </c>
      <c r="D18" s="18" t="inlineStr">
        <is>
          <t>1778</t>
        </is>
      </c>
      <c r="E18" s="18" t="inlineStr">
        <is>
          <t>KUEHNE + NAGEL 1.1</t>
        </is>
      </c>
      <c r="F18" s="19" t="inlineStr">
        <is>
          <t>1988-02-02</t>
        </is>
      </c>
      <c r="G18" s="18" t="inlineStr">
        <is>
          <t>OLD</t>
        </is>
      </c>
      <c r="H18" s="19" t="inlineStr">
        <is>
          <t>2023-03-01</t>
        </is>
      </c>
      <c r="I18" s="19" t="inlineStr"/>
      <c r="J18" s="18" t="inlineStr">
        <is>
          <t>Lái xe nâng</t>
        </is>
      </c>
      <c r="K18" s="18" t="inlineStr">
        <is>
          <t>Công nhân</t>
        </is>
      </c>
      <c r="L18" s="18" t="inlineStr">
        <is>
          <t>Công nhân</t>
        </is>
      </c>
      <c r="M18" s="18" t="inlineStr"/>
      <c r="N18" s="18" t="inlineStr">
        <is>
          <t>LC1</t>
        </is>
      </c>
      <c r="O18" s="18" t="inlineStr">
        <is>
          <t>M-GROSS</t>
        </is>
      </c>
      <c r="P18" s="18" t="inlineStr">
        <is>
          <t>LT</t>
        </is>
      </c>
      <c r="Q18" s="18" t="inlineStr">
        <is>
          <t>1</t>
        </is>
      </c>
      <c r="R18" s="20" t="n">
        <v>0</v>
      </c>
      <c r="S18" s="20" t="n">
        <v>7000000</v>
      </c>
      <c r="T18" s="20" t="n">
        <v>7000000</v>
      </c>
      <c r="U18" s="20" t="n">
        <v>30000</v>
      </c>
      <c r="V18" s="20" t="n">
        <v>500000</v>
      </c>
      <c r="W18" s="20" t="n">
        <v>500000</v>
      </c>
      <c r="X18" s="18" t="n">
        <v>0</v>
      </c>
      <c r="Y18" s="18" t="n">
        <v>0</v>
      </c>
      <c r="Z18" s="20" t="n">
        <v>0</v>
      </c>
      <c r="AA18" s="18" t="inlineStr">
        <is>
          <t>PHAM TRUNG DUNG</t>
        </is>
      </c>
      <c r="AB18" s="18" t="inlineStr">
        <is>
          <t>106867650450</t>
        </is>
      </c>
      <c r="AC18" s="18" t="inlineStr">
        <is>
          <t>Ngân hàng Thương mại Cổ phần Công thương Việt Nam</t>
        </is>
      </c>
      <c r="AD18" s="18" t="inlineStr">
        <is>
          <t>VIETINBANK</t>
        </is>
      </c>
      <c r="AE18" s="18" t="inlineStr"/>
      <c r="AF18" s="18" t="inlineStr">
        <is>
          <t>031088010057</t>
        </is>
      </c>
      <c r="AG18" s="18" t="inlineStr">
        <is>
          <t>55.55555555555556%</t>
        </is>
      </c>
      <c r="AH18" s="18" t="inlineStr">
        <is>
          <t>157412-01-1778/K11174/010623</t>
        </is>
      </c>
      <c r="AI18" s="18" t="inlineStr">
        <is>
          <t>Hợp đồng lao động Xác định thời hạn</t>
        </is>
      </c>
      <c r="AJ18" s="18" t="inlineStr">
        <is>
          <t>2024-06-20</t>
        </is>
      </c>
    </row>
    <row r="19">
      <c r="A19" s="18" t="inlineStr">
        <is>
          <t>158684</t>
        </is>
      </c>
      <c r="B19" s="18" t="inlineStr">
        <is>
          <t>Phạm Văn Sơn</t>
        </is>
      </c>
      <c r="C19" s="18" t="inlineStr">
        <is>
          <t>158684-01</t>
        </is>
      </c>
      <c r="D19" s="18" t="inlineStr">
        <is>
          <t>1778</t>
        </is>
      </c>
      <c r="E19" s="18" t="inlineStr">
        <is>
          <t>KUEHNE + NAGEL 1.1</t>
        </is>
      </c>
      <c r="F19" s="19" t="inlineStr">
        <is>
          <t>1994-11-03</t>
        </is>
      </c>
      <c r="G19" s="18" t="inlineStr">
        <is>
          <t>OLD</t>
        </is>
      </c>
      <c r="H19" s="19" t="inlineStr">
        <is>
          <t>2023-05-11</t>
        </is>
      </c>
      <c r="I19" s="19" t="inlineStr"/>
      <c r="J19" s="18" t="inlineStr">
        <is>
          <t>Bốc xếp hàng hóa</t>
        </is>
      </c>
      <c r="K19" s="18" t="inlineStr">
        <is>
          <t>Nhân viên</t>
        </is>
      </c>
      <c r="L19" s="18" t="inlineStr">
        <is>
          <t>Nhân viên</t>
        </is>
      </c>
      <c r="M19" s="18" t="inlineStr"/>
      <c r="N19" s="18" t="inlineStr">
        <is>
          <t>LC1</t>
        </is>
      </c>
      <c r="O19" s="18" t="inlineStr">
        <is>
          <t>M-GROSS</t>
        </is>
      </c>
      <c r="P19" s="18" t="inlineStr">
        <is>
          <t>LT</t>
        </is>
      </c>
      <c r="Q19" s="18" t="inlineStr">
        <is>
          <t>1</t>
        </is>
      </c>
      <c r="R19" s="20" t="n">
        <v>0</v>
      </c>
      <c r="S19" s="20" t="n">
        <v>6500000</v>
      </c>
      <c r="T19" s="20" t="n">
        <v>6500000</v>
      </c>
      <c r="U19" s="20" t="n">
        <v>30000</v>
      </c>
      <c r="V19" s="20" t="n">
        <v>500000</v>
      </c>
      <c r="W19" s="20" t="n">
        <v>500000</v>
      </c>
      <c r="X19" s="18" t="n">
        <v>0</v>
      </c>
      <c r="Y19" s="18" t="n">
        <v>0</v>
      </c>
      <c r="Z19" s="20" t="n">
        <v>0</v>
      </c>
      <c r="AA19" s="18" t="inlineStr">
        <is>
          <t>PHAM VAN SON</t>
        </is>
      </c>
      <c r="AB19" s="18" t="inlineStr">
        <is>
          <t>104874736414</t>
        </is>
      </c>
      <c r="AC19" s="18" t="inlineStr">
        <is>
          <t>Ngân hàng Thương mại Cổ phần Công thương Việt Nam</t>
        </is>
      </c>
      <c r="AD19" s="18" t="inlineStr">
        <is>
          <t>VIETINBANK</t>
        </is>
      </c>
      <c r="AE19" s="18" t="inlineStr"/>
      <c r="AF19" s="18" t="inlineStr">
        <is>
          <t>031094004875</t>
        </is>
      </c>
      <c r="AG19" s="18" t="inlineStr">
        <is>
          <t>11.11111111111111%</t>
        </is>
      </c>
      <c r="AH19" s="18" t="inlineStr">
        <is>
          <t>158684-01-1778/K11174/010623</t>
        </is>
      </c>
      <c r="AI19" s="18" t="inlineStr">
        <is>
          <t>Hợp đồng lao động Xác định thời hạn</t>
        </is>
      </c>
      <c r="AJ19" s="18" t="inlineStr">
        <is>
          <t>2024-06-20</t>
        </is>
      </c>
    </row>
    <row r="20">
      <c r="A20" s="18" t="inlineStr">
        <is>
          <t>157409</t>
        </is>
      </c>
      <c r="B20" s="18" t="inlineStr">
        <is>
          <t>Hoàng Tiến Dũng</t>
        </is>
      </c>
      <c r="C20" s="18" t="inlineStr">
        <is>
          <t>157409-01</t>
        </is>
      </c>
      <c r="D20" s="18" t="inlineStr">
        <is>
          <t>1778</t>
        </is>
      </c>
      <c r="E20" s="18" t="inlineStr">
        <is>
          <t>KUEHNE + NAGEL 1.1</t>
        </is>
      </c>
      <c r="F20" s="19" t="inlineStr">
        <is>
          <t>1993-11-01</t>
        </is>
      </c>
      <c r="G20" s="18" t="inlineStr">
        <is>
          <t>OLD</t>
        </is>
      </c>
      <c r="H20" s="19" t="inlineStr">
        <is>
          <t>2023-03-01</t>
        </is>
      </c>
      <c r="I20" s="19" t="inlineStr"/>
      <c r="J20" s="18" t="inlineStr">
        <is>
          <t>Bốc xếp hàng hóa</t>
        </is>
      </c>
      <c r="K20" s="18" t="inlineStr">
        <is>
          <t>Công nhân</t>
        </is>
      </c>
      <c r="L20" s="18" t="inlineStr">
        <is>
          <t>Công nhân</t>
        </is>
      </c>
      <c r="M20" s="18" t="inlineStr"/>
      <c r="N20" s="18" t="inlineStr">
        <is>
          <t>LC1</t>
        </is>
      </c>
      <c r="O20" s="18" t="inlineStr">
        <is>
          <t>M-GROSS</t>
        </is>
      </c>
      <c r="P20" s="18" t="inlineStr"/>
      <c r="Q20" s="18" t="inlineStr">
        <is>
          <t>1</t>
        </is>
      </c>
      <c r="R20" s="20" t="n">
        <v>0</v>
      </c>
      <c r="S20" s="20" t="n">
        <v>6500000</v>
      </c>
      <c r="T20" s="20" t="n">
        <v>6500000</v>
      </c>
      <c r="U20" s="20" t="n">
        <v>30000</v>
      </c>
      <c r="V20" s="20" t="n">
        <v>500000</v>
      </c>
      <c r="W20" s="20" t="n">
        <v>500000</v>
      </c>
      <c r="X20" s="18" t="n">
        <v>0</v>
      </c>
      <c r="Y20" s="18" t="n">
        <v>0</v>
      </c>
      <c r="Z20" s="20" t="n">
        <v>0</v>
      </c>
      <c r="AA20" s="18" t="inlineStr">
        <is>
          <t>HOANG TIEN DUNG</t>
        </is>
      </c>
      <c r="AB20" s="18" t="inlineStr">
        <is>
          <t>700014376710</t>
        </is>
      </c>
      <c r="AC20" s="18" t="inlineStr">
        <is>
          <t>SHINHANVINA BANK</t>
        </is>
      </c>
      <c r="AD20" s="18" t="inlineStr">
        <is>
          <t>SHINHANVINA BANK</t>
        </is>
      </c>
      <c r="AE20" s="18" t="inlineStr"/>
      <c r="AF20" s="18" t="inlineStr">
        <is>
          <t>031093000636</t>
        </is>
      </c>
      <c r="AG20" s="18" t="inlineStr">
        <is>
          <t>55.55555555555556%</t>
        </is>
      </c>
      <c r="AH20" s="18" t="inlineStr">
        <is>
          <t>157409-01-1778/K11174/010623</t>
        </is>
      </c>
      <c r="AI20" s="18" t="inlineStr">
        <is>
          <t>Hợp đồng lao động Xác định thời hạn</t>
        </is>
      </c>
      <c r="AJ20" s="18" t="inlineStr">
        <is>
          <t>2024-06-20</t>
        </is>
      </c>
    </row>
    <row r="21">
      <c r="A21" s="18" t="inlineStr">
        <is>
          <t>157552</t>
        </is>
      </c>
      <c r="B21" s="18" t="inlineStr">
        <is>
          <t>Phạm Xuân Chí</t>
        </is>
      </c>
      <c r="C21" s="18" t="inlineStr">
        <is>
          <t>157552-02</t>
        </is>
      </c>
      <c r="D21" s="18" t="inlineStr">
        <is>
          <t>1778</t>
        </is>
      </c>
      <c r="E21" s="18" t="inlineStr">
        <is>
          <t>KUEHNE + NAGEL 1.1</t>
        </is>
      </c>
      <c r="F21" s="19" t="inlineStr">
        <is>
          <t>1998-01-13</t>
        </is>
      </c>
      <c r="G21" s="18" t="inlineStr">
        <is>
          <t>OLD</t>
        </is>
      </c>
      <c r="H21" s="19" t="inlineStr">
        <is>
          <t>2023-05-04</t>
        </is>
      </c>
      <c r="I21" s="19" t="inlineStr"/>
      <c r="J21" s="18" t="inlineStr">
        <is>
          <t>Lái xe nâng</t>
        </is>
      </c>
      <c r="K21" s="18" t="inlineStr">
        <is>
          <t>Nhân viên</t>
        </is>
      </c>
      <c r="L21" s="18" t="inlineStr">
        <is>
          <t>Nhân viên</t>
        </is>
      </c>
      <c r="M21" s="18" t="inlineStr"/>
      <c r="N21" s="18" t="inlineStr">
        <is>
          <t>LC1</t>
        </is>
      </c>
      <c r="O21" s="18" t="inlineStr">
        <is>
          <t>M-GROSS</t>
        </is>
      </c>
      <c r="P21" s="18" t="inlineStr">
        <is>
          <t>LT</t>
        </is>
      </c>
      <c r="Q21" s="18" t="inlineStr">
        <is>
          <t>1</t>
        </is>
      </c>
      <c r="R21" s="20" t="n">
        <v>0</v>
      </c>
      <c r="S21" s="20" t="n">
        <v>7000000</v>
      </c>
      <c r="T21" s="20" t="n">
        <v>7000000</v>
      </c>
      <c r="U21" s="20" t="n">
        <v>30000</v>
      </c>
      <c r="V21" s="20" t="n">
        <v>500000</v>
      </c>
      <c r="W21" s="20" t="n">
        <v>500000</v>
      </c>
      <c r="X21" s="18" t="n">
        <v>0</v>
      </c>
      <c r="Y21" s="18" t="n">
        <v>0</v>
      </c>
      <c r="Z21" s="20" t="n">
        <v>0</v>
      </c>
      <c r="AA21" s="18" t="inlineStr">
        <is>
          <t>PHAM XUAN CHI</t>
        </is>
      </c>
      <c r="AB21" s="18" t="inlineStr">
        <is>
          <t>21610000991823</t>
        </is>
      </c>
      <c r="AC21" s="18" t="inlineStr">
        <is>
          <t>Ngân hàng Thương mại Cổ phần Đầu tư và Phát triển Việt Nam</t>
        </is>
      </c>
      <c r="AD21" s="18" t="inlineStr">
        <is>
          <t>BIDV</t>
        </is>
      </c>
      <c r="AE21" s="18" t="inlineStr"/>
      <c r="AF21" s="18" t="inlineStr">
        <is>
          <t>031098003397</t>
        </is>
      </c>
      <c r="AG21" s="18" t="inlineStr">
        <is>
          <t>30.0%</t>
        </is>
      </c>
      <c r="AH21" s="18" t="inlineStr">
        <is>
          <t>157552-01-1778/K11174/010623</t>
        </is>
      </c>
      <c r="AI21" s="18" t="inlineStr">
        <is>
          <t>Hợp đồng lao động Xác định thời hạn</t>
        </is>
      </c>
      <c r="AJ21" s="18" t="inlineStr">
        <is>
          <t>2024-06-20</t>
        </is>
      </c>
    </row>
    <row r="22">
      <c r="A22" s="18" t="inlineStr">
        <is>
          <t>158199</t>
        </is>
      </c>
      <c r="B22" s="18" t="inlineStr">
        <is>
          <t>Nguyễn Văn Phương</t>
        </is>
      </c>
      <c r="C22" s="18" t="inlineStr">
        <is>
          <t>158199-01</t>
        </is>
      </c>
      <c r="D22" s="18" t="inlineStr">
        <is>
          <t>1778</t>
        </is>
      </c>
      <c r="E22" s="18" t="inlineStr">
        <is>
          <t>KUEHNE + NAGEL 1.1</t>
        </is>
      </c>
      <c r="F22" s="19" t="inlineStr">
        <is>
          <t>2000-08-10</t>
        </is>
      </c>
      <c r="G22" s="18" t="inlineStr">
        <is>
          <t>OFF</t>
        </is>
      </c>
      <c r="H22" s="19" t="inlineStr">
        <is>
          <t>2023-04-06</t>
        </is>
      </c>
      <c r="I22" s="19" t="inlineStr">
        <is>
          <t>2023-08-21</t>
        </is>
      </c>
      <c r="J22" s="18" t="inlineStr">
        <is>
          <t>Lái xe nâng</t>
        </is>
      </c>
      <c r="K22" s="18" t="inlineStr">
        <is>
          <t>Công nhân</t>
        </is>
      </c>
      <c r="L22" s="18" t="inlineStr">
        <is>
          <t>Công nhân</t>
        </is>
      </c>
      <c r="M22" s="18" t="inlineStr"/>
      <c r="N22" s="18" t="inlineStr">
        <is>
          <t>LC1</t>
        </is>
      </c>
      <c r="O22" s="18" t="inlineStr">
        <is>
          <t>M-GROSS</t>
        </is>
      </c>
      <c r="P22" s="18" t="inlineStr">
        <is>
          <t>LT</t>
        </is>
      </c>
      <c r="Q22" s="18" t="inlineStr">
        <is>
          <t>1</t>
        </is>
      </c>
      <c r="R22" s="20" t="n">
        <v>0</v>
      </c>
      <c r="S22" s="20" t="n">
        <v>7000000</v>
      </c>
      <c r="T22" s="20" t="n">
        <v>7000000</v>
      </c>
      <c r="U22" s="20" t="n">
        <v>30000</v>
      </c>
      <c r="V22" s="20" t="n">
        <v>500000</v>
      </c>
      <c r="W22" s="20" t="n">
        <v>500000</v>
      </c>
      <c r="X22" s="18" t="n">
        <v>0</v>
      </c>
      <c r="Y22" s="18" t="n">
        <v>0</v>
      </c>
      <c r="Z22" s="20" t="n">
        <v>0</v>
      </c>
      <c r="AA22" s="18" t="inlineStr">
        <is>
          <t>NGUYEN VAN PHUONG</t>
        </is>
      </c>
      <c r="AB22" s="18" t="inlineStr">
        <is>
          <t>21610000777661</t>
        </is>
      </c>
      <c r="AC22" s="18" t="inlineStr">
        <is>
          <t>Ngân hàng Thương mại Cổ phần Đầu tư và Phát triển Việt Nam</t>
        </is>
      </c>
      <c r="AD22" s="18" t="inlineStr">
        <is>
          <t>BIDV</t>
        </is>
      </c>
      <c r="AE22" s="18" t="inlineStr"/>
      <c r="AF22" s="18" t="inlineStr">
        <is>
          <t>031200005737</t>
        </is>
      </c>
      <c r="AG22" s="18" t="inlineStr">
        <is>
          <t>66.66666666666667%</t>
        </is>
      </c>
      <c r="AH22" s="18" t="inlineStr">
        <is>
          <t>158199-01-1778/K11174/010623</t>
        </is>
      </c>
      <c r="AI22" s="18" t="inlineStr">
        <is>
          <t>Hợp đồng lao động Xác định thời hạn</t>
        </is>
      </c>
      <c r="AJ22" s="18" t="inlineStr">
        <is>
          <t>2024-06-20</t>
        </is>
      </c>
    </row>
    <row r="23">
      <c r="A23" s="18" t="inlineStr">
        <is>
          <t>158356</t>
        </is>
      </c>
      <c r="B23" s="18" t="inlineStr">
        <is>
          <t>Trần Tiến Bang</t>
        </is>
      </c>
      <c r="C23" s="18" t="inlineStr">
        <is>
          <t>158356-01</t>
        </is>
      </c>
      <c r="D23" s="18" t="inlineStr">
        <is>
          <t>1778</t>
        </is>
      </c>
      <c r="E23" s="18" t="inlineStr">
        <is>
          <t>KUEHNE + NAGEL 1.1</t>
        </is>
      </c>
      <c r="F23" s="19" t="inlineStr">
        <is>
          <t>1999-07-19</t>
        </is>
      </c>
      <c r="G23" s="18" t="inlineStr">
        <is>
          <t>OLD</t>
        </is>
      </c>
      <c r="H23" s="19" t="inlineStr">
        <is>
          <t>2023-04-21</t>
        </is>
      </c>
      <c r="I23" s="19" t="inlineStr"/>
      <c r="J23" s="18" t="inlineStr">
        <is>
          <t>Bốc xếp hàng hóa</t>
        </is>
      </c>
      <c r="K23" s="18" t="inlineStr">
        <is>
          <t>Nhân viên</t>
        </is>
      </c>
      <c r="L23" s="18" t="inlineStr">
        <is>
          <t>Nhân viên</t>
        </is>
      </c>
      <c r="M23" s="18" t="inlineStr"/>
      <c r="N23" s="18" t="inlineStr">
        <is>
          <t>LC1</t>
        </is>
      </c>
      <c r="O23" s="18" t="inlineStr">
        <is>
          <t>M-GROSS</t>
        </is>
      </c>
      <c r="P23" s="18" t="inlineStr">
        <is>
          <t>LT</t>
        </is>
      </c>
      <c r="Q23" s="18" t="inlineStr">
        <is>
          <t>1</t>
        </is>
      </c>
      <c r="R23" s="20" t="n">
        <v>0</v>
      </c>
      <c r="S23" s="20" t="n">
        <v>6500000</v>
      </c>
      <c r="T23" s="20" t="n">
        <v>6500000</v>
      </c>
      <c r="U23" s="20" t="n">
        <v>30000</v>
      </c>
      <c r="V23" s="20" t="n">
        <v>500000</v>
      </c>
      <c r="W23" s="20" t="n">
        <v>500000</v>
      </c>
      <c r="X23" s="18" t="n">
        <v>0</v>
      </c>
      <c r="Y23" s="18" t="n">
        <v>0</v>
      </c>
      <c r="Z23" s="20" t="n">
        <v>0</v>
      </c>
      <c r="AA23" s="18" t="inlineStr">
        <is>
          <t>TRAN TIEN BANG</t>
        </is>
      </c>
      <c r="AB23" s="18" t="inlineStr">
        <is>
          <t>0868561907</t>
        </is>
      </c>
      <c r="AC23" s="18" t="inlineStr">
        <is>
          <t>Ngân hàng Thương mại Cổ phần Quân đội</t>
        </is>
      </c>
      <c r="AD23" s="18" t="inlineStr">
        <is>
          <t>MB BANK</t>
        </is>
      </c>
      <c r="AE23" s="18" t="inlineStr"/>
      <c r="AF23" s="18" t="inlineStr">
        <is>
          <t>031099000119</t>
        </is>
      </c>
      <c r="AG23" s="18" t="inlineStr">
        <is>
          <t>55.55555555555556%</t>
        </is>
      </c>
      <c r="AH23" s="18" t="inlineStr">
        <is>
          <t>158356-01-1778/K11174/010623</t>
        </is>
      </c>
      <c r="AI23" s="18" t="inlineStr">
        <is>
          <t>Hợp đồng lao động Xác định thời hạn</t>
        </is>
      </c>
      <c r="AJ23" s="18" t="inlineStr">
        <is>
          <t>2024-06-20</t>
        </is>
      </c>
    </row>
    <row r="24">
      <c r="A24" s="18" t="inlineStr">
        <is>
          <t>158466</t>
        </is>
      </c>
      <c r="B24" s="18" t="inlineStr">
        <is>
          <t>Đinh Mạnh Tùng</t>
        </is>
      </c>
      <c r="C24" s="18" t="inlineStr">
        <is>
          <t>158466-01</t>
        </is>
      </c>
      <c r="D24" s="18" t="inlineStr">
        <is>
          <t>1778</t>
        </is>
      </c>
      <c r="E24" s="18" t="inlineStr">
        <is>
          <t>KUEHNE + NAGEL 1.1</t>
        </is>
      </c>
      <c r="F24" s="19" t="inlineStr">
        <is>
          <t>1995-07-11</t>
        </is>
      </c>
      <c r="G24" s="18" t="inlineStr">
        <is>
          <t>OLD</t>
        </is>
      </c>
      <c r="H24" s="19" t="inlineStr">
        <is>
          <t>2023-04-24</t>
        </is>
      </c>
      <c r="I24" s="19" t="inlineStr"/>
      <c r="J24" s="18" t="inlineStr"/>
      <c r="K24" s="18" t="inlineStr">
        <is>
          <t>Nhân viên</t>
        </is>
      </c>
      <c r="L24" s="18" t="inlineStr">
        <is>
          <t>Nhân viên</t>
        </is>
      </c>
      <c r="M24" s="18" t="inlineStr"/>
      <c r="N24" s="18" t="inlineStr">
        <is>
          <t>LC1</t>
        </is>
      </c>
      <c r="O24" s="18" t="inlineStr">
        <is>
          <t>M-GROSS</t>
        </is>
      </c>
      <c r="P24" s="18" t="inlineStr">
        <is>
          <t>LT</t>
        </is>
      </c>
      <c r="Q24" s="18" t="inlineStr">
        <is>
          <t>1</t>
        </is>
      </c>
      <c r="R24" s="20" t="n">
        <v>0</v>
      </c>
      <c r="S24" s="20" t="n">
        <v>7000000</v>
      </c>
      <c r="T24" s="20" t="n">
        <v>7000000</v>
      </c>
      <c r="U24" s="20" t="n">
        <v>30000</v>
      </c>
      <c r="V24" s="20" t="n">
        <v>500000</v>
      </c>
      <c r="W24" s="20" t="n">
        <v>500000</v>
      </c>
      <c r="X24" s="18" t="n">
        <v>0</v>
      </c>
      <c r="Y24" s="18" t="n">
        <v>0</v>
      </c>
      <c r="Z24" s="20" t="n">
        <v>0</v>
      </c>
      <c r="AA24" s="18" t="inlineStr">
        <is>
          <t>DINH MANH TUNG</t>
        </is>
      </c>
      <c r="AB24" s="18" t="inlineStr">
        <is>
          <t>1026172691</t>
        </is>
      </c>
      <c r="AC24" s="18" t="inlineStr">
        <is>
          <t>Ngân hàng Thương mại Cổ phần Ngoại thương Việt Nam</t>
        </is>
      </c>
      <c r="AD24" s="18" t="inlineStr">
        <is>
          <t>VCB</t>
        </is>
      </c>
      <c r="AE24" s="18" t="inlineStr"/>
      <c r="AF24" s="18" t="inlineStr">
        <is>
          <t>031095004664</t>
        </is>
      </c>
      <c r="AG24" s="18" t="inlineStr">
        <is>
          <t>66.66666666666667%</t>
        </is>
      </c>
      <c r="AH24" s="18" t="inlineStr">
        <is>
          <t>158466-01-1778/K11174/010623</t>
        </is>
      </c>
      <c r="AI24" s="18" t="inlineStr">
        <is>
          <t>Hợp đồng lao động Xác định thời hạn</t>
        </is>
      </c>
      <c r="AJ24" s="18" t="inlineStr">
        <is>
          <t>2024-06-20</t>
        </is>
      </c>
    </row>
    <row r="25">
      <c r="A25" s="18" t="inlineStr">
        <is>
          <t>158465</t>
        </is>
      </c>
      <c r="B25" s="18" t="inlineStr">
        <is>
          <t>Nguyễn Văn Cường</t>
        </is>
      </c>
      <c r="C25" s="18" t="inlineStr">
        <is>
          <t>158465-01</t>
        </is>
      </c>
      <c r="D25" s="18" t="inlineStr">
        <is>
          <t>1778</t>
        </is>
      </c>
      <c r="E25" s="18" t="inlineStr">
        <is>
          <t>KUEHNE + NAGEL 1.1</t>
        </is>
      </c>
      <c r="F25" s="19" t="inlineStr">
        <is>
          <t>1980-02-12</t>
        </is>
      </c>
      <c r="G25" s="18" t="inlineStr">
        <is>
          <t>OLD</t>
        </is>
      </c>
      <c r="H25" s="19" t="inlineStr">
        <is>
          <t>2023-05-04</t>
        </is>
      </c>
      <c r="I25" s="19" t="inlineStr"/>
      <c r="J25" s="18" t="inlineStr">
        <is>
          <t>Lái xe nâng</t>
        </is>
      </c>
      <c r="K25" s="18" t="inlineStr">
        <is>
          <t>Nhân viên</t>
        </is>
      </c>
      <c r="L25" s="18" t="inlineStr">
        <is>
          <t>Nhân viên</t>
        </is>
      </c>
      <c r="M25" s="18" t="inlineStr"/>
      <c r="N25" s="18" t="inlineStr">
        <is>
          <t>LC1</t>
        </is>
      </c>
      <c r="O25" s="18" t="inlineStr">
        <is>
          <t>M-GROSS</t>
        </is>
      </c>
      <c r="P25" s="18" t="inlineStr">
        <is>
          <t>LT</t>
        </is>
      </c>
      <c r="Q25" s="18" t="inlineStr">
        <is>
          <t>1</t>
        </is>
      </c>
      <c r="R25" s="20" t="n">
        <v>0</v>
      </c>
      <c r="S25" s="20" t="n">
        <v>7000000</v>
      </c>
      <c r="T25" s="20" t="n">
        <v>7000000</v>
      </c>
      <c r="U25" s="20" t="n">
        <v>30000</v>
      </c>
      <c r="V25" s="20" t="n">
        <v>500000</v>
      </c>
      <c r="W25" s="20" t="n">
        <v>500000</v>
      </c>
      <c r="X25" s="18" t="n">
        <v>0</v>
      </c>
      <c r="Y25" s="18" t="n">
        <v>0</v>
      </c>
      <c r="Z25" s="20" t="n">
        <v>0</v>
      </c>
      <c r="AA25" s="18" t="inlineStr">
        <is>
          <t>NGUYEN VAN CUONG</t>
        </is>
      </c>
      <c r="AB25" s="18" t="inlineStr">
        <is>
          <t>03897821901</t>
        </is>
      </c>
      <c r="AC25" s="18" t="inlineStr">
        <is>
          <t>Ngân hàng Thương mại Cổ phần Tiên Phong</t>
        </is>
      </c>
      <c r="AD25" s="18" t="inlineStr">
        <is>
          <t>TP BANK</t>
        </is>
      </c>
      <c r="AE25" s="18" t="inlineStr"/>
      <c r="AF25" s="18" t="inlineStr">
        <is>
          <t>031080006371</t>
        </is>
      </c>
      <c r="AG25" s="18" t="inlineStr">
        <is>
          <t>90.0%</t>
        </is>
      </c>
      <c r="AH25" s="18" t="inlineStr">
        <is>
          <t>158465-01-1778/K11174/010623</t>
        </is>
      </c>
      <c r="AI25" s="18" t="inlineStr">
        <is>
          <t>Hợp đồng lao động Xác định thời hạn</t>
        </is>
      </c>
      <c r="AJ25" s="18" t="inlineStr">
        <is>
          <t>2024-06-20</t>
        </is>
      </c>
    </row>
    <row r="26">
      <c r="A26" s="18" t="inlineStr">
        <is>
          <t>157315</t>
        </is>
      </c>
      <c r="B26" s="18" t="inlineStr">
        <is>
          <t>Phan Văn Trang</t>
        </is>
      </c>
      <c r="C26" s="18" t="inlineStr">
        <is>
          <t>157315-01</t>
        </is>
      </c>
      <c r="D26" s="18" t="inlineStr">
        <is>
          <t>1778</t>
        </is>
      </c>
      <c r="E26" s="18" t="inlineStr">
        <is>
          <t>KUEHNE + NAGEL 1.1</t>
        </is>
      </c>
      <c r="F26" s="19" t="inlineStr">
        <is>
          <t>1998-08-17</t>
        </is>
      </c>
      <c r="G26" s="18" t="inlineStr">
        <is>
          <t>OLD</t>
        </is>
      </c>
      <c r="H26" s="19" t="inlineStr">
        <is>
          <t>2023-02-22</t>
        </is>
      </c>
      <c r="I26" s="19" t="inlineStr"/>
      <c r="J26" s="18" t="inlineStr">
        <is>
          <t>Lái xe nâng</t>
        </is>
      </c>
      <c r="K26" s="18" t="inlineStr">
        <is>
          <t>Công nhân</t>
        </is>
      </c>
      <c r="L26" s="18" t="inlineStr">
        <is>
          <t>Công nhân</t>
        </is>
      </c>
      <c r="M26" s="18" t="inlineStr"/>
      <c r="N26" s="18" t="inlineStr">
        <is>
          <t>LC1</t>
        </is>
      </c>
      <c r="O26" s="18" t="inlineStr">
        <is>
          <t>M-GROSS</t>
        </is>
      </c>
      <c r="P26" s="18" t="inlineStr"/>
      <c r="Q26" s="18" t="inlineStr">
        <is>
          <t>1</t>
        </is>
      </c>
      <c r="R26" s="20" t="n">
        <v>0</v>
      </c>
      <c r="S26" s="20" t="n">
        <v>7000000</v>
      </c>
      <c r="T26" s="20" t="n">
        <v>7000000</v>
      </c>
      <c r="U26" s="20" t="n">
        <v>30000</v>
      </c>
      <c r="V26" s="20" t="n">
        <v>500000</v>
      </c>
      <c r="W26" s="20" t="n">
        <v>500000</v>
      </c>
      <c r="X26" s="18" t="n">
        <v>0</v>
      </c>
      <c r="Y26" s="18" t="n">
        <v>0</v>
      </c>
      <c r="Z26" s="20" t="n">
        <v>0</v>
      </c>
      <c r="AA26" s="18" t="inlineStr">
        <is>
          <t>PHAN VAN TRANG</t>
        </is>
      </c>
      <c r="AB26" s="18" t="inlineStr">
        <is>
          <t>1018063138</t>
        </is>
      </c>
      <c r="AC26" s="18" t="inlineStr">
        <is>
          <t>Ngân hàng Thương mại Cổ phần Ngoại thương Việt Nam</t>
        </is>
      </c>
      <c r="AD26" s="18" t="inlineStr">
        <is>
          <t>VCB</t>
        </is>
      </c>
      <c r="AE26" s="18" t="inlineStr"/>
      <c r="AF26" s="18" t="inlineStr">
        <is>
          <t>031098005019</t>
        </is>
      </c>
      <c r="AG26" s="18" t="inlineStr">
        <is>
          <t>77.77777777777777%</t>
        </is>
      </c>
      <c r="AH26" s="18" t="inlineStr">
        <is>
          <t>157315-01-1778/K11174/220523</t>
        </is>
      </c>
      <c r="AI26" s="18" t="inlineStr">
        <is>
          <t>Hợp đồng lao động Xác định thời hạn</t>
        </is>
      </c>
      <c r="AJ26" s="18" t="inlineStr">
        <is>
          <t>2024-05-20</t>
        </is>
      </c>
    </row>
    <row r="27">
      <c r="A27" s="18" t="inlineStr">
        <is>
          <t>157751</t>
        </is>
      </c>
      <c r="B27" s="18" t="inlineStr">
        <is>
          <t>Vũ Văn Cương</t>
        </is>
      </c>
      <c r="C27" s="18" t="inlineStr">
        <is>
          <t>157751-01</t>
        </is>
      </c>
      <c r="D27" s="18" t="inlineStr">
        <is>
          <t>1778</t>
        </is>
      </c>
      <c r="E27" s="18" t="inlineStr">
        <is>
          <t>KUEHNE + NAGEL 1.1</t>
        </is>
      </c>
      <c r="F27" s="19" t="inlineStr">
        <is>
          <t>1992-07-10</t>
        </is>
      </c>
      <c r="G27" s="18" t="inlineStr">
        <is>
          <t>OLD</t>
        </is>
      </c>
      <c r="H27" s="19" t="inlineStr">
        <is>
          <t>2023-03-21</t>
        </is>
      </c>
      <c r="I27" s="19" t="inlineStr"/>
      <c r="J27" s="18" t="inlineStr">
        <is>
          <t>Bốc xếp hàng hóa</t>
        </is>
      </c>
      <c r="K27" s="18" t="inlineStr">
        <is>
          <t>Nhân viên</t>
        </is>
      </c>
      <c r="L27" s="18" t="inlineStr">
        <is>
          <t>Nhân viên</t>
        </is>
      </c>
      <c r="M27" s="18" t="inlineStr"/>
      <c r="N27" s="18" t="inlineStr">
        <is>
          <t>LC1</t>
        </is>
      </c>
      <c r="O27" s="18" t="inlineStr">
        <is>
          <t>M-GROSS</t>
        </is>
      </c>
      <c r="P27" s="18" t="inlineStr"/>
      <c r="Q27" s="18" t="inlineStr">
        <is>
          <t>1</t>
        </is>
      </c>
      <c r="R27" s="20" t="n">
        <v>0</v>
      </c>
      <c r="S27" s="20" t="n">
        <v>7000000</v>
      </c>
      <c r="T27" s="20" t="n">
        <v>7000000</v>
      </c>
      <c r="U27" s="20" t="n">
        <v>30000</v>
      </c>
      <c r="V27" s="20" t="n">
        <v>500000</v>
      </c>
      <c r="W27" s="20" t="n">
        <v>500000</v>
      </c>
      <c r="X27" s="18" t="n">
        <v>0</v>
      </c>
      <c r="Y27" s="18" t="n">
        <v>0</v>
      </c>
      <c r="Z27" s="20" t="n">
        <v>0</v>
      </c>
      <c r="AA27" s="18" t="inlineStr">
        <is>
          <t>VU VAN CUONG</t>
        </is>
      </c>
      <c r="AB27" s="18" t="inlineStr">
        <is>
          <t xml:space="preserve"> 109870499017</t>
        </is>
      </c>
      <c r="AC27" s="18" t="inlineStr">
        <is>
          <t>Ngân hàng Thương mại Cổ phần Công thương Việt Nam</t>
        </is>
      </c>
      <c r="AD27" s="18" t="inlineStr">
        <is>
          <t>VIETINBANK</t>
        </is>
      </c>
      <c r="AE27" s="18" t="inlineStr"/>
      <c r="AF27" s="18" t="inlineStr">
        <is>
          <t>031092018266</t>
        </is>
      </c>
      <c r="AG27" s="18" t="inlineStr">
        <is>
          <t>66.66666666666667%</t>
        </is>
      </c>
      <c r="AH27" s="18" t="inlineStr">
        <is>
          <t>157751-01-1778/K11174/010623</t>
        </is>
      </c>
      <c r="AI27" s="18" t="inlineStr">
        <is>
          <t>Hợp đồng lao động Xác định thời hạn</t>
        </is>
      </c>
      <c r="AJ27" s="18" t="inlineStr">
        <is>
          <t>2024-06-20</t>
        </is>
      </c>
    </row>
    <row r="28">
      <c r="A28" s="18" t="inlineStr">
        <is>
          <t>158041</t>
        </is>
      </c>
      <c r="B28" s="18" t="inlineStr">
        <is>
          <t>Phạm Duy Anh</t>
        </is>
      </c>
      <c r="C28" s="18" t="inlineStr">
        <is>
          <t>158041-01</t>
        </is>
      </c>
      <c r="D28" s="18" t="inlineStr">
        <is>
          <t>1778</t>
        </is>
      </c>
      <c r="E28" s="18" t="inlineStr">
        <is>
          <t>KUEHNE + NAGEL 1.1</t>
        </is>
      </c>
      <c r="F28" s="19" t="inlineStr">
        <is>
          <t>1990-06-19</t>
        </is>
      </c>
      <c r="G28" s="18" t="inlineStr">
        <is>
          <t>OLD</t>
        </is>
      </c>
      <c r="H28" s="19" t="inlineStr">
        <is>
          <t>2023-04-01</t>
        </is>
      </c>
      <c r="I28" s="19" t="inlineStr"/>
      <c r="J28" s="18" t="inlineStr">
        <is>
          <t>Lái xe nâng</t>
        </is>
      </c>
      <c r="K28" s="18" t="inlineStr">
        <is>
          <t>Công nhân</t>
        </is>
      </c>
      <c r="L28" s="18" t="inlineStr">
        <is>
          <t>Công nhân</t>
        </is>
      </c>
      <c r="M28" s="18" t="inlineStr"/>
      <c r="N28" s="18" t="inlineStr">
        <is>
          <t>LC1</t>
        </is>
      </c>
      <c r="O28" s="18" t="inlineStr">
        <is>
          <t>M-GROSS</t>
        </is>
      </c>
      <c r="P28" s="18" t="inlineStr">
        <is>
          <t>LT</t>
        </is>
      </c>
      <c r="Q28" s="18" t="inlineStr">
        <is>
          <t>1</t>
        </is>
      </c>
      <c r="R28" s="20" t="n">
        <v>0</v>
      </c>
      <c r="S28" s="20" t="n">
        <v>7000000</v>
      </c>
      <c r="T28" s="20" t="n">
        <v>7000000</v>
      </c>
      <c r="U28" s="20" t="n">
        <v>30000</v>
      </c>
      <c r="V28" s="20" t="n">
        <v>500000</v>
      </c>
      <c r="W28" s="20" t="n">
        <v>500000</v>
      </c>
      <c r="X28" s="18" t="n">
        <v>0</v>
      </c>
      <c r="Y28" s="18" t="n">
        <v>0</v>
      </c>
      <c r="Z28" s="20" t="n">
        <v>0</v>
      </c>
      <c r="AA28" s="18" t="inlineStr">
        <is>
          <t>PHAM DUY ANH</t>
        </is>
      </c>
      <c r="AB28" s="18" t="inlineStr">
        <is>
          <t>19038125878014</t>
        </is>
      </c>
      <c r="AC28" s="18" t="inlineStr">
        <is>
          <t>Ngân hàng Thương mại Cổ phần Kỹ thương Việt Nam</t>
        </is>
      </c>
      <c r="AD28" s="18" t="inlineStr">
        <is>
          <t>TCB</t>
        </is>
      </c>
      <c r="AE28" s="18" t="inlineStr"/>
      <c r="AF28" s="18" t="inlineStr">
        <is>
          <t>031090012253</t>
        </is>
      </c>
      <c r="AG28" s="18" t="inlineStr">
        <is>
          <t>77.77777777777777%</t>
        </is>
      </c>
      <c r="AH28" s="18" t="inlineStr">
        <is>
          <t>158041-01-1778/K11174/010623</t>
        </is>
      </c>
      <c r="AI28" s="18" t="inlineStr">
        <is>
          <t>Hợp đồng lao động Xác định thời hạn</t>
        </is>
      </c>
      <c r="AJ28" s="18" t="inlineStr">
        <is>
          <t>2024-06-20</t>
        </is>
      </c>
    </row>
    <row r="29">
      <c r="A29" s="18" t="inlineStr">
        <is>
          <t>158357</t>
        </is>
      </c>
      <c r="B29" s="18" t="inlineStr">
        <is>
          <t>Đặng Văn Duân</t>
        </is>
      </c>
      <c r="C29" s="18" t="inlineStr">
        <is>
          <t>158357-01</t>
        </is>
      </c>
      <c r="D29" s="18" t="inlineStr">
        <is>
          <t>1778</t>
        </is>
      </c>
      <c r="E29" s="18" t="inlineStr">
        <is>
          <t>KUEHNE + NAGEL 1.1</t>
        </is>
      </c>
      <c r="F29" s="19" t="inlineStr">
        <is>
          <t>2001-07-11</t>
        </is>
      </c>
      <c r="G29" s="18" t="inlineStr">
        <is>
          <t>OLD</t>
        </is>
      </c>
      <c r="H29" s="19" t="inlineStr">
        <is>
          <t>2023-04-21</t>
        </is>
      </c>
      <c r="I29" s="19" t="inlineStr"/>
      <c r="J29" s="18" t="inlineStr">
        <is>
          <t>Bốc xếp hàng hóa</t>
        </is>
      </c>
      <c r="K29" s="18" t="inlineStr">
        <is>
          <t>Nhân viên</t>
        </is>
      </c>
      <c r="L29" s="18" t="inlineStr">
        <is>
          <t>Nhân viên</t>
        </is>
      </c>
      <c r="M29" s="18" t="inlineStr"/>
      <c r="N29" s="18" t="inlineStr">
        <is>
          <t>LC1</t>
        </is>
      </c>
      <c r="O29" s="18" t="inlineStr">
        <is>
          <t>M-GROSS</t>
        </is>
      </c>
      <c r="P29" s="18" t="inlineStr">
        <is>
          <t>LT</t>
        </is>
      </c>
      <c r="Q29" s="18" t="inlineStr">
        <is>
          <t>1</t>
        </is>
      </c>
      <c r="R29" s="20" t="n">
        <v>0</v>
      </c>
      <c r="S29" s="20" t="n">
        <v>6500000</v>
      </c>
      <c r="T29" s="20" t="n">
        <v>6500000</v>
      </c>
      <c r="U29" s="20" t="n">
        <v>30000</v>
      </c>
      <c r="V29" s="20" t="n">
        <v>500000</v>
      </c>
      <c r="W29" s="20" t="n">
        <v>500000</v>
      </c>
      <c r="X29" s="18" t="n">
        <v>0</v>
      </c>
      <c r="Y29" s="18" t="n">
        <v>0</v>
      </c>
      <c r="Z29" s="20" t="n">
        <v>0</v>
      </c>
      <c r="AA29" s="18" t="inlineStr">
        <is>
          <t>DANG VAN DUAN</t>
        </is>
      </c>
      <c r="AB29" s="18" t="inlineStr">
        <is>
          <t>110720016789</t>
        </is>
      </c>
      <c r="AC29" s="18" t="inlineStr">
        <is>
          <t>Ngân hàng Thương mại Cổ phần Quân đội</t>
        </is>
      </c>
      <c r="AD29" s="18" t="inlineStr">
        <is>
          <t>MB BANK</t>
        </is>
      </c>
      <c r="AE29" s="18" t="inlineStr"/>
      <c r="AF29" s="18" t="inlineStr">
        <is>
          <t>034201007429</t>
        </is>
      </c>
      <c r="AG29" s="18" t="inlineStr">
        <is>
          <t>55.55555555555556%</t>
        </is>
      </c>
      <c r="AH29" s="18" t="inlineStr">
        <is>
          <t>158357-01-1778/K11174/010623</t>
        </is>
      </c>
      <c r="AI29" s="18" t="inlineStr">
        <is>
          <t>Hợp đồng lao động Xác định thời hạn</t>
        </is>
      </c>
      <c r="AJ29" s="18" t="inlineStr">
        <is>
          <t>2024-06-20</t>
        </is>
      </c>
    </row>
    <row r="30">
      <c r="A30" s="18" t="inlineStr">
        <is>
          <t>158700</t>
        </is>
      </c>
      <c r="B30" s="18" t="inlineStr">
        <is>
          <t>Nguyễn Hoa Đăng</t>
        </is>
      </c>
      <c r="C30" s="18" t="inlineStr">
        <is>
          <t>158700-01</t>
        </is>
      </c>
      <c r="D30" s="18" t="inlineStr">
        <is>
          <t>1778</t>
        </is>
      </c>
      <c r="E30" s="18" t="inlineStr">
        <is>
          <t>KUEHNE + NAGEL 1.1</t>
        </is>
      </c>
      <c r="F30" s="19" t="inlineStr">
        <is>
          <t>2005-01-14</t>
        </is>
      </c>
      <c r="G30" s="18" t="inlineStr">
        <is>
          <t>OLD</t>
        </is>
      </c>
      <c r="H30" s="19" t="inlineStr">
        <is>
          <t>2023-05-04</t>
        </is>
      </c>
      <c r="I30" s="19" t="inlineStr"/>
      <c r="J30" s="18" t="inlineStr">
        <is>
          <t>Bốc xếp hàng hóa</t>
        </is>
      </c>
      <c r="K30" s="18" t="inlineStr">
        <is>
          <t>Nhân viên</t>
        </is>
      </c>
      <c r="L30" s="18" t="inlineStr">
        <is>
          <t>Nhân viên</t>
        </is>
      </c>
      <c r="M30" s="18" t="inlineStr"/>
      <c r="N30" s="18" t="inlineStr">
        <is>
          <t>LC1</t>
        </is>
      </c>
      <c r="O30" s="18" t="inlineStr">
        <is>
          <t>M-GROSS</t>
        </is>
      </c>
      <c r="P30" s="18" t="inlineStr">
        <is>
          <t>LT</t>
        </is>
      </c>
      <c r="Q30" s="18" t="inlineStr">
        <is>
          <t>1</t>
        </is>
      </c>
      <c r="R30" s="20" t="n">
        <v>0</v>
      </c>
      <c r="S30" s="20" t="n">
        <v>6500000</v>
      </c>
      <c r="T30" s="20" t="n">
        <v>6500000</v>
      </c>
      <c r="U30" s="20" t="n">
        <v>30000</v>
      </c>
      <c r="V30" s="20" t="n">
        <v>500000</v>
      </c>
      <c r="W30" s="20" t="n">
        <v>500000</v>
      </c>
      <c r="X30" s="18" t="n">
        <v>0</v>
      </c>
      <c r="Y30" s="18" t="n">
        <v>0</v>
      </c>
      <c r="Z30" s="20" t="n">
        <v>0</v>
      </c>
      <c r="AA30" s="18" t="inlineStr">
        <is>
          <t>NGUYEN HOA DANG</t>
        </is>
      </c>
      <c r="AB30" s="18" t="inlineStr">
        <is>
          <t>9912558099</t>
        </is>
      </c>
      <c r="AC30" s="18" t="inlineStr">
        <is>
          <t>Ngân hàng Thương mại Cổ phần Ngoại thương Việt Nam</t>
        </is>
      </c>
      <c r="AD30" s="18" t="inlineStr">
        <is>
          <t>VCB</t>
        </is>
      </c>
      <c r="AE30" s="18" t="inlineStr"/>
      <c r="AF30" s="18" t="inlineStr">
        <is>
          <t>031205007562</t>
        </is>
      </c>
      <c r="AG30" s="18" t="inlineStr">
        <is>
          <t>11.11111111111111%</t>
        </is>
      </c>
      <c r="AH30" s="18" t="inlineStr">
        <is>
          <t>158700-01-1778/K11174/010623</t>
        </is>
      </c>
      <c r="AI30" s="18" t="inlineStr">
        <is>
          <t>Hợp đồng lao động Xác định thời hạn</t>
        </is>
      </c>
      <c r="AJ30" s="18" t="inlineStr">
        <is>
          <t>2024-06-20</t>
        </is>
      </c>
    </row>
    <row r="31">
      <c r="A31" s="18" t="inlineStr">
        <is>
          <t>158198</t>
        </is>
      </c>
      <c r="B31" s="18" t="inlineStr">
        <is>
          <t>Phạm Lăng Thắng</t>
        </is>
      </c>
      <c r="C31" s="18" t="inlineStr">
        <is>
          <t>158198-01</t>
        </is>
      </c>
      <c r="D31" s="18" t="inlineStr">
        <is>
          <t>1778</t>
        </is>
      </c>
      <c r="E31" s="18" t="inlineStr">
        <is>
          <t>KUEHNE + NAGEL 1.1</t>
        </is>
      </c>
      <c r="F31" s="19" t="inlineStr">
        <is>
          <t>1980-08-30</t>
        </is>
      </c>
      <c r="G31" s="18" t="inlineStr">
        <is>
          <t>OLD</t>
        </is>
      </c>
      <c r="H31" s="19" t="inlineStr">
        <is>
          <t>2023-04-15</t>
        </is>
      </c>
      <c r="I31" s="19" t="inlineStr"/>
      <c r="J31" s="18" t="inlineStr">
        <is>
          <t>Bốc xếp hàng hóa</t>
        </is>
      </c>
      <c r="K31" s="18" t="inlineStr">
        <is>
          <t>Công nhân</t>
        </is>
      </c>
      <c r="L31" s="18" t="inlineStr">
        <is>
          <t>Công nhân</t>
        </is>
      </c>
      <c r="M31" s="18" t="inlineStr"/>
      <c r="N31" s="18" t="inlineStr">
        <is>
          <t>LC1</t>
        </is>
      </c>
      <c r="O31" s="18" t="inlineStr">
        <is>
          <t>M-GROSS</t>
        </is>
      </c>
      <c r="P31" s="18" t="inlineStr">
        <is>
          <t>LT</t>
        </is>
      </c>
      <c r="Q31" s="18" t="inlineStr">
        <is>
          <t>1</t>
        </is>
      </c>
      <c r="R31" s="20" t="n">
        <v>0</v>
      </c>
      <c r="S31" s="20" t="n">
        <v>6500000</v>
      </c>
      <c r="T31" s="20" t="n">
        <v>6500000</v>
      </c>
      <c r="U31" s="20" t="n">
        <v>30000</v>
      </c>
      <c r="V31" s="20" t="n">
        <v>500000</v>
      </c>
      <c r="W31" s="20" t="n">
        <v>500000</v>
      </c>
      <c r="X31" s="18" t="n">
        <v>0</v>
      </c>
      <c r="Y31" s="18" t="n">
        <v>0</v>
      </c>
      <c r="Z31" s="20" t="n">
        <v>0</v>
      </c>
      <c r="AA31" s="18" t="inlineStr">
        <is>
          <t>PHAM LANG THANG</t>
        </is>
      </c>
      <c r="AB31" s="18" t="inlineStr">
        <is>
          <t>19039194822035</t>
        </is>
      </c>
      <c r="AC31" s="18" t="inlineStr">
        <is>
          <t>Ngân hàng Thương mại Cổ phần Kỹ thương Việt Nam</t>
        </is>
      </c>
      <c r="AD31" s="18" t="inlineStr">
        <is>
          <t>TCB</t>
        </is>
      </c>
      <c r="AE31" s="18" t="inlineStr"/>
      <c r="AF31" s="18" t="inlineStr">
        <is>
          <t>031080021584</t>
        </is>
      </c>
      <c r="AG31" s="18" t="inlineStr">
        <is>
          <t>55.55555555555556%</t>
        </is>
      </c>
      <c r="AH31" s="18" t="inlineStr">
        <is>
          <t>158198-01-1778/K11174/010623</t>
        </is>
      </c>
      <c r="AI31" s="18" t="inlineStr">
        <is>
          <t>Hợp đồng lao động Xác định thời hạn</t>
        </is>
      </c>
      <c r="AJ31" s="18" t="inlineStr">
        <is>
          <t>2024-06-20</t>
        </is>
      </c>
    </row>
    <row r="32">
      <c r="A32" s="18" t="inlineStr">
        <is>
          <t>158780</t>
        </is>
      </c>
      <c r="B32" s="18" t="inlineStr">
        <is>
          <t>Đỗ Việt Hải</t>
        </is>
      </c>
      <c r="C32" s="18" t="inlineStr">
        <is>
          <t>158780-01</t>
        </is>
      </c>
      <c r="D32" s="18" t="inlineStr">
        <is>
          <t>1778</t>
        </is>
      </c>
      <c r="E32" s="18" t="inlineStr">
        <is>
          <t>KUEHNE + NAGEL 1.1</t>
        </is>
      </c>
      <c r="F32" s="19" t="inlineStr">
        <is>
          <t>1987-09-10</t>
        </is>
      </c>
      <c r="G32" s="18" t="inlineStr">
        <is>
          <t>OFF</t>
        </is>
      </c>
      <c r="H32" s="19" t="inlineStr">
        <is>
          <t>2023-05-22</t>
        </is>
      </c>
      <c r="I32" s="19" t="inlineStr">
        <is>
          <t>2023-08-01</t>
        </is>
      </c>
      <c r="J32" s="18" t="inlineStr">
        <is>
          <t>Bốc xếp hàng hóa</t>
        </is>
      </c>
      <c r="K32" s="18" t="inlineStr">
        <is>
          <t>Nhân viên</t>
        </is>
      </c>
      <c r="L32" s="18" t="inlineStr">
        <is>
          <t>Nhân viên</t>
        </is>
      </c>
      <c r="M32" s="18" t="inlineStr"/>
      <c r="N32" s="18" t="inlineStr">
        <is>
          <t>LC1</t>
        </is>
      </c>
      <c r="O32" s="18" t="inlineStr">
        <is>
          <t>M-GROSS</t>
        </is>
      </c>
      <c r="P32" s="18" t="inlineStr">
        <is>
          <t>LT</t>
        </is>
      </c>
      <c r="Q32" s="18" t="inlineStr">
        <is>
          <t>1</t>
        </is>
      </c>
      <c r="R32" s="20" t="n">
        <v>0</v>
      </c>
      <c r="S32" s="20" t="n">
        <v>6500000</v>
      </c>
      <c r="T32" s="20" t="n">
        <v>6500000</v>
      </c>
      <c r="U32" s="20" t="n">
        <v>30000</v>
      </c>
      <c r="V32" s="20" t="n">
        <v>500000</v>
      </c>
      <c r="W32" s="20" t="n">
        <v>500000</v>
      </c>
      <c r="X32" s="18" t="n">
        <v>0</v>
      </c>
      <c r="Y32" s="18" t="n">
        <v>0</v>
      </c>
      <c r="Z32" s="20" t="n">
        <v>0</v>
      </c>
      <c r="AA32" s="18" t="inlineStr">
        <is>
          <t>DO VIET HAI</t>
        </is>
      </c>
      <c r="AB32" s="18" t="inlineStr">
        <is>
          <t>265130704</t>
        </is>
      </c>
      <c r="AC32" s="18" t="inlineStr">
        <is>
          <t>Ngân hàng Thương mại Cổ phần Việt Nam Thịnh Vượng</t>
        </is>
      </c>
      <c r="AD32" s="18" t="inlineStr">
        <is>
          <t>VPBANK</t>
        </is>
      </c>
      <c r="AE32" s="18" t="inlineStr"/>
      <c r="AF32" s="18" t="inlineStr">
        <is>
          <t>031087001711</t>
        </is>
      </c>
      <c r="AG32" s="18" t="inlineStr">
        <is>
          <t>11.11111111111111%</t>
        </is>
      </c>
      <c r="AH32" s="18" t="inlineStr">
        <is>
          <t>158780-01-1778/K11174/220523/HĐHV</t>
        </is>
      </c>
      <c r="AI32" s="18" t="inlineStr">
        <is>
          <t>Hợp đồng lao động Xác định thời hạn</t>
        </is>
      </c>
      <c r="AJ32" s="18" t="inlineStr">
        <is>
          <t>2024-06-20</t>
        </is>
      </c>
    </row>
    <row r="33">
      <c r="A33" s="18" t="inlineStr">
        <is>
          <t>157750</t>
        </is>
      </c>
      <c r="B33" s="18" t="inlineStr">
        <is>
          <t>Đặng Bảo Sơn</t>
        </is>
      </c>
      <c r="C33" s="18" t="inlineStr">
        <is>
          <t>157750-01</t>
        </is>
      </c>
      <c r="D33" s="18" t="inlineStr">
        <is>
          <t>1778</t>
        </is>
      </c>
      <c r="E33" s="18" t="inlineStr">
        <is>
          <t>KUEHNE + NAGEL 1.1</t>
        </is>
      </c>
      <c r="F33" s="19" t="inlineStr">
        <is>
          <t>1996-02-09</t>
        </is>
      </c>
      <c r="G33" s="18" t="inlineStr">
        <is>
          <t>OLD</t>
        </is>
      </c>
      <c r="H33" s="19" t="inlineStr">
        <is>
          <t>2023-03-21</t>
        </is>
      </c>
      <c r="I33" s="19" t="inlineStr"/>
      <c r="J33" s="18" t="inlineStr">
        <is>
          <t>Bốc xếp hàng hóa</t>
        </is>
      </c>
      <c r="K33" s="18" t="inlineStr">
        <is>
          <t>Nhân viên</t>
        </is>
      </c>
      <c r="L33" s="18" t="inlineStr">
        <is>
          <t>Nhân viên</t>
        </is>
      </c>
      <c r="M33" s="18" t="inlineStr"/>
      <c r="N33" s="18" t="inlineStr">
        <is>
          <t>LC1</t>
        </is>
      </c>
      <c r="O33" s="18" t="inlineStr">
        <is>
          <t>M-GROSS</t>
        </is>
      </c>
      <c r="P33" s="18" t="inlineStr">
        <is>
          <t>LT</t>
        </is>
      </c>
      <c r="Q33" s="18" t="inlineStr">
        <is>
          <t>1</t>
        </is>
      </c>
      <c r="R33" s="20" t="n">
        <v>0</v>
      </c>
      <c r="S33" s="20" t="n">
        <v>7000000</v>
      </c>
      <c r="T33" s="20" t="n">
        <v>7000000</v>
      </c>
      <c r="U33" s="20" t="n">
        <v>30000</v>
      </c>
      <c r="V33" s="20" t="n">
        <v>500000</v>
      </c>
      <c r="W33" s="20" t="n">
        <v>500000</v>
      </c>
      <c r="X33" s="18" t="n">
        <v>0</v>
      </c>
      <c r="Y33" s="18" t="n">
        <v>0</v>
      </c>
      <c r="Z33" s="20" t="n">
        <v>0</v>
      </c>
      <c r="AA33" s="18" t="inlineStr">
        <is>
          <t>DANG BAO SON</t>
        </is>
      </c>
      <c r="AB33" s="18" t="inlineStr">
        <is>
          <t>109000679134</t>
        </is>
      </c>
      <c r="AC33" s="18" t="inlineStr">
        <is>
          <t>Ngân hàng Thương mại Cổ phần Đại Chúng Việt Nam</t>
        </is>
      </c>
      <c r="AD33" s="18" t="inlineStr">
        <is>
          <t>PVCOMBANK</t>
        </is>
      </c>
      <c r="AE33" s="18" t="inlineStr"/>
      <c r="AF33" s="18" t="inlineStr">
        <is>
          <t>031096000688</t>
        </is>
      </c>
      <c r="AG33" s="18" t="inlineStr">
        <is>
          <t>66.66666666666667%</t>
        </is>
      </c>
      <c r="AH33" s="18" t="inlineStr">
        <is>
          <t>157750-01-1778/K11174/010623</t>
        </is>
      </c>
      <c r="AI33" s="18" t="inlineStr">
        <is>
          <t>Hợp đồng lao động Xác định thời hạn</t>
        </is>
      </c>
      <c r="AJ33" s="18" t="inlineStr">
        <is>
          <t>2024-06-20</t>
        </is>
      </c>
    </row>
    <row r="34">
      <c r="A34" s="18" t="inlineStr">
        <is>
          <t>159078</t>
        </is>
      </c>
      <c r="B34" s="18" t="inlineStr">
        <is>
          <t>Nguyễn Huy An</t>
        </is>
      </c>
      <c r="C34" s="18" t="inlineStr">
        <is>
          <t>159078-01</t>
        </is>
      </c>
      <c r="D34" s="18" t="inlineStr">
        <is>
          <t>1778</t>
        </is>
      </c>
      <c r="E34" s="18" t="inlineStr">
        <is>
          <t>KUEHNE + NAGEL 1.1</t>
        </is>
      </c>
      <c r="F34" s="19" t="inlineStr">
        <is>
          <t>2004-02-14</t>
        </is>
      </c>
      <c r="G34" s="18" t="inlineStr">
        <is>
          <t>OLD</t>
        </is>
      </c>
      <c r="H34" s="19" t="inlineStr">
        <is>
          <t>2023-05-29</t>
        </is>
      </c>
      <c r="I34" s="19" t="inlineStr"/>
      <c r="J34" s="18" t="inlineStr">
        <is>
          <t>Bốc xếp hàng hóa</t>
        </is>
      </c>
      <c r="K34" s="18" t="inlineStr">
        <is>
          <t>Nhân viên</t>
        </is>
      </c>
      <c r="L34" s="18" t="inlineStr">
        <is>
          <t>Nhân viên</t>
        </is>
      </c>
      <c r="M34" s="18" t="inlineStr"/>
      <c r="N34" s="18" t="inlineStr">
        <is>
          <t>LC1</t>
        </is>
      </c>
      <c r="O34" s="18" t="inlineStr">
        <is>
          <t>M-GROSS</t>
        </is>
      </c>
      <c r="P34" s="18" t="inlineStr">
        <is>
          <t>LT</t>
        </is>
      </c>
      <c r="Q34" s="18" t="inlineStr">
        <is>
          <t>1</t>
        </is>
      </c>
      <c r="R34" s="20" t="n">
        <v>0</v>
      </c>
      <c r="S34" s="20" t="n">
        <v>6500000</v>
      </c>
      <c r="T34" s="20" t="n">
        <v>6500000</v>
      </c>
      <c r="U34" s="20" t="n">
        <v>30000</v>
      </c>
      <c r="V34" s="20" t="n">
        <v>500000</v>
      </c>
      <c r="W34" s="20" t="n">
        <v>500000</v>
      </c>
      <c r="X34" s="18" t="n">
        <v>0</v>
      </c>
      <c r="Y34" s="18" t="n">
        <v>0</v>
      </c>
      <c r="Z34" s="20" t="n">
        <v>0</v>
      </c>
      <c r="AA34" s="18" t="inlineStr">
        <is>
          <t>NGUYEN HUY AN</t>
        </is>
      </c>
      <c r="AB34" s="18" t="inlineStr">
        <is>
          <t>3999914022004</t>
        </is>
      </c>
      <c r="AC34" s="18" t="inlineStr">
        <is>
          <t>Ngân hàng Thương mại Cổ phần Quân đội</t>
        </is>
      </c>
      <c r="AD34" s="18" t="inlineStr">
        <is>
          <t>MB BANK</t>
        </is>
      </c>
      <c r="AE34" s="18" t="inlineStr"/>
      <c r="AF34" s="18" t="inlineStr">
        <is>
          <t>031204004778</t>
        </is>
      </c>
      <c r="AG34" s="18" t="inlineStr">
        <is>
          <t>11.11111111111111%</t>
        </is>
      </c>
      <c r="AH34" s="18" t="inlineStr">
        <is>
          <t>159078-01-1778/K11174/290523/HĐHV</t>
        </is>
      </c>
      <c r="AI34" s="18" t="inlineStr">
        <is>
          <t>Hợp đồng lao động Xác định thời hạn</t>
        </is>
      </c>
      <c r="AJ34" s="18" t="inlineStr">
        <is>
          <t>2024-06-20</t>
        </is>
      </c>
    </row>
    <row r="35">
      <c r="A35" s="18" t="inlineStr">
        <is>
          <t>157508</t>
        </is>
      </c>
      <c r="B35" s="18" t="inlineStr">
        <is>
          <t>Nguyễn Công Minh</t>
        </is>
      </c>
      <c r="C35" s="18" t="inlineStr">
        <is>
          <t>157508-01</t>
        </is>
      </c>
      <c r="D35" s="18" t="inlineStr">
        <is>
          <t>1778</t>
        </is>
      </c>
      <c r="E35" s="18" t="inlineStr">
        <is>
          <t>KUEHNE + NAGEL 1.1</t>
        </is>
      </c>
      <c r="F35" s="19" t="inlineStr">
        <is>
          <t>1997-09-02</t>
        </is>
      </c>
      <c r="G35" s="18" t="inlineStr">
        <is>
          <t>OFF</t>
        </is>
      </c>
      <c r="H35" s="19" t="inlineStr">
        <is>
          <t>2023-03-08</t>
        </is>
      </c>
      <c r="I35" s="19" t="inlineStr">
        <is>
          <t>2023-08-03</t>
        </is>
      </c>
      <c r="J35" s="18" t="inlineStr">
        <is>
          <t>Bốc xếp hàng hóa</t>
        </is>
      </c>
      <c r="K35" s="18" t="inlineStr">
        <is>
          <t>Nhân viên</t>
        </is>
      </c>
      <c r="L35" s="18" t="inlineStr">
        <is>
          <t>Nhân viên</t>
        </is>
      </c>
      <c r="M35" s="18" t="inlineStr"/>
      <c r="N35" s="18" t="inlineStr">
        <is>
          <t>LC1</t>
        </is>
      </c>
      <c r="O35" s="18" t="inlineStr">
        <is>
          <t>M-GROSS</t>
        </is>
      </c>
      <c r="P35" s="18" t="inlineStr">
        <is>
          <t>LT</t>
        </is>
      </c>
      <c r="Q35" s="18" t="inlineStr">
        <is>
          <t>1</t>
        </is>
      </c>
      <c r="R35" s="20" t="n">
        <v>0</v>
      </c>
      <c r="S35" s="20" t="n">
        <v>7000000</v>
      </c>
      <c r="T35" s="20" t="n">
        <v>7000000</v>
      </c>
      <c r="U35" s="20" t="n">
        <v>30000</v>
      </c>
      <c r="V35" s="20" t="n">
        <v>500000</v>
      </c>
      <c r="W35" s="20" t="n">
        <v>500000</v>
      </c>
      <c r="X35" s="18" t="n">
        <v>0</v>
      </c>
      <c r="Y35" s="18" t="n">
        <v>0</v>
      </c>
      <c r="Z35" s="20" t="n">
        <v>0</v>
      </c>
      <c r="AA35" s="18" t="inlineStr">
        <is>
          <t>NGUYEN CONG MINH</t>
        </is>
      </c>
      <c r="AB35" s="18" t="inlineStr">
        <is>
          <t>1021308990</t>
        </is>
      </c>
      <c r="AC35" s="18" t="inlineStr">
        <is>
          <t>Ngân hàng Thương mại Cổ phần Ngoại thương Việt Nam</t>
        </is>
      </c>
      <c r="AD35" s="18" t="inlineStr">
        <is>
          <t>VCB</t>
        </is>
      </c>
      <c r="AE35" s="18" t="inlineStr"/>
      <c r="AF35" s="18" t="inlineStr">
        <is>
          <t>031097007655</t>
        </is>
      </c>
      <c r="AG35" s="18" t="inlineStr">
        <is>
          <t>77.77777777777777%</t>
        </is>
      </c>
      <c r="AH35" s="18" t="inlineStr">
        <is>
          <t>157508-01-1778/K11174/080623</t>
        </is>
      </c>
      <c r="AI35" s="18" t="inlineStr">
        <is>
          <t>Hợp đồng lao động Xác định thời hạn</t>
        </is>
      </c>
      <c r="AJ35" s="18" t="inlineStr">
        <is>
          <t>2024-06-20</t>
        </is>
      </c>
    </row>
    <row r="36">
      <c r="A36" s="18" t="inlineStr">
        <is>
          <t>157012</t>
        </is>
      </c>
      <c r="B36" s="18" t="inlineStr">
        <is>
          <t>Nguyễn Quỳnh Như</t>
        </is>
      </c>
      <c r="C36" s="18" t="inlineStr">
        <is>
          <t>157012-01</t>
        </is>
      </c>
      <c r="D36" s="18" t="inlineStr">
        <is>
          <t>1778</t>
        </is>
      </c>
      <c r="E36" s="18" t="inlineStr">
        <is>
          <t>KUEHNE + NAGEL 1.1</t>
        </is>
      </c>
      <c r="F36" s="19" t="inlineStr">
        <is>
          <t>2000-02-27</t>
        </is>
      </c>
      <c r="G36" s="18" t="inlineStr">
        <is>
          <t>OFF</t>
        </is>
      </c>
      <c r="H36" s="19" t="inlineStr">
        <is>
          <t>2022-03-01</t>
        </is>
      </c>
      <c r="I36" s="19" t="inlineStr">
        <is>
          <t>2023-07-09</t>
        </is>
      </c>
      <c r="J36" s="18" t="inlineStr"/>
      <c r="K36" s="18" t="inlineStr">
        <is>
          <t>Nhân viên</t>
        </is>
      </c>
      <c r="L36" s="18" t="inlineStr">
        <is>
          <t>Nhân viên</t>
        </is>
      </c>
      <c r="M36" s="18" t="inlineStr"/>
      <c r="N36" s="18" t="inlineStr">
        <is>
          <t>LC1</t>
        </is>
      </c>
      <c r="O36" s="18" t="inlineStr">
        <is>
          <t>M-GROSS</t>
        </is>
      </c>
      <c r="P36" s="18" t="inlineStr">
        <is>
          <t>LT</t>
        </is>
      </c>
      <c r="Q36" s="18" t="inlineStr">
        <is>
          <t>0</t>
        </is>
      </c>
      <c r="R36" s="20" t="n">
        <v>0</v>
      </c>
      <c r="S36" s="20" t="n">
        <v>9000000</v>
      </c>
      <c r="T36" s="20" t="n">
        <v>9000000</v>
      </c>
      <c r="U36" s="20" t="n">
        <v>30000</v>
      </c>
      <c r="V36" s="20" t="n">
        <v>500000</v>
      </c>
      <c r="W36" s="20" t="n">
        <v>500000</v>
      </c>
      <c r="X36" s="18" t="n">
        <v>0</v>
      </c>
      <c r="Y36" s="18" t="n">
        <v>0</v>
      </c>
      <c r="Z36" s="20" t="n">
        <v>0</v>
      </c>
      <c r="AA36" s="18" t="inlineStr">
        <is>
          <t>NGUYEN QUYNH NHU</t>
        </is>
      </c>
      <c r="AB36" s="18" t="inlineStr">
        <is>
          <t>1031000009115</t>
        </is>
      </c>
      <c r="AC36" s="18" t="inlineStr">
        <is>
          <t>Ngân hàng Thương mại Cổ phần Ngoại thương Việt Nam</t>
        </is>
      </c>
      <c r="AD36" s="18" t="inlineStr">
        <is>
          <t>VCB</t>
        </is>
      </c>
      <c r="AE36" s="18" t="inlineStr"/>
      <c r="AF36" s="18" t="inlineStr">
        <is>
          <t>031300010686</t>
        </is>
      </c>
      <c r="AG36" s="18" t="inlineStr">
        <is>
          <t>55.55555555555556%</t>
        </is>
      </c>
      <c r="AH36" s="18" t="inlineStr">
        <is>
          <t>157012-01-1778/K11174/300423</t>
        </is>
      </c>
      <c r="AI36" s="18" t="inlineStr">
        <is>
          <t>Hợp đồng lao động Xác định thời hạn</t>
        </is>
      </c>
      <c r="AJ36" s="18" t="inlineStr">
        <is>
          <t>2024-05-20</t>
        </is>
      </c>
    </row>
    <row r="37">
      <c r="A37" s="18" t="inlineStr">
        <is>
          <t>157552</t>
        </is>
      </c>
      <c r="B37" s="18" t="inlineStr">
        <is>
          <t>Phạm Xuân Chí</t>
        </is>
      </c>
      <c r="C37" s="18" t="inlineStr">
        <is>
          <t>157552-01</t>
        </is>
      </c>
      <c r="D37" s="18" t="inlineStr">
        <is>
          <t>1778</t>
        </is>
      </c>
      <c r="E37" s="18" t="inlineStr">
        <is>
          <t>KUEHNE + NAGEL 1.1</t>
        </is>
      </c>
      <c r="F37" s="19" t="inlineStr">
        <is>
          <t>1998-01-13</t>
        </is>
      </c>
      <c r="G37" s="18" t="inlineStr">
        <is>
          <t>OLD</t>
        </is>
      </c>
      <c r="H37" s="19" t="inlineStr">
        <is>
          <t>2023-03-08</t>
        </is>
      </c>
      <c r="I37" s="19" t="inlineStr"/>
      <c r="J37" s="18" t="inlineStr">
        <is>
          <t>Lái xe nâng</t>
        </is>
      </c>
      <c r="K37" s="18" t="inlineStr">
        <is>
          <t>Công nhân</t>
        </is>
      </c>
      <c r="L37" s="18" t="inlineStr">
        <is>
          <t>Công nhân</t>
        </is>
      </c>
      <c r="M37" s="18" t="inlineStr"/>
      <c r="N37" s="18" t="inlineStr">
        <is>
          <t>LC12</t>
        </is>
      </c>
      <c r="O37" s="18" t="inlineStr">
        <is>
          <t>M-GROSS</t>
        </is>
      </c>
      <c r="P37" s="18" t="inlineStr">
        <is>
          <t>LT</t>
        </is>
      </c>
      <c r="Q37" s="18" t="inlineStr">
        <is>
          <t>0</t>
        </is>
      </c>
      <c r="R37" s="20" t="n">
        <v>0</v>
      </c>
      <c r="S37" s="20" t="n">
        <v>7000000</v>
      </c>
      <c r="T37" s="20" t="n">
        <v>0</v>
      </c>
      <c r="U37" s="20" t="n">
        <v>780000</v>
      </c>
      <c r="V37" s="20" t="n">
        <v>500000</v>
      </c>
      <c r="W37" s="20" t="n">
        <v>500000</v>
      </c>
      <c r="X37" s="18" t="n">
        <v>0</v>
      </c>
      <c r="Y37" s="18" t="n">
        <v>0</v>
      </c>
      <c r="Z37" s="20" t="n">
        <v>0</v>
      </c>
      <c r="AA37" s="18" t="inlineStr">
        <is>
          <t>PHAM XUAN CHI</t>
        </is>
      </c>
      <c r="AB37" s="18" t="inlineStr">
        <is>
          <t>21610000991823</t>
        </is>
      </c>
      <c r="AC37" s="18" t="inlineStr">
        <is>
          <t>Ngân hàng Thương mại Cổ phần Đầu tư và Phát triển Việt Nam</t>
        </is>
      </c>
      <c r="AD37" s="18" t="inlineStr">
        <is>
          <t>BIDV</t>
        </is>
      </c>
      <c r="AE37" s="18" t="inlineStr"/>
      <c r="AF37" s="18" t="inlineStr">
        <is>
          <t>031098003397</t>
        </is>
      </c>
      <c r="AG37" s="18" t="inlineStr">
        <is>
          <t>0%</t>
        </is>
      </c>
      <c r="AH37" s="18" t="inlineStr">
        <is>
          <t>157552-01-1778/K11174/080323/HĐHV</t>
        </is>
      </c>
      <c r="AI37" s="18" t="inlineStr">
        <is>
          <t>Hợp Đồng Đào Tạo Tập Nghề</t>
        </is>
      </c>
      <c r="AJ37" s="18" t="inlineStr">
        <is>
          <t>2023-06-08</t>
        </is>
      </c>
    </row>
    <row r="38">
      <c r="A38" s="18" t="inlineStr">
        <is>
          <t>157312</t>
        </is>
      </c>
      <c r="B38" s="18" t="inlineStr">
        <is>
          <t>Đoàn Thành Đạt</t>
        </is>
      </c>
      <c r="C38" s="18" t="inlineStr">
        <is>
          <t>157312-01</t>
        </is>
      </c>
      <c r="D38" s="18" t="inlineStr">
        <is>
          <t>1778</t>
        </is>
      </c>
      <c r="E38" s="18" t="inlineStr">
        <is>
          <t>KUEHNE + NAGEL 1.1</t>
        </is>
      </c>
      <c r="F38" s="19" t="inlineStr">
        <is>
          <t>1997-02-02</t>
        </is>
      </c>
      <c r="G38" s="18" t="inlineStr">
        <is>
          <t>OLD</t>
        </is>
      </c>
      <c r="H38" s="19" t="inlineStr">
        <is>
          <t>2023-03-01</t>
        </is>
      </c>
      <c r="I38" s="19" t="inlineStr"/>
      <c r="J38" s="18" t="inlineStr">
        <is>
          <t>Xử lý dữ liệu</t>
        </is>
      </c>
      <c r="K38" s="18" t="inlineStr">
        <is>
          <t>Nhân viên</t>
        </is>
      </c>
      <c r="L38" s="18" t="inlineStr">
        <is>
          <t>Nhân viên</t>
        </is>
      </c>
      <c r="M38" s="18" t="inlineStr"/>
      <c r="N38" s="18" t="inlineStr">
        <is>
          <t>LC1</t>
        </is>
      </c>
      <c r="O38" s="18" t="inlineStr">
        <is>
          <t>M-GROSS</t>
        </is>
      </c>
      <c r="P38" s="18" t="inlineStr">
        <is>
          <t>LT</t>
        </is>
      </c>
      <c r="Q38" s="18" t="inlineStr">
        <is>
          <t>1</t>
        </is>
      </c>
      <c r="R38" s="20" t="n">
        <v>0</v>
      </c>
      <c r="S38" s="20" t="n">
        <v>10000000</v>
      </c>
      <c r="T38" s="20" t="n">
        <v>10000000</v>
      </c>
      <c r="U38" s="20" t="n">
        <v>30000</v>
      </c>
      <c r="V38" s="20" t="n">
        <v>500000</v>
      </c>
      <c r="W38" s="20" t="n">
        <v>500000</v>
      </c>
      <c r="X38" s="18" t="n">
        <v>0</v>
      </c>
      <c r="Y38" s="18" t="n">
        <v>0</v>
      </c>
      <c r="Z38" s="20" t="n">
        <v>0</v>
      </c>
      <c r="AA38" s="18" t="inlineStr">
        <is>
          <t>DOAN THANH DAT</t>
        </is>
      </c>
      <c r="AB38" s="18" t="inlineStr">
        <is>
          <t>19033403237015</t>
        </is>
      </c>
      <c r="AC38" s="18" t="inlineStr">
        <is>
          <t>Ngân hàng Thương mại Cổ phần Kỹ thương Việt Nam</t>
        </is>
      </c>
      <c r="AD38" s="18" t="inlineStr">
        <is>
          <t>TCB</t>
        </is>
      </c>
      <c r="AE38" s="18" t="inlineStr"/>
      <c r="AF38" s="18" t="inlineStr">
        <is>
          <t>031097005898</t>
        </is>
      </c>
      <c r="AG38" s="18" t="inlineStr">
        <is>
          <t>77.77777777777777%</t>
        </is>
      </c>
      <c r="AH38" s="18" t="inlineStr">
        <is>
          <t>157312-01-1778/K11174/300423</t>
        </is>
      </c>
      <c r="AI38" s="18" t="inlineStr">
        <is>
          <t>Hợp đồng lao động Xác định thời hạn</t>
        </is>
      </c>
      <c r="AJ38" s="18" t="inlineStr">
        <is>
          <t>2024-05-20</t>
        </is>
      </c>
    </row>
    <row r="39">
      <c r="A39" s="18" t="inlineStr">
        <is>
          <t>157169</t>
        </is>
      </c>
      <c r="B39" s="18" t="inlineStr">
        <is>
          <t>Phạm Thành Hiếu</t>
        </is>
      </c>
      <c r="C39" s="18" t="inlineStr">
        <is>
          <t>157169-01</t>
        </is>
      </c>
      <c r="D39" s="18" t="inlineStr">
        <is>
          <t>1778</t>
        </is>
      </c>
      <c r="E39" s="18" t="inlineStr">
        <is>
          <t>KUEHNE + NAGEL 1.1</t>
        </is>
      </c>
      <c r="F39" s="19" t="inlineStr">
        <is>
          <t>1986-08-01</t>
        </is>
      </c>
      <c r="G39" s="18" t="inlineStr">
        <is>
          <t>OLD</t>
        </is>
      </c>
      <c r="H39" s="19" t="inlineStr">
        <is>
          <t>2023-02-21</t>
        </is>
      </c>
      <c r="I39" s="19" t="inlineStr"/>
      <c r="J39" s="18" t="inlineStr">
        <is>
          <t>Bốc xếp hàng hóa</t>
        </is>
      </c>
      <c r="K39" s="18" t="inlineStr">
        <is>
          <t>Công nhân</t>
        </is>
      </c>
      <c r="L39" s="18" t="inlineStr">
        <is>
          <t>Công nhân</t>
        </is>
      </c>
      <c r="M39" s="18" t="inlineStr"/>
      <c r="N39" s="18" t="inlineStr">
        <is>
          <t>LC12</t>
        </is>
      </c>
      <c r="O39" s="18" t="inlineStr">
        <is>
          <t>M-GROSS</t>
        </is>
      </c>
      <c r="P39" s="18" t="inlineStr"/>
      <c r="Q39" s="18" t="inlineStr">
        <is>
          <t>0</t>
        </is>
      </c>
      <c r="R39" s="20" t="n">
        <v>0</v>
      </c>
      <c r="S39" s="20" t="n">
        <v>6500000</v>
      </c>
      <c r="T39" s="20" t="n">
        <v>0</v>
      </c>
      <c r="U39" s="20" t="n">
        <v>30000</v>
      </c>
      <c r="V39" s="20" t="n">
        <v>500000</v>
      </c>
      <c r="W39" s="20" t="n">
        <v>500000</v>
      </c>
      <c r="X39" s="18" t="n">
        <v>0</v>
      </c>
      <c r="Y39" s="18" t="n">
        <v>0</v>
      </c>
      <c r="Z39" s="20" t="n">
        <v>0</v>
      </c>
      <c r="AA39" s="18" t="inlineStr">
        <is>
          <t>PHAM THANH HIEU</t>
        </is>
      </c>
      <c r="AB39" s="18" t="inlineStr">
        <is>
          <t>1031000001342</t>
        </is>
      </c>
      <c r="AC39" s="18" t="inlineStr">
        <is>
          <t>Ngân hàng Thương mại Cổ phần Ngoại thương Việt Nam</t>
        </is>
      </c>
      <c r="AD39" s="18" t="inlineStr">
        <is>
          <t>VCB</t>
        </is>
      </c>
      <c r="AE39" s="18" t="inlineStr"/>
      <c r="AF39" s="18" t="inlineStr">
        <is>
          <t>031086005952</t>
        </is>
      </c>
      <c r="AG39" s="18" t="inlineStr">
        <is>
          <t>55.55555555555556%</t>
        </is>
      </c>
      <c r="AH39" s="18" t="inlineStr">
        <is>
          <t>157169-02-1778/K11174/210523/HĐHV</t>
        </is>
      </c>
      <c r="AI39" s="18" t="inlineStr">
        <is>
          <t>Hợp Đồng Đào Tạo Tập Nghề</t>
        </is>
      </c>
      <c r="AJ39" s="18" t="inlineStr">
        <is>
          <t>2023-08-20</t>
        </is>
      </c>
    </row>
    <row r="40">
      <c r="A40" s="18" t="inlineStr">
        <is>
          <t>158605</t>
        </is>
      </c>
      <c r="B40" s="18" t="inlineStr">
        <is>
          <t>Hoàng Tuấn Tài</t>
        </is>
      </c>
      <c r="C40" s="18" t="inlineStr">
        <is>
          <t>158605-01</t>
        </is>
      </c>
      <c r="D40" s="18" t="inlineStr">
        <is>
          <t>1778</t>
        </is>
      </c>
      <c r="E40" s="18" t="inlineStr">
        <is>
          <t>KUEHNE + NAGEL 1.1</t>
        </is>
      </c>
      <c r="F40" s="19" t="inlineStr">
        <is>
          <t>1993-08-09</t>
        </is>
      </c>
      <c r="G40" s="18" t="inlineStr">
        <is>
          <t>OFF</t>
        </is>
      </c>
      <c r="H40" s="19" t="inlineStr">
        <is>
          <t>2023-05-04</t>
        </is>
      </c>
      <c r="I40" s="19" t="inlineStr">
        <is>
          <t>2023-05-08</t>
        </is>
      </c>
      <c r="J40" s="18" t="inlineStr">
        <is>
          <t>Bốc xếp hàng hóa</t>
        </is>
      </c>
      <c r="K40" s="18" t="inlineStr">
        <is>
          <t>Nhân viên</t>
        </is>
      </c>
      <c r="L40" s="18" t="inlineStr">
        <is>
          <t>Nhân viên</t>
        </is>
      </c>
      <c r="M40" s="18" t="inlineStr"/>
      <c r="N40" s="18" t="inlineStr">
        <is>
          <t>LC12</t>
        </is>
      </c>
      <c r="O40" s="18" t="inlineStr">
        <is>
          <t>M-GROSS</t>
        </is>
      </c>
      <c r="P40" s="18" t="inlineStr">
        <is>
          <t>LT</t>
        </is>
      </c>
      <c r="Q40" s="18" t="inlineStr">
        <is>
          <t>0</t>
        </is>
      </c>
      <c r="R40" s="20" t="n">
        <v>0</v>
      </c>
      <c r="S40" s="20" t="n">
        <v>6500000</v>
      </c>
      <c r="T40" s="20" t="n">
        <v>0</v>
      </c>
      <c r="U40" s="18" t="n">
        <v>0</v>
      </c>
      <c r="V40" s="18" t="n">
        <v>0</v>
      </c>
      <c r="W40" s="18" t="n">
        <v>0</v>
      </c>
      <c r="X40" s="18" t="n">
        <v>0</v>
      </c>
      <c r="Y40" s="18" t="n">
        <v>0</v>
      </c>
      <c r="Z40" s="20" t="n">
        <v>0</v>
      </c>
      <c r="AA40" s="18" t="inlineStr"/>
      <c r="AB40" s="18" t="inlineStr"/>
      <c r="AC40" s="18" t="inlineStr"/>
      <c r="AD40" s="18" t="inlineStr"/>
      <c r="AE40" s="18" t="inlineStr"/>
      <c r="AF40" s="18" t="inlineStr">
        <is>
          <t>031093006419</t>
        </is>
      </c>
      <c r="AG40" s="18" t="inlineStr">
        <is>
          <t>11.11111111111111%</t>
        </is>
      </c>
      <c r="AH40" s="18" t="inlineStr">
        <is>
          <t>158605-01-1778/K11174/040523/HĐHV</t>
        </is>
      </c>
      <c r="AI40" s="18" t="inlineStr">
        <is>
          <t>Hợp Đồng Đào Tạo Tập Nghề</t>
        </is>
      </c>
      <c r="AJ40" s="18" t="inlineStr">
        <is>
          <t>2023-08-04</t>
        </is>
      </c>
    </row>
    <row r="41">
      <c r="A41" s="18" t="inlineStr">
        <is>
          <t>156513</t>
        </is>
      </c>
      <c r="B41" s="18" t="inlineStr">
        <is>
          <t>Nguyễn Thị Diệp Hồng</t>
        </is>
      </c>
      <c r="C41" s="18" t="inlineStr">
        <is>
          <t>156513-02</t>
        </is>
      </c>
      <c r="D41" s="18" t="inlineStr">
        <is>
          <t>1778</t>
        </is>
      </c>
      <c r="E41" s="18" t="inlineStr">
        <is>
          <t>KUEHNE + NAGEL 1.1</t>
        </is>
      </c>
      <c r="F41" s="19" t="inlineStr">
        <is>
          <t>1999-08-08</t>
        </is>
      </c>
      <c r="G41" s="18" t="inlineStr">
        <is>
          <t>OLD</t>
        </is>
      </c>
      <c r="H41" s="19" t="inlineStr">
        <is>
          <t>2023-02-08</t>
        </is>
      </c>
      <c r="I41" s="19" t="inlineStr"/>
      <c r="J41" s="18" t="inlineStr">
        <is>
          <t>Nhập liệu</t>
        </is>
      </c>
      <c r="K41" s="18" t="inlineStr">
        <is>
          <t>Nhân viên</t>
        </is>
      </c>
      <c r="L41" s="18" t="inlineStr">
        <is>
          <t>Nhân viên</t>
        </is>
      </c>
      <c r="M41" s="18" t="inlineStr"/>
      <c r="N41" s="18" t="inlineStr">
        <is>
          <t>LC1</t>
        </is>
      </c>
      <c r="O41" s="18" t="inlineStr">
        <is>
          <t>M-GROSS</t>
        </is>
      </c>
      <c r="P41" s="18" t="inlineStr">
        <is>
          <t>LT</t>
        </is>
      </c>
      <c r="Q41" s="18" t="inlineStr">
        <is>
          <t>1</t>
        </is>
      </c>
      <c r="R41" s="20" t="n">
        <v>0</v>
      </c>
      <c r="S41" s="20" t="n">
        <v>9000000</v>
      </c>
      <c r="T41" s="20" t="n">
        <v>9000000</v>
      </c>
      <c r="U41" s="20" t="n">
        <v>30000</v>
      </c>
      <c r="V41" s="20" t="n">
        <v>500000</v>
      </c>
      <c r="W41" s="20" t="n">
        <v>500000</v>
      </c>
      <c r="X41" s="18" t="n">
        <v>0</v>
      </c>
      <c r="Y41" s="18" t="n">
        <v>0</v>
      </c>
      <c r="Z41" s="20" t="n">
        <v>0</v>
      </c>
      <c r="AA41" s="18" t="inlineStr">
        <is>
          <t>NGUYEN THI DIEP HONG</t>
        </is>
      </c>
      <c r="AB41" s="18" t="inlineStr">
        <is>
          <t>19032275498998</t>
        </is>
      </c>
      <c r="AC41" s="18" t="inlineStr">
        <is>
          <t>Ngân hàng Thương mại Cổ phần Kỹ thương Việt Nam</t>
        </is>
      </c>
      <c r="AD41" s="18" t="inlineStr">
        <is>
          <t>TCB</t>
        </is>
      </c>
      <c r="AE41" s="18" t="inlineStr"/>
      <c r="AF41" s="18" t="inlineStr">
        <is>
          <t>031199006888</t>
        </is>
      </c>
      <c r="AG41" s="18" t="inlineStr">
        <is>
          <t>77.77777777777777%</t>
        </is>
      </c>
      <c r="AH41" s="18" t="inlineStr">
        <is>
          <t>156513-01-1778/K11174/080423</t>
        </is>
      </c>
      <c r="AI41" s="18" t="inlineStr">
        <is>
          <t>Hợp đồng lao động Xác định thời hạn</t>
        </is>
      </c>
      <c r="AJ41" s="18" t="inlineStr">
        <is>
          <t>2024-04-20</t>
        </is>
      </c>
    </row>
    <row r="42">
      <c r="A42" s="18" t="inlineStr">
        <is>
          <t>158028</t>
        </is>
      </c>
      <c r="B42" s="18" t="inlineStr">
        <is>
          <t>Nguyễn Khánh Ninh</t>
        </is>
      </c>
      <c r="C42" s="18" t="inlineStr">
        <is>
          <t>158028-01</t>
        </is>
      </c>
      <c r="D42" s="18" t="inlineStr">
        <is>
          <t>1778</t>
        </is>
      </c>
      <c r="E42" s="18" t="inlineStr">
        <is>
          <t>KUEHNE + NAGEL 1.1</t>
        </is>
      </c>
      <c r="F42" s="19" t="inlineStr">
        <is>
          <t>1987-08-28</t>
        </is>
      </c>
      <c r="G42" s="18" t="inlineStr">
        <is>
          <t>OFF</t>
        </is>
      </c>
      <c r="H42" s="19" t="inlineStr">
        <is>
          <t>2023-03-27</t>
        </is>
      </c>
      <c r="I42" s="19" t="inlineStr">
        <is>
          <t>2023-04-27</t>
        </is>
      </c>
      <c r="J42" s="18" t="inlineStr">
        <is>
          <t>Lái xe nâng</t>
        </is>
      </c>
      <c r="K42" s="18" t="inlineStr">
        <is>
          <t>Công nhân</t>
        </is>
      </c>
      <c r="L42" s="18" t="inlineStr">
        <is>
          <t>Công nhân</t>
        </is>
      </c>
      <c r="M42" s="18" t="inlineStr"/>
      <c r="N42" s="18" t="inlineStr">
        <is>
          <t>LC12</t>
        </is>
      </c>
      <c r="O42" s="18" t="inlineStr">
        <is>
          <t>M-GROSS</t>
        </is>
      </c>
      <c r="P42" s="18" t="inlineStr"/>
      <c r="Q42" s="18" t="inlineStr">
        <is>
          <t>0</t>
        </is>
      </c>
      <c r="R42" s="20" t="n">
        <v>0</v>
      </c>
      <c r="S42" s="20" t="n">
        <v>7000000</v>
      </c>
      <c r="T42" s="20" t="n">
        <v>0</v>
      </c>
      <c r="U42" s="20" t="n">
        <v>30000</v>
      </c>
      <c r="V42" s="20" t="n">
        <v>500000</v>
      </c>
      <c r="W42" s="20" t="n">
        <v>500000</v>
      </c>
      <c r="X42" s="18" t="n">
        <v>0</v>
      </c>
      <c r="Y42" s="18" t="n">
        <v>0</v>
      </c>
      <c r="Z42" s="20" t="n">
        <v>0</v>
      </c>
      <c r="AA42" s="18" t="inlineStr">
        <is>
          <t>NGUYEN KHANH NINH</t>
        </is>
      </c>
      <c r="AB42" s="18" t="inlineStr">
        <is>
          <t>1019675826</t>
        </is>
      </c>
      <c r="AC42" s="18" t="inlineStr">
        <is>
          <t>Ngân hàng Thương mại Cổ phần Ngoại thương Việt Nam</t>
        </is>
      </c>
      <c r="AD42" s="18" t="inlineStr">
        <is>
          <t>VCB</t>
        </is>
      </c>
      <c r="AE42" s="18" t="inlineStr"/>
      <c r="AF42" s="18" t="inlineStr">
        <is>
          <t>031087001866</t>
        </is>
      </c>
      <c r="AG42" s="18" t="inlineStr">
        <is>
          <t>11.11111111111111%</t>
        </is>
      </c>
      <c r="AH42" s="18" t="inlineStr">
        <is>
          <t>158028-01-1778/K11174/270323/HĐHV</t>
        </is>
      </c>
      <c r="AI42" s="18" t="inlineStr">
        <is>
          <t>Hợp Đồng Đào Tạo Tập Nghề</t>
        </is>
      </c>
      <c r="AJ42" s="18" t="inlineStr">
        <is>
          <t>2023-06-20</t>
        </is>
      </c>
    </row>
    <row r="43">
      <c r="A43" s="18" t="inlineStr">
        <is>
          <t>158197</t>
        </is>
      </c>
      <c r="B43" s="18" t="inlineStr">
        <is>
          <t>Trần Văn Quang</t>
        </is>
      </c>
      <c r="C43" s="18" t="inlineStr">
        <is>
          <t>158197-01</t>
        </is>
      </c>
      <c r="D43" s="18" t="inlineStr">
        <is>
          <t>1778</t>
        </is>
      </c>
      <c r="E43" s="18" t="inlineStr">
        <is>
          <t>KUEHNE + NAGEL 1.1</t>
        </is>
      </c>
      <c r="F43" s="19" t="inlineStr">
        <is>
          <t>1987-08-23</t>
        </is>
      </c>
      <c r="G43" s="18" t="inlineStr">
        <is>
          <t>OFF</t>
        </is>
      </c>
      <c r="H43" s="19" t="inlineStr">
        <is>
          <t>2023-04-06</t>
        </is>
      </c>
      <c r="I43" s="19" t="inlineStr">
        <is>
          <t>2023-05-18</t>
        </is>
      </c>
      <c r="J43" s="18" t="inlineStr">
        <is>
          <t>Bốc xếp hàng hóa</t>
        </is>
      </c>
      <c r="K43" s="18" t="inlineStr">
        <is>
          <t>Công nhân</t>
        </is>
      </c>
      <c r="L43" s="18" t="inlineStr">
        <is>
          <t>Công nhân</t>
        </is>
      </c>
      <c r="M43" s="18" t="inlineStr"/>
      <c r="N43" s="18" t="inlineStr">
        <is>
          <t>LC12</t>
        </is>
      </c>
      <c r="O43" s="18" t="inlineStr">
        <is>
          <t>M-GROSS</t>
        </is>
      </c>
      <c r="P43" s="18" t="inlineStr"/>
      <c r="Q43" s="18" t="inlineStr">
        <is>
          <t>0</t>
        </is>
      </c>
      <c r="R43" s="20" t="n">
        <v>0</v>
      </c>
      <c r="S43" s="20" t="n">
        <v>6500000</v>
      </c>
      <c r="T43" s="20" t="n">
        <v>0</v>
      </c>
      <c r="U43" s="20" t="n">
        <v>30000</v>
      </c>
      <c r="V43" s="20" t="n">
        <v>500000</v>
      </c>
      <c r="W43" s="20" t="n">
        <v>500000</v>
      </c>
      <c r="X43" s="18" t="n">
        <v>0</v>
      </c>
      <c r="Y43" s="18" t="n">
        <v>0</v>
      </c>
      <c r="Z43" s="20" t="n">
        <v>0</v>
      </c>
      <c r="AA43" s="18" t="inlineStr">
        <is>
          <t>TRAN VAN QUANG</t>
        </is>
      </c>
      <c r="AB43" s="18" t="inlineStr">
        <is>
          <t>32110001342430</t>
        </is>
      </c>
      <c r="AC43" s="18" t="inlineStr">
        <is>
          <t>Ngân hàng Thương mại Cổ phần Đầu tư và Phát triển Việt Nam</t>
        </is>
      </c>
      <c r="AD43" s="18" t="inlineStr">
        <is>
          <t>BIDV</t>
        </is>
      </c>
      <c r="AE43" s="18" t="inlineStr"/>
      <c r="AF43" s="18" t="inlineStr">
        <is>
          <t>031087001362</t>
        </is>
      </c>
      <c r="AG43" s="18" t="inlineStr">
        <is>
          <t>0%</t>
        </is>
      </c>
      <c r="AH43" s="18" t="inlineStr">
        <is>
          <t>158197-01-1778/K11174/060423/HĐHV</t>
        </is>
      </c>
      <c r="AI43" s="18" t="inlineStr">
        <is>
          <t>Hợp Đồng Đào Tạo Tập Nghề</t>
        </is>
      </c>
      <c r="AJ43" s="18" t="inlineStr">
        <is>
          <t>2023-07-05</t>
        </is>
      </c>
    </row>
    <row r="44">
      <c r="A44" s="18" t="inlineStr">
        <is>
          <t>157410</t>
        </is>
      </c>
      <c r="B44" s="18" t="inlineStr">
        <is>
          <t>Bùi Bình An</t>
        </is>
      </c>
      <c r="C44" s="18" t="inlineStr">
        <is>
          <t>157410-01</t>
        </is>
      </c>
      <c r="D44" s="18" t="inlineStr">
        <is>
          <t>1778</t>
        </is>
      </c>
      <c r="E44" s="18" t="inlineStr">
        <is>
          <t>KUEHNE + NAGEL 1.1</t>
        </is>
      </c>
      <c r="F44" s="19" t="inlineStr">
        <is>
          <t>2000-05-01</t>
        </is>
      </c>
      <c r="G44" s="18" t="inlineStr">
        <is>
          <t>OFF</t>
        </is>
      </c>
      <c r="H44" s="19" t="inlineStr">
        <is>
          <t>2023-02-23</t>
        </is>
      </c>
      <c r="I44" s="19" t="inlineStr">
        <is>
          <t>2023-04-29</t>
        </is>
      </c>
      <c r="J44" s="18" t="inlineStr">
        <is>
          <t>Bốc xếp hàng hóa</t>
        </is>
      </c>
      <c r="K44" s="18" t="inlineStr">
        <is>
          <t>Công nhân</t>
        </is>
      </c>
      <c r="L44" s="18" t="inlineStr">
        <is>
          <t>Công nhân</t>
        </is>
      </c>
      <c r="M44" s="18" t="inlineStr"/>
      <c r="N44" s="18" t="inlineStr">
        <is>
          <t>LC12</t>
        </is>
      </c>
      <c r="O44" s="18" t="inlineStr">
        <is>
          <t>M-GROSS</t>
        </is>
      </c>
      <c r="P44" s="18" t="inlineStr"/>
      <c r="Q44" s="18" t="inlineStr">
        <is>
          <t>0</t>
        </is>
      </c>
      <c r="R44" s="20" t="n">
        <v>0</v>
      </c>
      <c r="S44" s="20" t="n">
        <v>6500000</v>
      </c>
      <c r="T44" s="20" t="n">
        <v>0</v>
      </c>
      <c r="U44" s="20" t="n">
        <v>780000</v>
      </c>
      <c r="V44" s="20" t="n">
        <v>500000</v>
      </c>
      <c r="W44" s="20" t="n">
        <v>500000</v>
      </c>
      <c r="X44" s="18" t="n">
        <v>0</v>
      </c>
      <c r="Y44" s="18" t="n">
        <v>0</v>
      </c>
      <c r="Z44" s="20" t="n">
        <v>0</v>
      </c>
      <c r="AA44" s="18" t="inlineStr">
        <is>
          <t>BUI BINH AN</t>
        </is>
      </c>
      <c r="AB44" s="18" t="inlineStr">
        <is>
          <t>19036957430010</t>
        </is>
      </c>
      <c r="AC44" s="18" t="inlineStr">
        <is>
          <t>Ngân hàng Thương mại Cổ phần Kỹ thương Việt Nam</t>
        </is>
      </c>
      <c r="AD44" s="18" t="inlineStr">
        <is>
          <t>TCB</t>
        </is>
      </c>
      <c r="AE44" s="18" t="inlineStr"/>
      <c r="AF44" s="18" t="inlineStr">
        <is>
          <t>031200006941</t>
        </is>
      </c>
      <c r="AG44" s="18" t="inlineStr">
        <is>
          <t>0%</t>
        </is>
      </c>
      <c r="AH44" s="18" t="inlineStr">
        <is>
          <t>157410-01-1778/K11174/230223/HĐHV</t>
        </is>
      </c>
      <c r="AI44" s="18" t="inlineStr">
        <is>
          <t>Hợp Đồng Đào Tạo Tập Nghề</t>
        </is>
      </c>
      <c r="AJ44" s="18" t="inlineStr">
        <is>
          <t>2023-05-20</t>
        </is>
      </c>
    </row>
    <row r="45">
      <c r="A45" s="18" t="inlineStr">
        <is>
          <t>157462</t>
        </is>
      </c>
      <c r="B45" s="18" t="inlineStr">
        <is>
          <t>Nguyễn Đức Tùng</t>
        </is>
      </c>
      <c r="C45" s="18" t="inlineStr">
        <is>
          <t>157462-01</t>
        </is>
      </c>
      <c r="D45" s="18" t="inlineStr">
        <is>
          <t>1778</t>
        </is>
      </c>
      <c r="E45" s="18" t="inlineStr">
        <is>
          <t>KUEHNE + NAGEL 1.1</t>
        </is>
      </c>
      <c r="F45" s="19" t="inlineStr">
        <is>
          <t>1997-07-07</t>
        </is>
      </c>
      <c r="G45" s="18" t="inlineStr">
        <is>
          <t>OLD</t>
        </is>
      </c>
      <c r="H45" s="19" t="inlineStr">
        <is>
          <t>2023-02-23</t>
        </is>
      </c>
      <c r="I45" s="19" t="inlineStr"/>
      <c r="J45" s="18" t="inlineStr">
        <is>
          <t>Bốc xếp hàng hóa</t>
        </is>
      </c>
      <c r="K45" s="18" t="inlineStr">
        <is>
          <t>Công nhân</t>
        </is>
      </c>
      <c r="L45" s="18" t="inlineStr">
        <is>
          <t>Công nhân</t>
        </is>
      </c>
      <c r="M45" s="18" t="inlineStr"/>
      <c r="N45" s="18" t="inlineStr">
        <is>
          <t>LC12</t>
        </is>
      </c>
      <c r="O45" s="18" t="inlineStr">
        <is>
          <t>M-GROSS</t>
        </is>
      </c>
      <c r="P45" s="18" t="inlineStr"/>
      <c r="Q45" s="18" t="inlineStr">
        <is>
          <t>0</t>
        </is>
      </c>
      <c r="R45" s="20" t="n">
        <v>0</v>
      </c>
      <c r="S45" s="20" t="n">
        <v>6500000</v>
      </c>
      <c r="T45" s="20" t="n">
        <v>0</v>
      </c>
      <c r="U45" s="20" t="n">
        <v>780000</v>
      </c>
      <c r="V45" s="20" t="n">
        <v>500000</v>
      </c>
      <c r="W45" s="20" t="n">
        <v>500000</v>
      </c>
      <c r="X45" s="18" t="n">
        <v>0</v>
      </c>
      <c r="Y45" s="18" t="n">
        <v>0</v>
      </c>
      <c r="Z45" s="20" t="n">
        <v>0</v>
      </c>
      <c r="AA45" s="18" t="inlineStr">
        <is>
          <t>NGUYEN DUC TUNG</t>
        </is>
      </c>
      <c r="AB45" s="18" t="inlineStr">
        <is>
          <t>18280057</t>
        </is>
      </c>
      <c r="AC45" s="18" t="inlineStr">
        <is>
          <t>Ngân hàng Thương mại Cổ phần Á Châu</t>
        </is>
      </c>
      <c r="AD45" s="18" t="inlineStr">
        <is>
          <t>ACB</t>
        </is>
      </c>
      <c r="AE45" s="18" t="inlineStr"/>
      <c r="AF45" s="18" t="inlineStr">
        <is>
          <t>031097000862</t>
        </is>
      </c>
      <c r="AG45" s="18" t="inlineStr">
        <is>
          <t>0%</t>
        </is>
      </c>
      <c r="AH45" s="18" t="inlineStr">
        <is>
          <t>157462-01-1778/K11174/230223/HĐHV</t>
        </is>
      </c>
      <c r="AI45" s="18" t="inlineStr">
        <is>
          <t>Hợp Đồng Đào Tạo Tập Nghề</t>
        </is>
      </c>
      <c r="AJ45" s="18" t="inlineStr">
        <is>
          <t>2023-05-20</t>
        </is>
      </c>
    </row>
    <row r="46">
      <c r="A46" s="18" t="inlineStr">
        <is>
          <t>157172</t>
        </is>
      </c>
      <c r="B46" s="18" t="inlineStr">
        <is>
          <t>Nguyễn Văn Trường</t>
        </is>
      </c>
      <c r="C46" s="18" t="inlineStr">
        <is>
          <t>157172-01</t>
        </is>
      </c>
      <c r="D46" s="18" t="inlineStr">
        <is>
          <t>1778</t>
        </is>
      </c>
      <c r="E46" s="18" t="inlineStr">
        <is>
          <t>KUEHNE + NAGEL 1.1</t>
        </is>
      </c>
      <c r="F46" s="19" t="inlineStr">
        <is>
          <t>1979-08-27</t>
        </is>
      </c>
      <c r="G46" s="18" t="inlineStr">
        <is>
          <t>OLD</t>
        </is>
      </c>
      <c r="H46" s="19" t="inlineStr">
        <is>
          <t>2023-02-21</t>
        </is>
      </c>
      <c r="I46" s="19" t="inlineStr"/>
      <c r="J46" s="18" t="inlineStr">
        <is>
          <t>Bốc xếp hàng hóa</t>
        </is>
      </c>
      <c r="K46" s="18" t="inlineStr">
        <is>
          <t>Công nhân</t>
        </is>
      </c>
      <c r="L46" s="18" t="inlineStr">
        <is>
          <t>Công nhân</t>
        </is>
      </c>
      <c r="M46" s="18" t="inlineStr"/>
      <c r="N46" s="18" t="inlineStr">
        <is>
          <t>LC12</t>
        </is>
      </c>
      <c r="O46" s="18" t="inlineStr">
        <is>
          <t>M-GROSS</t>
        </is>
      </c>
      <c r="P46" s="18" t="inlineStr">
        <is>
          <t>P10</t>
        </is>
      </c>
      <c r="Q46" s="18" t="inlineStr">
        <is>
          <t>0</t>
        </is>
      </c>
      <c r="R46" s="20" t="n">
        <v>0</v>
      </c>
      <c r="S46" s="20" t="n">
        <v>6500000</v>
      </c>
      <c r="T46" s="20" t="n">
        <v>0</v>
      </c>
      <c r="U46" s="20" t="n">
        <v>780000</v>
      </c>
      <c r="V46" s="20" t="n">
        <v>500000</v>
      </c>
      <c r="W46" s="20" t="n">
        <v>500000</v>
      </c>
      <c r="X46" s="18" t="n">
        <v>0</v>
      </c>
      <c r="Y46" s="18" t="n">
        <v>0</v>
      </c>
      <c r="Z46" s="20" t="n">
        <v>0</v>
      </c>
      <c r="AA46" s="18" t="inlineStr">
        <is>
          <t>NGUYEN VAN TRUONG</t>
        </is>
      </c>
      <c r="AB46" s="18" t="inlineStr">
        <is>
          <t>025205040001</t>
        </is>
      </c>
      <c r="AC46" s="18" t="inlineStr">
        <is>
          <t>Ngân hàng Thương mại Cổ phần Bưu điện Liên Việt</t>
        </is>
      </c>
      <c r="AD46" s="18" t="inlineStr">
        <is>
          <t>LVB</t>
        </is>
      </c>
      <c r="AE46" s="18" t="inlineStr"/>
      <c r="AF46" s="18" t="inlineStr">
        <is>
          <t>031079017266</t>
        </is>
      </c>
      <c r="AG46" s="18" t="inlineStr">
        <is>
          <t>0%</t>
        </is>
      </c>
      <c r="AH46" s="18" t="inlineStr">
        <is>
          <t>157172-01-1778/K11174/210223/HĐHV</t>
        </is>
      </c>
      <c r="AI46" s="18" t="inlineStr">
        <is>
          <t>Hợp Đồng Đào Tạo Tập Nghề</t>
        </is>
      </c>
      <c r="AJ46" s="18" t="inlineStr">
        <is>
          <t>2023-05-20</t>
        </is>
      </c>
    </row>
    <row r="47">
      <c r="A47" s="18" t="inlineStr">
        <is>
          <t>157168</t>
        </is>
      </c>
      <c r="B47" s="18" t="inlineStr">
        <is>
          <t>Trịnh Sơn Đỉnh</t>
        </is>
      </c>
      <c r="C47" s="18" t="inlineStr">
        <is>
          <t>157168-01</t>
        </is>
      </c>
      <c r="D47" s="18" t="inlineStr">
        <is>
          <t>1778</t>
        </is>
      </c>
      <c r="E47" s="18" t="inlineStr">
        <is>
          <t>KUEHNE + NAGEL 1.1</t>
        </is>
      </c>
      <c r="F47" s="19" t="inlineStr">
        <is>
          <t>1996-02-02</t>
        </is>
      </c>
      <c r="G47" s="18" t="inlineStr">
        <is>
          <t>OLD</t>
        </is>
      </c>
      <c r="H47" s="19" t="inlineStr">
        <is>
          <t>2023-02-21</t>
        </is>
      </c>
      <c r="I47" s="19" t="inlineStr"/>
      <c r="J47" s="18" t="inlineStr">
        <is>
          <t>Bốc xếp hàng hóa</t>
        </is>
      </c>
      <c r="K47" s="18" t="inlineStr">
        <is>
          <t>Công nhân</t>
        </is>
      </c>
      <c r="L47" s="18" t="inlineStr">
        <is>
          <t>Công nhân</t>
        </is>
      </c>
      <c r="M47" s="18" t="inlineStr"/>
      <c r="N47" s="18" t="inlineStr">
        <is>
          <t>LC12</t>
        </is>
      </c>
      <c r="O47" s="18" t="inlineStr">
        <is>
          <t>M-GROSS</t>
        </is>
      </c>
      <c r="P47" s="18" t="inlineStr"/>
      <c r="Q47" s="18" t="inlineStr">
        <is>
          <t>0</t>
        </is>
      </c>
      <c r="R47" s="20" t="n">
        <v>0</v>
      </c>
      <c r="S47" s="20" t="n">
        <v>6500000</v>
      </c>
      <c r="T47" s="20" t="n">
        <v>0</v>
      </c>
      <c r="U47" s="20" t="n">
        <v>780000</v>
      </c>
      <c r="V47" s="20" t="n">
        <v>500000</v>
      </c>
      <c r="W47" s="20" t="n">
        <v>500000</v>
      </c>
      <c r="X47" s="18" t="n">
        <v>0</v>
      </c>
      <c r="Y47" s="18" t="n">
        <v>0</v>
      </c>
      <c r="Z47" s="20" t="n">
        <v>0</v>
      </c>
      <c r="AA47" s="18" t="inlineStr">
        <is>
          <t>TRINH XUAN DINH</t>
        </is>
      </c>
      <c r="AB47" s="18" t="inlineStr">
        <is>
          <t>030077117381</t>
        </is>
      </c>
      <c r="AC47" s="18" t="inlineStr">
        <is>
          <t>Ngân hàng Trách nhiệm hữu hạn Một thành viên Shinhan Việt Nam</t>
        </is>
      </c>
      <c r="AD47" s="18" t="inlineStr">
        <is>
          <t>SHINHAN BANK</t>
        </is>
      </c>
      <c r="AE47" s="18" t="inlineStr"/>
      <c r="AF47" s="18" t="inlineStr">
        <is>
          <t>031096001176</t>
        </is>
      </c>
      <c r="AG47" s="18" t="inlineStr">
        <is>
          <t>66.66666666666667%</t>
        </is>
      </c>
      <c r="AH47" s="18" t="inlineStr">
        <is>
          <t>157168-01-1778/K11174/210223/HĐHV</t>
        </is>
      </c>
      <c r="AI47" s="18" t="inlineStr">
        <is>
          <t>Hợp Đồng Đào Tạo Tập Nghề</t>
        </is>
      </c>
      <c r="AJ47" s="18" t="inlineStr">
        <is>
          <t>2023-05-20</t>
        </is>
      </c>
    </row>
    <row r="48">
      <c r="A48" s="18" t="inlineStr">
        <is>
          <t>156951</t>
        </is>
      </c>
      <c r="B48" s="18" t="inlineStr">
        <is>
          <t>Phạm Văn Kiên</t>
        </is>
      </c>
      <c r="C48" s="18" t="inlineStr">
        <is>
          <t>156951-01</t>
        </is>
      </c>
      <c r="D48" s="18" t="inlineStr">
        <is>
          <t>1778</t>
        </is>
      </c>
      <c r="E48" s="18" t="inlineStr">
        <is>
          <t>KUEHNE + NAGEL 1.1</t>
        </is>
      </c>
      <c r="F48" s="19" t="inlineStr">
        <is>
          <t>1990-05-10</t>
        </is>
      </c>
      <c r="G48" s="18" t="inlineStr">
        <is>
          <t>OLD</t>
        </is>
      </c>
      <c r="H48" s="19" t="inlineStr">
        <is>
          <t>2023-02-13</t>
        </is>
      </c>
      <c r="I48" s="19" t="inlineStr"/>
      <c r="J48" s="18" t="inlineStr">
        <is>
          <t>Bốc xếp hàng hóa</t>
        </is>
      </c>
      <c r="K48" s="18" t="inlineStr">
        <is>
          <t>Nhân viên</t>
        </is>
      </c>
      <c r="L48" s="18" t="inlineStr">
        <is>
          <t>Nhân viên</t>
        </is>
      </c>
      <c r="M48" s="18" t="inlineStr"/>
      <c r="N48" s="18" t="inlineStr">
        <is>
          <t>LC12</t>
        </is>
      </c>
      <c r="O48" s="18" t="inlineStr">
        <is>
          <t>M-GROSS</t>
        </is>
      </c>
      <c r="P48" s="18" t="inlineStr"/>
      <c r="Q48" s="18" t="inlineStr">
        <is>
          <t>0</t>
        </is>
      </c>
      <c r="R48" s="20" t="n">
        <v>0</v>
      </c>
      <c r="S48" s="20" t="n">
        <v>7000000</v>
      </c>
      <c r="T48" s="20" t="n">
        <v>0</v>
      </c>
      <c r="U48" s="20" t="n">
        <v>780000</v>
      </c>
      <c r="V48" s="20" t="n">
        <v>500000</v>
      </c>
      <c r="W48" s="20" t="n">
        <v>500000</v>
      </c>
      <c r="X48" s="18" t="n">
        <v>0</v>
      </c>
      <c r="Y48" s="18" t="n">
        <v>0</v>
      </c>
      <c r="Z48" s="20" t="n">
        <v>0</v>
      </c>
      <c r="AA48" s="18" t="inlineStr">
        <is>
          <t>PHAM VAN KIEN</t>
        </is>
      </c>
      <c r="AB48" s="18" t="inlineStr">
        <is>
          <t>0031000352512</t>
        </is>
      </c>
      <c r="AC48" s="18" t="inlineStr">
        <is>
          <t>Ngân hàng Thương mại Cổ phần Ngoại thương Việt Nam</t>
        </is>
      </c>
      <c r="AD48" s="18" t="inlineStr">
        <is>
          <t>VCB</t>
        </is>
      </c>
      <c r="AE48" s="18" t="inlineStr"/>
      <c r="AF48" s="18" t="inlineStr">
        <is>
          <t>031090009372</t>
        </is>
      </c>
      <c r="AG48" s="18" t="inlineStr">
        <is>
          <t>77.77777777777777%</t>
        </is>
      </c>
      <c r="AH48" s="18" t="inlineStr">
        <is>
          <t>156951-01-1778/K11174/130223/HĐHV</t>
        </is>
      </c>
      <c r="AI48" s="18" t="inlineStr">
        <is>
          <t>Hợp Đồng Đào Tạo Tập Nghề</t>
        </is>
      </c>
      <c r="AJ48" s="18" t="inlineStr">
        <is>
          <t>2023-05-12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2.5"/>
  <cols>
    <col customWidth="1" max="1" min="1" width="50"/>
    <col customWidth="1" max="2" min="2" width="9"/>
    <col customWidth="1" max="3" min="3" width="15"/>
    <col customWidth="1" max="4" min="4" width="15"/>
    <col customWidth="1" max="5" min="5" width="10"/>
    <col customWidth="1" max="6" min="6" width="10"/>
  </cols>
  <sheetData>
    <row customHeight="1" ht="25" r="1">
      <c r="A1" s="21" t="inlineStr">
        <is>
          <t>THAM SỐ CHUNG</t>
        </is>
      </c>
      <c r="F1" s="21" t="inlineStr">
        <is>
          <t>MỨC LƯƠNG TỐI THIỂU VÙNG</t>
        </is>
      </c>
    </row>
    <row r="2">
      <c r="A2" s="22" t="inlineStr">
        <is>
          <t>Tham số</t>
        </is>
      </c>
      <c r="B2" s="22" t="inlineStr">
        <is>
          <t>Mã</t>
        </is>
      </c>
      <c r="C2" s="22" t="inlineStr">
        <is>
          <t>Giá trị</t>
        </is>
      </c>
      <c r="D2" s="22" t="inlineStr">
        <is>
          <t>Áp dụng từ ngày</t>
        </is>
      </c>
      <c r="F2" s="22" t="inlineStr">
        <is>
          <t>Vùng</t>
        </is>
      </c>
      <c r="G2" s="22" t="inlineStr">
        <is>
          <t>Mức</t>
        </is>
      </c>
      <c r="H2" s="22" t="inlineStr">
        <is>
          <t>Mức qua đào tạo</t>
        </is>
      </c>
      <c r="I2" s="22" t="inlineStr">
        <is>
          <t>Áp dụng từ ngày</t>
        </is>
      </c>
    </row>
    <row r="3">
      <c r="A3" s="18" t="inlineStr">
        <is>
          <t>Mức lương cơ sở (Lương tối thiểu chung) (VND)</t>
        </is>
      </c>
      <c r="B3" s="18" t="inlineStr">
        <is>
          <t>R101</t>
        </is>
      </c>
      <c r="C3" s="20" t="n">
        <v>1490000</v>
      </c>
      <c r="D3" s="19" t="inlineStr">
        <is>
          <t>2022-01-01</t>
        </is>
      </c>
    </row>
    <row r="4">
      <c r="A4" s="18" t="inlineStr">
        <is>
          <t>Tỉ lệ làm việc ban đêm (%)</t>
        </is>
      </c>
      <c r="B4" s="18" t="inlineStr">
        <is>
          <t>R102</t>
        </is>
      </c>
      <c r="C4" s="20" t="n">
        <v>0.3</v>
      </c>
      <c r="D4" s="19" t="inlineStr">
        <is>
          <t>2022-03-01</t>
        </is>
      </c>
    </row>
    <row r="5">
      <c r="A5" s="18" t="inlineStr">
        <is>
          <t>Tỉ lệ đoàn phí (EE) (%)</t>
        </is>
      </c>
      <c r="B5" s="18" t="inlineStr">
        <is>
          <t>R201</t>
        </is>
      </c>
      <c r="C5" s="20" t="n">
        <v>1</v>
      </c>
      <c r="D5" s="19" t="inlineStr">
        <is>
          <t>2022-01-01</t>
        </is>
      </c>
    </row>
    <row r="6">
      <c r="A6" s="18" t="inlineStr">
        <is>
          <t>Tỉ lệ đoàn phí (ER) (%)</t>
        </is>
      </c>
      <c r="B6" s="18" t="inlineStr">
        <is>
          <t>R202</t>
        </is>
      </c>
      <c r="C6" s="20" t="n">
        <v>2</v>
      </c>
      <c r="D6" s="19" t="inlineStr">
        <is>
          <t>2022-01-01</t>
        </is>
      </c>
    </row>
    <row r="7">
      <c r="A7" s="18" t="inlineStr">
        <is>
          <t>Tỉ lệ làm thêm giờ Ngày thường (%)</t>
        </is>
      </c>
      <c r="B7" s="18" t="inlineStr">
        <is>
          <t>R301</t>
        </is>
      </c>
      <c r="C7" s="20" t="n">
        <v>1.5</v>
      </c>
      <c r="D7" s="19" t="inlineStr">
        <is>
          <t>2022-01-01</t>
        </is>
      </c>
    </row>
    <row r="8">
      <c r="A8" s="18" t="inlineStr">
        <is>
          <t>Tỉ lệ làm thêm giờ Ngày nghỉ (%)</t>
        </is>
      </c>
      <c r="B8" s="18" t="inlineStr">
        <is>
          <t>R302</t>
        </is>
      </c>
      <c r="C8" s="20" t="n">
        <v>2</v>
      </c>
      <c r="D8" s="19" t="inlineStr">
        <is>
          <t>2022-01-01</t>
        </is>
      </c>
    </row>
    <row r="9">
      <c r="A9" s="18" t="inlineStr">
        <is>
          <t>Tỉ lệ làm thêm giờ Ngày lễ (%)</t>
        </is>
      </c>
      <c r="B9" s="18" t="inlineStr">
        <is>
          <t>R303</t>
        </is>
      </c>
      <c r="C9" s="20" t="n">
        <v>3</v>
      </c>
      <c r="D9" s="19" t="inlineStr">
        <is>
          <t>2022-01-01</t>
        </is>
      </c>
    </row>
    <row r="10">
      <c r="A10" s="18" t="inlineStr">
        <is>
          <t>Tỉ lệ làm thêm giờ ban đêm Ngày thường (%)</t>
        </is>
      </c>
      <c r="B10" s="18" t="inlineStr">
        <is>
          <t>R311</t>
        </is>
      </c>
      <c r="C10" s="20" t="n">
        <v>2.1</v>
      </c>
      <c r="D10" s="19" t="inlineStr">
        <is>
          <t>2022-01-01</t>
        </is>
      </c>
    </row>
    <row r="11">
      <c r="A11" s="18" t="inlineStr">
        <is>
          <t>Tỉ lệ làm thêm giờ ban đêm Ngày nghỉ (%)</t>
        </is>
      </c>
      <c r="B11" s="18" t="inlineStr">
        <is>
          <t>R312</t>
        </is>
      </c>
      <c r="C11" s="20" t="n">
        <v>2.7</v>
      </c>
      <c r="D11" s="19" t="inlineStr">
        <is>
          <t>2022-01-01</t>
        </is>
      </c>
    </row>
    <row r="12">
      <c r="A12" s="18" t="inlineStr">
        <is>
          <t>Tỉ lệ làm thêm giờ ban đêm Ngày lễ (%)</t>
        </is>
      </c>
      <c r="B12" s="18" t="inlineStr">
        <is>
          <t>R313</t>
        </is>
      </c>
      <c r="C12" s="20" t="n">
        <v>3.9</v>
      </c>
      <c r="D12" s="19" t="inlineStr">
        <is>
          <t>2022-01-01</t>
        </is>
      </c>
    </row>
    <row r="13">
      <c r="A13" s="18" t="inlineStr">
        <is>
          <t>Mức cơm trưa (VND)</t>
        </is>
      </c>
      <c r="B13" s="18" t="inlineStr">
        <is>
          <t>R501</t>
        </is>
      </c>
      <c r="C13" s="20" t="n">
        <v>730000</v>
      </c>
      <c r="D13" s="19" t="inlineStr">
        <is>
          <t>2022-01-01</t>
        </is>
      </c>
    </row>
    <row r="14">
      <c r="A14" s="18" t="inlineStr">
        <is>
          <t xml:space="preserve">Mức tỉ lệ tiền thuê nhà (%) </t>
        </is>
      </c>
      <c r="B14" s="18" t="inlineStr">
        <is>
          <t>R502</t>
        </is>
      </c>
      <c r="C14" s="20" t="n">
        <v>15</v>
      </c>
      <c r="D14" s="19" t="inlineStr">
        <is>
          <t>2022-03-01</t>
        </is>
      </c>
    </row>
    <row r="15">
      <c r="A15" s="18" t="inlineStr">
        <is>
          <t>Mức trang phục (VND)</t>
        </is>
      </c>
      <c r="B15" s="18" t="inlineStr">
        <is>
          <t>R503</t>
        </is>
      </c>
      <c r="C15" s="20" t="n">
        <v>5000000</v>
      </c>
      <c r="D15" s="19" t="inlineStr">
        <is>
          <t>2022-03-01</t>
        </is>
      </c>
    </row>
    <row r="16">
      <c r="A16" s="18" t="inlineStr">
        <is>
          <t>Mức giảm trừ NPT (VND) (tháng)</t>
        </is>
      </c>
      <c r="B16" s="18" t="inlineStr">
        <is>
          <t>R601</t>
        </is>
      </c>
      <c r="C16" s="20" t="n">
        <v>4400000</v>
      </c>
      <c r="D16" s="19" t="inlineStr">
        <is>
          <t>2022-01-01</t>
        </is>
      </c>
    </row>
    <row r="17">
      <c r="A17" s="18" t="inlineStr">
        <is>
          <t>Mức giảm trừ bản thân (VND) (tháng)</t>
        </is>
      </c>
      <c r="B17" s="18" t="inlineStr">
        <is>
          <t>R602</t>
        </is>
      </c>
      <c r="C17" s="20" t="n">
        <v>11000000</v>
      </c>
      <c r="D17" s="19" t="inlineStr">
        <is>
          <t>2022-01-01</t>
        </is>
      </c>
    </row>
    <row r="18">
      <c r="A18" s="18" t="inlineStr">
        <is>
          <t>Mức thuế Khấu trừ Cá nhân cư trú (%)</t>
        </is>
      </c>
      <c r="B18" s="18" t="inlineStr">
        <is>
          <t>R610</t>
        </is>
      </c>
      <c r="C18" s="20" t="n">
        <v>10</v>
      </c>
      <c r="D18" s="19" t="inlineStr">
        <is>
          <t>2022-03-01</t>
        </is>
      </c>
    </row>
    <row r="19">
      <c r="A19" s="18" t="inlineStr">
        <is>
          <t>Mức thuế Khấu trừ Cá nhân không cư trú (%)</t>
        </is>
      </c>
      <c r="B19" s="18" t="inlineStr">
        <is>
          <t>R620</t>
        </is>
      </c>
      <c r="C19" s="20" t="n">
        <v>20</v>
      </c>
      <c r="D19" s="19" t="inlineStr">
        <is>
          <t>2022-01-01</t>
        </is>
      </c>
    </row>
    <row r="20">
      <c r="A20" s="18" t="inlineStr">
        <is>
          <t xml:space="preserve">Số lần tính trên lương tối thiểu (lần) </t>
        </is>
      </c>
      <c r="B20" s="18" t="inlineStr">
        <is>
          <t>R700</t>
        </is>
      </c>
      <c r="C20" s="20" t="n">
        <v>20</v>
      </c>
      <c r="D20" s="19" t="inlineStr">
        <is>
          <t>2022-01-01</t>
        </is>
      </c>
    </row>
    <row r="21">
      <c r="A21" s="18" t="inlineStr">
        <is>
          <t>BHXH Hưu trí tử tuất (EE) (%)</t>
        </is>
      </c>
      <c r="B21" s="18" t="inlineStr">
        <is>
          <t>R701</t>
        </is>
      </c>
      <c r="C21" s="20" t="n">
        <v>8</v>
      </c>
      <c r="D21" s="19" t="inlineStr">
        <is>
          <t>2022-01-01</t>
        </is>
      </c>
    </row>
    <row r="22">
      <c r="A22" s="18" t="inlineStr">
        <is>
          <t>BHXH Ốm đau thai sản (EE) (%)</t>
        </is>
      </c>
      <c r="B22" s="18" t="inlineStr">
        <is>
          <t>T702</t>
        </is>
      </c>
      <c r="C22" s="20" t="inlineStr"/>
      <c r="D22" s="19" t="inlineStr">
        <is>
          <t>2022-01-01</t>
        </is>
      </c>
    </row>
    <row r="23">
      <c r="A23" s="18" t="inlineStr">
        <is>
          <t>BHXH TNLĐ BNN (EE) (%)</t>
        </is>
      </c>
      <c r="B23" s="18" t="inlineStr">
        <is>
          <t>T703</t>
        </is>
      </c>
      <c r="C23" s="20" t="n">
        <v>0.75</v>
      </c>
      <c r="D23" s="19" t="inlineStr">
        <is>
          <t>2022-01-01</t>
        </is>
      </c>
    </row>
    <row r="24">
      <c r="A24" s="18" t="inlineStr">
        <is>
          <t>Bảo hiểm Y tế (EE) (%)</t>
        </is>
      </c>
      <c r="B24" s="18" t="inlineStr">
        <is>
          <t>T704</t>
        </is>
      </c>
      <c r="C24" s="20" t="n">
        <v>1.5</v>
      </c>
      <c r="D24" s="19" t="inlineStr">
        <is>
          <t>2022-01-01</t>
        </is>
      </c>
    </row>
    <row r="25">
      <c r="A25" s="18" t="inlineStr">
        <is>
          <t>Bảo hiểm Thất nghiệp (EE) (%)</t>
        </is>
      </c>
      <c r="B25" s="18" t="inlineStr">
        <is>
          <t>T705</t>
        </is>
      </c>
      <c r="C25" s="20" t="n">
        <v>1</v>
      </c>
      <c r="D25" s="19" t="inlineStr">
        <is>
          <t>2022-01-01</t>
        </is>
      </c>
    </row>
    <row r="26">
      <c r="A26" s="18" t="inlineStr">
        <is>
          <t>BHXH Hưu trí tử tuất (ER) (%)</t>
        </is>
      </c>
      <c r="B26" s="18" t="inlineStr">
        <is>
          <t>T711</t>
        </is>
      </c>
      <c r="C26" s="20" t="n">
        <v>14</v>
      </c>
      <c r="D26" s="19" t="inlineStr">
        <is>
          <t>2022-01-01</t>
        </is>
      </c>
    </row>
    <row r="27">
      <c r="A27" s="18" t="inlineStr">
        <is>
          <t>BHXH Ốm đau thai sản(ER) (%)</t>
        </is>
      </c>
      <c r="B27" s="18" t="inlineStr">
        <is>
          <t>T712</t>
        </is>
      </c>
      <c r="C27" s="20" t="n">
        <v>3</v>
      </c>
      <c r="D27" s="19" t="inlineStr">
        <is>
          <t>2022-01-01</t>
        </is>
      </c>
    </row>
    <row r="28">
      <c r="A28" s="18" t="inlineStr">
        <is>
          <t>BHXH TNLĐ BNN (ER) (%)</t>
        </is>
      </c>
      <c r="B28" s="18" t="inlineStr">
        <is>
          <t>T713</t>
        </is>
      </c>
      <c r="C28" s="20" t="n">
        <v>0.5</v>
      </c>
      <c r="D28" s="19" t="inlineStr">
        <is>
          <t>2022-01-01</t>
        </is>
      </c>
    </row>
    <row r="29">
      <c r="A29" s="18" t="inlineStr">
        <is>
          <t>Bảo hiểm Y tế (ER) (%)</t>
        </is>
      </c>
      <c r="B29" s="18" t="inlineStr">
        <is>
          <t>T714</t>
        </is>
      </c>
      <c r="C29" s="20" t="n">
        <v>3</v>
      </c>
      <c r="D29" s="19" t="inlineStr">
        <is>
          <t>2022-01-01</t>
        </is>
      </c>
    </row>
    <row r="30">
      <c r="A30" s="18" t="inlineStr">
        <is>
          <t>Bảo hiểm Thất nghiệp (ER) (%)</t>
        </is>
      </c>
      <c r="B30" s="18" t="inlineStr">
        <is>
          <t>T715</t>
        </is>
      </c>
      <c r="C30" s="20" t="inlineStr"/>
      <c r="D30" s="19" t="inlineStr">
        <is>
          <t>2022-01-01</t>
        </is>
      </c>
    </row>
  </sheetData>
  <mergeCells count="2">
    <mergeCell ref="A1:D1"/>
    <mergeCell ref="F1:I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topLeftCell="T1" workbookViewId="0">
      <selection activeCell="T1" sqref="A1:XFD2"/>
    </sheetView>
  </sheetViews>
  <sheetFormatPr baseColWidth="8" defaultRowHeight="12.5"/>
  <cols>
    <col customWidth="1" max="31" min="1" style="8" width="14.36328125"/>
  </cols>
  <sheetData>
    <row customHeight="1" ht="43.5" r="1" thickBot="1">
      <c r="A1" s="7" t="inlineStr">
        <is>
          <t>Mã NV dự án</t>
        </is>
      </c>
      <c r="B1" s="7" t="inlineStr">
        <is>
          <t>Họ tên NV</t>
        </is>
      </c>
      <c r="C1" s="7" t="inlineStr">
        <is>
          <t>Ngày bắt đầu làm việc</t>
        </is>
      </c>
      <c r="D1" s="7" t="inlineStr">
        <is>
          <t>Ngày nghỉ việc</t>
        </is>
      </c>
      <c r="E1" s="7" t="inlineStr">
        <is>
          <t>Công việc</t>
        </is>
      </c>
      <c r="F1" s="7" t="inlineStr">
        <is>
          <t>Ngày công chuẩn</t>
        </is>
      </c>
      <c r="G1" s="7" t="inlineStr">
        <is>
          <t>Làm việc</t>
        </is>
      </c>
      <c r="H1" s="7" t="inlineStr">
        <is>
          <t>Nghỉ lễ</t>
        </is>
      </c>
      <c r="I1" s="7" t="inlineStr">
        <is>
          <t>Ngày nghỉ phép</t>
        </is>
      </c>
      <c r="J1" s="7" t="inlineStr">
        <is>
          <t>Ngày nghỉ phép do công ty sắp xếp</t>
        </is>
      </c>
      <c r="K1" s="7" t="inlineStr">
        <is>
          <t>Ngày nghỉ ốm đau</t>
        </is>
      </c>
      <c r="L1" s="7" t="inlineStr">
        <is>
          <t>Ngày nghỉ thai sản</t>
        </is>
      </c>
      <c r="M1" s="7" t="inlineStr">
        <is>
          <t>Ngày nghỉ không lương</t>
        </is>
      </c>
      <c r="N1" s="7" t="inlineStr">
        <is>
          <t>Công tác</t>
        </is>
      </c>
      <c r="O1" s="7" t="inlineStr">
        <is>
          <t>Nghỉ có trả lương</t>
        </is>
      </c>
      <c r="P1" s="7" t="inlineStr">
        <is>
          <t>Mới/ Dừng</t>
        </is>
      </c>
      <c r="Q1" s="7" t="inlineStr">
        <is>
          <t>Ngày công ca đêm</t>
        </is>
      </c>
      <c r="R1" s="7" t="inlineStr">
        <is>
          <t>Ngày giờ độc hại</t>
        </is>
      </c>
      <c r="S1" s="7" t="inlineStr">
        <is>
          <t>Ngày công phụ cấp</t>
        </is>
      </c>
      <c r="T1" s="7" t="inlineStr">
        <is>
          <t>Giờ làm thêm ngày thường ca đêm</t>
        </is>
      </c>
      <c r="U1" s="7" t="inlineStr">
        <is>
          <t>Giờ làm thêm ngày thường 1.0</t>
        </is>
      </c>
      <c r="V1" s="7" t="inlineStr">
        <is>
          <t>Giờ làm thêm ngày thường</t>
        </is>
      </c>
      <c r="W1" s="7" t="inlineStr">
        <is>
          <t>Giờ làm thêm ngày nghỉ</t>
        </is>
      </c>
      <c r="X1" s="7" t="inlineStr">
        <is>
          <t>Giờ làm thêm ngày lễ</t>
        </is>
      </c>
      <c r="Y1" s="7" t="inlineStr">
        <is>
          <t>Giờ làm thêm ngày nghỉ ca đêm</t>
        </is>
      </c>
      <c r="Z1" s="7" t="inlineStr">
        <is>
          <t>Giờ làm thêm ngày lễ ca đêm</t>
        </is>
      </c>
      <c r="AA1" s="7" t="inlineStr">
        <is>
          <t>Lập biên bản</t>
        </is>
      </c>
      <c r="AB1" s="7" t="inlineStr">
        <is>
          <t>ĐI trễ về sớm</t>
        </is>
      </c>
      <c r="AC1" s="7" t="inlineStr">
        <is>
          <t>Cơm chính</t>
        </is>
      </c>
      <c r="AD1" s="7" t="inlineStr">
        <is>
          <t>Cơm phụ</t>
        </is>
      </c>
      <c r="AE1" s="7" t="inlineStr">
        <is>
          <t>Kỷ luật</t>
        </is>
      </c>
    </row>
    <row customFormat="1" customHeight="1" ht="13" r="2" s="6">
      <c r="F2" s="6" t="inlineStr">
        <is>
          <t>T100</t>
        </is>
      </c>
      <c r="G2" s="6" t="inlineStr">
        <is>
          <t>T202</t>
        </is>
      </c>
      <c r="H2" s="6" t="inlineStr">
        <is>
          <t>T301</t>
        </is>
      </c>
      <c r="I2" s="6" t="inlineStr">
        <is>
          <t>T302</t>
        </is>
      </c>
      <c r="J2" s="6" t="inlineStr">
        <is>
          <t>T303</t>
        </is>
      </c>
      <c r="K2" s="6" t="inlineStr">
        <is>
          <t>T311</t>
        </is>
      </c>
      <c r="L2" s="6" t="inlineStr">
        <is>
          <t>T312</t>
        </is>
      </c>
      <c r="M2" s="6" t="inlineStr">
        <is>
          <t>T320</t>
        </is>
      </c>
      <c r="N2" s="6" t="inlineStr">
        <is>
          <t>T401</t>
        </is>
      </c>
      <c r="O2" s="6" t="inlineStr">
        <is>
          <t>T406</t>
        </is>
      </c>
      <c r="P2" s="6" t="inlineStr">
        <is>
          <t>T408</t>
        </is>
      </c>
      <c r="Q2" s="6" t="inlineStr">
        <is>
          <t>T500</t>
        </is>
      </c>
      <c r="R2" s="6" t="inlineStr">
        <is>
          <t>T701</t>
        </is>
      </c>
      <c r="S2" s="6" t="inlineStr">
        <is>
          <t>T801</t>
        </is>
      </c>
      <c r="T2" s="6" t="inlineStr">
        <is>
          <t>T611</t>
        </is>
      </c>
      <c r="U2" s="6" t="inlineStr">
        <is>
          <t>T620</t>
        </is>
      </c>
      <c r="V2" s="6" t="inlineStr">
        <is>
          <t>T601</t>
        </is>
      </c>
      <c r="W2" s="6" t="inlineStr">
        <is>
          <t>T602</t>
        </is>
      </c>
      <c r="X2" s="6" t="inlineStr">
        <is>
          <t>T603</t>
        </is>
      </c>
      <c r="Y2" s="6" t="inlineStr">
        <is>
          <t>T612</t>
        </is>
      </c>
      <c r="Z2" s="6" t="inlineStr">
        <is>
          <t>T613</t>
        </is>
      </c>
      <c r="AA2" s="6" t="inlineStr">
        <is>
          <t>T805</t>
        </is>
      </c>
      <c r="AB2" s="6" t="inlineStr">
        <is>
          <t>T804</t>
        </is>
      </c>
      <c r="AC2" s="6" t="inlineStr">
        <is>
          <t>T802</t>
        </is>
      </c>
      <c r="AD2" s="6" t="inlineStr">
        <is>
          <t>T803</t>
        </is>
      </c>
      <c r="AE2" s="6" t="inlineStr">
        <is>
          <t>T806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G9" sqref="G9"/>
    </sheetView>
  </sheetViews>
  <sheetFormatPr baseColWidth="8" defaultRowHeight="12.5"/>
  <cols>
    <col bestFit="1" customWidth="1" max="1" min="1" width="15.7265625"/>
    <col bestFit="1" customWidth="1" max="2" min="2" width="12.1796875"/>
    <col bestFit="1" customWidth="1" max="6" min="6" width="9.453125"/>
  </cols>
  <sheetData>
    <row customHeight="1" ht="13" r="1" thickBot="1">
      <c r="A1" s="9" t="inlineStr">
        <is>
          <t>Chính sách:</t>
        </is>
      </c>
      <c r="B1" t="inlineStr">
        <is>
          <t>QUY ĐỊNH VỀ CHÍNH SÁCH KUEHNE NAGEL 2023</t>
        </is>
      </c>
    </row>
    <row customHeight="1" ht="13" r="2" thickBot="1">
      <c r="A2" s="9" t="inlineStr">
        <is>
          <t>Thời gian áp dụng:</t>
        </is>
      </c>
      <c r="B2" t="inlineStr">
        <is>
          <t>01/02/2023 - 01/02/2024</t>
        </is>
      </c>
    </row>
    <row customHeight="1" ht="13" r="3" thickBot="1">
      <c r="A3" s="10" t="n"/>
      <c r="B3" s="11" t="inlineStr">
        <is>
          <t>Quy tắc lương</t>
        </is>
      </c>
      <c r="C3" s="11" t="inlineStr">
        <is>
          <t>Mã</t>
        </is>
      </c>
      <c r="D3" s="11" t="inlineStr">
        <is>
          <t>Số tiền</t>
        </is>
      </c>
      <c r="E3" s="11" t="inlineStr">
        <is>
          <t>Chức vụ</t>
        </is>
      </c>
      <c r="F3" s="11" t="inlineStr">
        <is>
          <t>Chức danh</t>
        </is>
      </c>
    </row>
    <row r="4">
      <c r="A4" s="23" t="inlineStr">
        <is>
          <t>Trích giữ</t>
        </is>
      </c>
      <c r="B4" t="inlineStr">
        <is>
          <t>Khám sức khỏe định kỳ</t>
        </is>
      </c>
      <c r="C4" t="inlineStr">
        <is>
          <t>351</t>
        </is>
      </c>
      <c r="D4" t="n">
        <v>37500</v>
      </c>
    </row>
    <row r="5">
      <c r="A5" s="23" t="inlineStr">
        <is>
          <t>Trích giữ</t>
        </is>
      </c>
      <c r="B5" t="inlineStr">
        <is>
          <t>Tất niên</t>
        </is>
      </c>
      <c r="C5" t="inlineStr">
        <is>
          <t>354</t>
        </is>
      </c>
      <c r="D5" t="n">
        <v>41667</v>
      </c>
    </row>
    <row r="6">
      <c r="A6" s="23" t="inlineStr">
        <is>
          <t>Phí dịch vụ</t>
        </is>
      </c>
      <c r="B6" t="inlineStr">
        <is>
          <t>Tổng thu nhập chịu thuế bao gồm Phúc lợi</t>
        </is>
      </c>
      <c r="C6" t="inlineStr">
        <is>
          <t>231</t>
        </is>
      </c>
      <c r="D6" t="n">
        <v>7</v>
      </c>
    </row>
    <row r="7">
      <c r="A7" s="23" t="inlineStr">
        <is>
          <t>Phí dịch vụ</t>
        </is>
      </c>
      <c r="B7" t="inlineStr">
        <is>
          <t>Tổng Chi phí BHBB (ER)</t>
        </is>
      </c>
      <c r="C7" t="inlineStr">
        <is>
          <t>336</t>
        </is>
      </c>
      <c r="D7" t="n">
        <v>7</v>
      </c>
    </row>
    <row r="8">
      <c r="A8" s="23" t="inlineStr">
        <is>
          <t>Phí dịch vụ</t>
        </is>
      </c>
      <c r="B8" t="inlineStr">
        <is>
          <t>Kinh phí CĐ (2%)</t>
        </is>
      </c>
      <c r="C8" t="inlineStr">
        <is>
          <t>337</t>
        </is>
      </c>
      <c r="D8" t="n">
        <v>7</v>
      </c>
    </row>
    <row r="9">
      <c r="A9" s="23" t="inlineStr">
        <is>
          <t>Phí dịch vụ</t>
        </is>
      </c>
      <c r="B9" t="inlineStr">
        <is>
          <t>BHSK NSDLĐ</t>
        </is>
      </c>
      <c r="C9" t="inlineStr">
        <is>
          <t>339</t>
        </is>
      </c>
      <c r="D9" t="n">
        <v>7</v>
      </c>
    </row>
    <row r="10">
      <c r="A10" s="23" t="inlineStr">
        <is>
          <t>Phí dịch vụ</t>
        </is>
      </c>
      <c r="B10" t="inlineStr">
        <is>
          <t>Lương tháng 13</t>
        </is>
      </c>
      <c r="C10" t="inlineStr">
        <is>
          <t>350</t>
        </is>
      </c>
      <c r="D10" t="n">
        <v>7</v>
      </c>
    </row>
    <row r="11">
      <c r="A11" s="23" t="inlineStr">
        <is>
          <t>Phí dịch vụ</t>
        </is>
      </c>
      <c r="B11" t="inlineStr">
        <is>
          <t>Tất niên</t>
        </is>
      </c>
      <c r="C11" t="inlineStr">
        <is>
          <t>354</t>
        </is>
      </c>
      <c r="D11" t="n">
        <v>7</v>
      </c>
    </row>
    <row r="12">
      <c r="A12" s="23" t="inlineStr">
        <is>
          <t>Phí dịch vụ</t>
        </is>
      </c>
      <c r="B12" t="inlineStr">
        <is>
          <t>Khám sức khỏe định kỳ</t>
        </is>
      </c>
      <c r="C12" t="inlineStr">
        <is>
          <t>351</t>
        </is>
      </c>
      <c r="D12" t="n">
        <v>7</v>
      </c>
    </row>
    <row r="13">
      <c r="A13" s="23" t="inlineStr">
        <is>
          <t>Phí dịch vụ</t>
        </is>
      </c>
      <c r="B13" t="inlineStr">
        <is>
          <t>Thu nhập chịu thuế khác</t>
        </is>
      </c>
      <c r="C13" t="inlineStr">
        <is>
          <t>202</t>
        </is>
      </c>
      <c r="D13" t="n">
        <v>3</v>
      </c>
    </row>
    <row r="14">
      <c r="A14" s="23" t="inlineStr">
        <is>
          <t>Phí dịch vụ</t>
        </is>
      </c>
      <c r="B14" t="inlineStr">
        <is>
          <t>Phí chuyển khoản</t>
        </is>
      </c>
      <c r="C14" t="inlineStr">
        <is>
          <t>338</t>
        </is>
      </c>
      <c r="D14" t="n">
        <v>3300</v>
      </c>
    </row>
    <row r="15">
      <c r="A15" s="23" t="inlineStr">
        <is>
          <t>Phí dịch vụ</t>
        </is>
      </c>
      <c r="B15" t="inlineStr">
        <is>
          <t>12 ngày phép</t>
        </is>
      </c>
      <c r="C15" t="inlineStr">
        <is>
          <t>356</t>
        </is>
      </c>
      <c r="D15" t="n">
        <v>7</v>
      </c>
    </row>
    <row r="16">
      <c r="A16" s="23" t="inlineStr">
        <is>
          <t>Phí dịch vụ</t>
        </is>
      </c>
      <c r="B16" t="inlineStr">
        <is>
          <t>Lì xì</t>
        </is>
      </c>
      <c r="C16" t="inlineStr">
        <is>
          <t>358</t>
        </is>
      </c>
      <c r="D16" t="n">
        <v>7</v>
      </c>
    </row>
    <row r="17">
      <c r="A17" s="23" t="inlineStr">
        <is>
          <t>Công đoàn phí</t>
        </is>
      </c>
      <c r="B17" t="inlineStr">
        <is>
          <t>Trích nộp công đoàn phí</t>
        </is>
      </c>
      <c r="C17" t="inlineStr">
        <is>
          <t>301</t>
        </is>
      </c>
      <c r="D17" t="n">
        <v>45000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2023-12-08T04:09:06Z</dcterms:created>
  <dcterms:modified xmlns:dcterms="http://purl.org/dc/terms/" xmlns:xsi="http://www.w3.org/2001/XMLSchema-instance" xsi:type="dcterms:W3CDTF">2023-12-08T04:09:08Z</dcterms:modified>
  <cp:lastModifiedBy>Tong Thi Phuoc Ngoc</cp:lastModifiedBy>
</cp:coreProperties>
</file>

<file path=docProps/custom.xml><?xml version="1.0" encoding="utf-8"?>
<Properties xmlns="http://schemas.openxmlformats.org/officeDocument/2006/custom-properties">
  <property fmtid="{D5CDD505-2E9C-101B-9397-08002B2CF9AE}" name="Generator" pid="2">
    <vt:lpwstr xmlns:vt="http://schemas.openxmlformats.org/officeDocument/2006/docPropsVTypes">Aeroo Reports 11.0.1.0</vt:lpwstr>
  </property>
  <property fmtid="{D5CDD505-2E9C-101B-9397-08002B2CF9AE}" name="Software" pid="3">
    <vt:lpwstr xmlns:vt="http://schemas.openxmlformats.org/officeDocument/2006/docPropsVTypes">Odoo 11.0+e-20190505</vt:lpwstr>
  </property>
  <property fmtid="{D5CDD505-2E9C-101B-9397-08002B2CF9AE}" name="URL" pid="4">
    <vt:lpwstr xmlns:vt="http://schemas.openxmlformats.org/officeDocument/2006/docPropsVTypes">https://www.odoo.com</vt:lpwstr>
  </property>
</Properties>
</file>