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7116" tabRatio="861"/>
  </bookViews>
  <sheets>
    <sheet name="金融板块工资表" sheetId="6" r:id="rId1"/>
    <sheet name="附表1绩效考核工资表" sheetId="20" r:id="rId2"/>
    <sheet name="附表2提成汇总" sheetId="14" r:id="rId3"/>
    <sheet name="提成附表1个人对接提成表" sheetId="22" r:id="rId4"/>
    <sheet name="提成附表2管理干部区域提成表" sheetId="13" r:id="rId5"/>
  </sheets>
  <definedNames>
    <definedName name="_xlnm._FilterDatabase" localSheetId="2" hidden="1">附表2提成汇总!$A$1:$H$26</definedName>
    <definedName name="_xlnm._FilterDatabase" localSheetId="0" hidden="1">金融板块工资表!$A$4:$AC$33</definedName>
    <definedName name="_xlnm._FilterDatabase" localSheetId="3" hidden="1">提成附表1个人对接提成表!$A$2:$H$28</definedName>
    <definedName name="_xlnm._FilterDatabase" localSheetId="4" hidden="1">提成附表2管理干部区域提成表!$A$2:$J$7</definedName>
    <definedName name="_xlnm.Print_Titles" localSheetId="3">提成附表1个人对接提成表!$1:2</definedName>
  </definedNames>
  <calcPr calcId="145621" concurrentCalc="0"/>
</workbook>
</file>

<file path=xl/calcChain.xml><?xml version="1.0" encoding="utf-8"?>
<calcChain xmlns="http://schemas.openxmlformats.org/spreadsheetml/2006/main">
  <c r="H3" i="13" l="1"/>
  <c r="I3" i="13"/>
  <c r="I4" i="13"/>
  <c r="I5" i="13"/>
  <c r="I6" i="13"/>
  <c r="I7" i="13"/>
  <c r="G7" i="13"/>
  <c r="E7" i="13"/>
  <c r="H6" i="13"/>
  <c r="H5" i="13"/>
  <c r="H4" i="13"/>
  <c r="A1" i="13"/>
  <c r="E3" i="22"/>
  <c r="G3" i="22"/>
  <c r="E4" i="22"/>
  <c r="G4" i="22"/>
  <c r="E5" i="22"/>
  <c r="G5" i="22"/>
  <c r="E6" i="22"/>
  <c r="G6" i="22"/>
  <c r="E7" i="22"/>
  <c r="G7" i="22"/>
  <c r="E8" i="22"/>
  <c r="G8" i="22"/>
  <c r="E9" i="22"/>
  <c r="G9" i="22"/>
  <c r="E10" i="22"/>
  <c r="G10" i="22"/>
  <c r="E11" i="22"/>
  <c r="G11" i="22"/>
  <c r="E12" i="22"/>
  <c r="G12" i="22"/>
  <c r="E13" i="22"/>
  <c r="G13" i="22"/>
  <c r="E14" i="22"/>
  <c r="G14" i="22"/>
  <c r="E15" i="22"/>
  <c r="G15" i="22"/>
  <c r="E16" i="22"/>
  <c r="G16" i="22"/>
  <c r="E17" i="22"/>
  <c r="G17" i="22"/>
  <c r="E18" i="22"/>
  <c r="G18" i="22"/>
  <c r="E19" i="22"/>
  <c r="G19" i="22"/>
  <c r="E20" i="22"/>
  <c r="G20" i="22"/>
  <c r="E21" i="22"/>
  <c r="G21" i="22"/>
  <c r="E22" i="22"/>
  <c r="G22" i="22"/>
  <c r="E23" i="22"/>
  <c r="G23" i="22"/>
  <c r="E24" i="22"/>
  <c r="G24" i="22"/>
  <c r="E25" i="22"/>
  <c r="G25" i="22"/>
  <c r="E26" i="22"/>
  <c r="G26" i="22"/>
  <c r="E27" i="22"/>
  <c r="G27" i="22"/>
  <c r="G28" i="22"/>
  <c r="F28" i="22"/>
  <c r="E28" i="22"/>
  <c r="D28" i="22"/>
  <c r="C28" i="22"/>
  <c r="A1" i="22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E26" i="14"/>
  <c r="D26" i="14"/>
  <c r="C26" i="14"/>
  <c r="A1" i="14"/>
  <c r="P4" i="20"/>
  <c r="Q4" i="20"/>
  <c r="P5" i="20"/>
  <c r="Q5" i="20"/>
  <c r="P6" i="20"/>
  <c r="E6" i="20"/>
  <c r="G6" i="20"/>
  <c r="D6" i="20"/>
  <c r="H6" i="20"/>
  <c r="Q6" i="20"/>
  <c r="P7" i="20"/>
  <c r="Q7" i="20"/>
  <c r="P8" i="20"/>
  <c r="Q8" i="20"/>
  <c r="P9" i="20"/>
  <c r="E9" i="20"/>
  <c r="G9" i="20"/>
  <c r="D9" i="20"/>
  <c r="H9" i="20"/>
  <c r="Q9" i="20"/>
  <c r="P10" i="20"/>
  <c r="Q10" i="20"/>
  <c r="P11" i="20"/>
  <c r="E11" i="20"/>
  <c r="G11" i="20"/>
  <c r="D11" i="20"/>
  <c r="H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Q32" i="20"/>
  <c r="F4" i="20"/>
  <c r="E4" i="20"/>
  <c r="G4" i="20"/>
  <c r="N4" i="20"/>
  <c r="F5" i="20"/>
  <c r="E5" i="20"/>
  <c r="D5" i="20"/>
  <c r="G5" i="20"/>
  <c r="N5" i="20"/>
  <c r="F6" i="20"/>
  <c r="M6" i="20"/>
  <c r="N6" i="20"/>
  <c r="F7" i="20"/>
  <c r="E7" i="20"/>
  <c r="G7" i="20"/>
  <c r="D7" i="20"/>
  <c r="M7" i="20"/>
  <c r="H7" i="20"/>
  <c r="N7" i="20"/>
  <c r="F8" i="20"/>
  <c r="E8" i="20"/>
  <c r="G8" i="20"/>
  <c r="D8" i="20"/>
  <c r="M8" i="20"/>
  <c r="H8" i="20"/>
  <c r="N8" i="20"/>
  <c r="F9" i="20"/>
  <c r="M9" i="20"/>
  <c r="N9" i="20"/>
  <c r="F10" i="20"/>
  <c r="E10" i="20"/>
  <c r="G10" i="20"/>
  <c r="D10" i="20"/>
  <c r="M10" i="20"/>
  <c r="H10" i="20"/>
  <c r="N10" i="20"/>
  <c r="F11" i="20"/>
  <c r="M11" i="20"/>
  <c r="N11" i="20"/>
  <c r="F12" i="20"/>
  <c r="E12" i="20"/>
  <c r="G12" i="20"/>
  <c r="D12" i="20"/>
  <c r="M12" i="20"/>
  <c r="H12" i="20"/>
  <c r="N12" i="20"/>
  <c r="F13" i="20"/>
  <c r="E13" i="20"/>
  <c r="D13" i="20"/>
  <c r="H13" i="20"/>
  <c r="G13" i="20"/>
  <c r="M13" i="20"/>
  <c r="N13" i="20"/>
  <c r="F14" i="20"/>
  <c r="E14" i="20"/>
  <c r="N14" i="20"/>
  <c r="F15" i="20"/>
  <c r="E15" i="20"/>
  <c r="D15" i="20"/>
  <c r="G15" i="20"/>
  <c r="H15" i="20"/>
  <c r="M15" i="20"/>
  <c r="N15" i="20"/>
  <c r="F16" i="20"/>
  <c r="E16" i="20"/>
  <c r="G16" i="20"/>
  <c r="D16" i="20"/>
  <c r="M16" i="20"/>
  <c r="H16" i="20"/>
  <c r="N16" i="20"/>
  <c r="F17" i="20"/>
  <c r="E17" i="20"/>
  <c r="D17" i="20"/>
  <c r="G17" i="20"/>
  <c r="H17" i="20"/>
  <c r="M17" i="20"/>
  <c r="N17" i="20"/>
  <c r="F18" i="20"/>
  <c r="E18" i="20"/>
  <c r="D18" i="20"/>
  <c r="G18" i="20"/>
  <c r="H18" i="20"/>
  <c r="M18" i="20"/>
  <c r="N18" i="20"/>
  <c r="F19" i="20"/>
  <c r="E19" i="20"/>
  <c r="G19" i="20"/>
  <c r="D19" i="20"/>
  <c r="M19" i="20"/>
  <c r="H19" i="20"/>
  <c r="N19" i="20"/>
  <c r="F21" i="20"/>
  <c r="E21" i="20"/>
  <c r="N21" i="20"/>
  <c r="F22" i="20"/>
  <c r="E22" i="20"/>
  <c r="N22" i="20"/>
  <c r="F23" i="20"/>
  <c r="E23" i="20"/>
  <c r="N23" i="20"/>
  <c r="F24" i="20"/>
  <c r="E24" i="20"/>
  <c r="N24" i="20"/>
  <c r="F25" i="20"/>
  <c r="E25" i="20"/>
  <c r="N25" i="20"/>
  <c r="F26" i="20"/>
  <c r="E26" i="20"/>
  <c r="N26" i="20"/>
  <c r="F27" i="20"/>
  <c r="E27" i="20"/>
  <c r="N27" i="20"/>
  <c r="F28" i="20"/>
  <c r="E28" i="20"/>
  <c r="N28" i="20"/>
  <c r="F29" i="20"/>
  <c r="E29" i="20"/>
  <c r="N29" i="20"/>
  <c r="F30" i="20"/>
  <c r="E30" i="20"/>
  <c r="N30" i="20"/>
  <c r="F31" i="20"/>
  <c r="E31" i="20"/>
  <c r="N31" i="20"/>
  <c r="N32" i="20"/>
  <c r="G31" i="20"/>
  <c r="D31" i="20"/>
  <c r="M31" i="20"/>
  <c r="L32" i="6"/>
  <c r="I31" i="20"/>
  <c r="K32" i="6"/>
  <c r="H31" i="20"/>
  <c r="C31" i="20"/>
  <c r="B31" i="20"/>
  <c r="G30" i="20"/>
  <c r="D30" i="20"/>
  <c r="M30" i="20"/>
  <c r="L31" i="6"/>
  <c r="I30" i="20"/>
  <c r="K31" i="6"/>
  <c r="H30" i="20"/>
  <c r="C30" i="20"/>
  <c r="B30" i="20"/>
  <c r="G29" i="20"/>
  <c r="D29" i="20"/>
  <c r="M29" i="20"/>
  <c r="L30" i="6"/>
  <c r="I29" i="20"/>
  <c r="K30" i="6"/>
  <c r="H29" i="20"/>
  <c r="C29" i="20"/>
  <c r="B29" i="20"/>
  <c r="G28" i="20"/>
  <c r="D28" i="20"/>
  <c r="M28" i="20"/>
  <c r="L29" i="6"/>
  <c r="I28" i="20"/>
  <c r="K29" i="6"/>
  <c r="H28" i="20"/>
  <c r="C28" i="20"/>
  <c r="B28" i="20"/>
  <c r="G27" i="20"/>
  <c r="D27" i="20"/>
  <c r="M27" i="20"/>
  <c r="L28" i="6"/>
  <c r="I27" i="20"/>
  <c r="K28" i="6"/>
  <c r="H27" i="20"/>
  <c r="C27" i="20"/>
  <c r="B27" i="20"/>
  <c r="G26" i="20"/>
  <c r="D26" i="20"/>
  <c r="M26" i="20"/>
  <c r="L27" i="6"/>
  <c r="I26" i="20"/>
  <c r="K27" i="6"/>
  <c r="H26" i="20"/>
  <c r="C26" i="20"/>
  <c r="B26" i="20"/>
  <c r="G25" i="20"/>
  <c r="D25" i="20"/>
  <c r="M25" i="20"/>
  <c r="L26" i="6"/>
  <c r="I25" i="20"/>
  <c r="K26" i="6"/>
  <c r="H25" i="20"/>
  <c r="C25" i="20"/>
  <c r="B25" i="20"/>
  <c r="G24" i="20"/>
  <c r="D24" i="20"/>
  <c r="M24" i="20"/>
  <c r="L25" i="6"/>
  <c r="I24" i="20"/>
  <c r="K25" i="6"/>
  <c r="H24" i="20"/>
  <c r="C24" i="20"/>
  <c r="B24" i="20"/>
  <c r="G23" i="20"/>
  <c r="D23" i="20"/>
  <c r="M23" i="20"/>
  <c r="L24" i="6"/>
  <c r="I23" i="20"/>
  <c r="K24" i="6"/>
  <c r="H23" i="20"/>
  <c r="C23" i="20"/>
  <c r="B23" i="20"/>
  <c r="G22" i="20"/>
  <c r="D22" i="20"/>
  <c r="M22" i="20"/>
  <c r="L23" i="6"/>
  <c r="I22" i="20"/>
  <c r="K23" i="6"/>
  <c r="H22" i="20"/>
  <c r="C22" i="20"/>
  <c r="B22" i="20"/>
  <c r="G21" i="20"/>
  <c r="D21" i="20"/>
  <c r="M21" i="20"/>
  <c r="L22" i="6"/>
  <c r="I21" i="20"/>
  <c r="K22" i="6"/>
  <c r="H21" i="20"/>
  <c r="C21" i="20"/>
  <c r="B21" i="20"/>
  <c r="G20" i="20"/>
  <c r="E20" i="20"/>
  <c r="D20" i="20"/>
  <c r="M20" i="20"/>
  <c r="L21" i="6"/>
  <c r="I20" i="20"/>
  <c r="K21" i="6"/>
  <c r="H20" i="20"/>
  <c r="F20" i="20"/>
  <c r="C20" i="20"/>
  <c r="B20" i="20"/>
  <c r="L20" i="6"/>
  <c r="I19" i="20"/>
  <c r="C19" i="20"/>
  <c r="B19" i="20"/>
  <c r="L19" i="6"/>
  <c r="I18" i="20"/>
  <c r="C18" i="20"/>
  <c r="B18" i="20"/>
  <c r="L18" i="6"/>
  <c r="I17" i="20"/>
  <c r="C17" i="20"/>
  <c r="B17" i="20"/>
  <c r="L17" i="6"/>
  <c r="I16" i="20"/>
  <c r="C16" i="20"/>
  <c r="B16" i="20"/>
  <c r="L16" i="6"/>
  <c r="I15" i="20"/>
  <c r="C15" i="20"/>
  <c r="B15" i="20"/>
  <c r="G14" i="20"/>
  <c r="D14" i="20"/>
  <c r="M14" i="20"/>
  <c r="I14" i="20"/>
  <c r="H14" i="20"/>
  <c r="C14" i="20"/>
  <c r="B14" i="20"/>
  <c r="L14" i="6"/>
  <c r="I13" i="20"/>
  <c r="C13" i="20"/>
  <c r="B13" i="20"/>
  <c r="L13" i="6"/>
  <c r="I12" i="20"/>
  <c r="C12" i="20"/>
  <c r="B12" i="20"/>
  <c r="L12" i="6"/>
  <c r="I11" i="20"/>
  <c r="C11" i="20"/>
  <c r="B11" i="20"/>
  <c r="L11" i="6"/>
  <c r="I10" i="20"/>
  <c r="C10" i="20"/>
  <c r="B10" i="20"/>
  <c r="L10" i="6"/>
  <c r="I9" i="20"/>
  <c r="C9" i="20"/>
  <c r="B9" i="20"/>
  <c r="L9" i="6"/>
  <c r="I8" i="20"/>
  <c r="C8" i="20"/>
  <c r="B8" i="20"/>
  <c r="L8" i="6"/>
  <c r="I7" i="20"/>
  <c r="C7" i="20"/>
  <c r="B7" i="20"/>
  <c r="L7" i="6"/>
  <c r="I6" i="20"/>
  <c r="C6" i="20"/>
  <c r="B6" i="20"/>
  <c r="M5" i="20"/>
  <c r="L6" i="6"/>
  <c r="I5" i="20"/>
  <c r="H5" i="20"/>
  <c r="C5" i="20"/>
  <c r="B5" i="20"/>
  <c r="D4" i="20"/>
  <c r="M4" i="20"/>
  <c r="L5" i="6"/>
  <c r="I4" i="20"/>
  <c r="H4" i="20"/>
  <c r="C4" i="20"/>
  <c r="B4" i="20"/>
  <c r="A1" i="20"/>
  <c r="M5" i="6"/>
  <c r="N5" i="6"/>
  <c r="O5" i="6"/>
  <c r="R5" i="6"/>
  <c r="S5" i="6"/>
  <c r="T5" i="6"/>
  <c r="Z5" i="6"/>
  <c r="M6" i="6"/>
  <c r="N6" i="6"/>
  <c r="O6" i="6"/>
  <c r="R6" i="6"/>
  <c r="S6" i="6"/>
  <c r="T6" i="6"/>
  <c r="Z6" i="6"/>
  <c r="M7" i="6"/>
  <c r="N7" i="6"/>
  <c r="O7" i="6"/>
  <c r="R7" i="6"/>
  <c r="S7" i="6"/>
  <c r="T7" i="6"/>
  <c r="Z7" i="6"/>
  <c r="M8" i="6"/>
  <c r="N8" i="6"/>
  <c r="O8" i="6"/>
  <c r="R8" i="6"/>
  <c r="S8" i="6"/>
  <c r="T8" i="6"/>
  <c r="Z8" i="6"/>
  <c r="M9" i="6"/>
  <c r="N9" i="6"/>
  <c r="O9" i="6"/>
  <c r="R9" i="6"/>
  <c r="S9" i="6"/>
  <c r="T9" i="6"/>
  <c r="Z9" i="6"/>
  <c r="M10" i="6"/>
  <c r="N10" i="6"/>
  <c r="O10" i="6"/>
  <c r="R10" i="6"/>
  <c r="S10" i="6"/>
  <c r="T10" i="6"/>
  <c r="Z10" i="6"/>
  <c r="M11" i="6"/>
  <c r="N11" i="6"/>
  <c r="O11" i="6"/>
  <c r="R11" i="6"/>
  <c r="S11" i="6"/>
  <c r="T11" i="6"/>
  <c r="Z11" i="6"/>
  <c r="M12" i="6"/>
  <c r="N12" i="6"/>
  <c r="O12" i="6"/>
  <c r="R12" i="6"/>
  <c r="S12" i="6"/>
  <c r="T12" i="6"/>
  <c r="Z12" i="6"/>
  <c r="M13" i="6"/>
  <c r="N13" i="6"/>
  <c r="O13" i="6"/>
  <c r="R13" i="6"/>
  <c r="S13" i="6"/>
  <c r="T13" i="6"/>
  <c r="Z13" i="6"/>
  <c r="M14" i="6"/>
  <c r="N14" i="6"/>
  <c r="O14" i="6"/>
  <c r="R14" i="6"/>
  <c r="S14" i="6"/>
  <c r="T14" i="6"/>
  <c r="Z14" i="6"/>
  <c r="N15" i="6"/>
  <c r="O15" i="6"/>
  <c r="T15" i="6"/>
  <c r="Z15" i="6"/>
  <c r="M16" i="6"/>
  <c r="N16" i="6"/>
  <c r="O16" i="6"/>
  <c r="R16" i="6"/>
  <c r="S16" i="6"/>
  <c r="T16" i="6"/>
  <c r="Z16" i="6"/>
  <c r="M17" i="6"/>
  <c r="N17" i="6"/>
  <c r="O17" i="6"/>
  <c r="R17" i="6"/>
  <c r="S17" i="6"/>
  <c r="T17" i="6"/>
  <c r="Z17" i="6"/>
  <c r="M18" i="6"/>
  <c r="N18" i="6"/>
  <c r="O18" i="6"/>
  <c r="R18" i="6"/>
  <c r="S18" i="6"/>
  <c r="T18" i="6"/>
  <c r="Z18" i="6"/>
  <c r="M19" i="6"/>
  <c r="N19" i="6"/>
  <c r="O19" i="6"/>
  <c r="R19" i="6"/>
  <c r="S19" i="6"/>
  <c r="T19" i="6"/>
  <c r="Z19" i="6"/>
  <c r="M20" i="6"/>
  <c r="N20" i="6"/>
  <c r="O20" i="6"/>
  <c r="R20" i="6"/>
  <c r="S20" i="6"/>
  <c r="T20" i="6"/>
  <c r="Z20" i="6"/>
  <c r="M21" i="6"/>
  <c r="N21" i="6"/>
  <c r="O21" i="6"/>
  <c r="R21" i="6"/>
  <c r="S21" i="6"/>
  <c r="T21" i="6"/>
  <c r="Z21" i="6"/>
  <c r="M22" i="6"/>
  <c r="N22" i="6"/>
  <c r="O22" i="6"/>
  <c r="R22" i="6"/>
  <c r="S22" i="6"/>
  <c r="T22" i="6"/>
  <c r="Z22" i="6"/>
  <c r="M23" i="6"/>
  <c r="N23" i="6"/>
  <c r="O23" i="6"/>
  <c r="R23" i="6"/>
  <c r="S23" i="6"/>
  <c r="T23" i="6"/>
  <c r="Z23" i="6"/>
  <c r="M24" i="6"/>
  <c r="N24" i="6"/>
  <c r="O24" i="6"/>
  <c r="R24" i="6"/>
  <c r="S24" i="6"/>
  <c r="T24" i="6"/>
  <c r="Z24" i="6"/>
  <c r="M25" i="6"/>
  <c r="N25" i="6"/>
  <c r="O25" i="6"/>
  <c r="R25" i="6"/>
  <c r="S25" i="6"/>
  <c r="T25" i="6"/>
  <c r="Z25" i="6"/>
  <c r="M26" i="6"/>
  <c r="N26" i="6"/>
  <c r="O26" i="6"/>
  <c r="R26" i="6"/>
  <c r="S26" i="6"/>
  <c r="T26" i="6"/>
  <c r="Z26" i="6"/>
  <c r="M27" i="6"/>
  <c r="N27" i="6"/>
  <c r="O27" i="6"/>
  <c r="R27" i="6"/>
  <c r="S27" i="6"/>
  <c r="T27" i="6"/>
  <c r="Z27" i="6"/>
  <c r="M28" i="6"/>
  <c r="N28" i="6"/>
  <c r="O28" i="6"/>
  <c r="R28" i="6"/>
  <c r="S28" i="6"/>
  <c r="T28" i="6"/>
  <c r="Z28" i="6"/>
  <c r="M29" i="6"/>
  <c r="N29" i="6"/>
  <c r="O29" i="6"/>
  <c r="R29" i="6"/>
  <c r="S29" i="6"/>
  <c r="T29" i="6"/>
  <c r="Z29" i="6"/>
  <c r="M30" i="6"/>
  <c r="N30" i="6"/>
  <c r="O30" i="6"/>
  <c r="R30" i="6"/>
  <c r="S30" i="6"/>
  <c r="T30" i="6"/>
  <c r="Z30" i="6"/>
  <c r="M31" i="6"/>
  <c r="N31" i="6"/>
  <c r="O31" i="6"/>
  <c r="R31" i="6"/>
  <c r="S31" i="6"/>
  <c r="T31" i="6"/>
  <c r="Z31" i="6"/>
  <c r="M32" i="6"/>
  <c r="N32" i="6"/>
  <c r="O32" i="6"/>
  <c r="R32" i="6"/>
  <c r="S32" i="6"/>
  <c r="T32" i="6"/>
  <c r="Z32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</calcChain>
</file>

<file path=xl/comments1.xml><?xml version="1.0" encoding="utf-8"?>
<comments xmlns="http://schemas.openxmlformats.org/spreadsheetml/2006/main">
  <authors>
    <author>Administrator</author>
    <author>Ivan</author>
  </authors>
  <commentList>
    <comment ref="B3" authorId="0">
      <text>
        <r>
          <rPr>
            <sz val="9"/>
            <rFont val="宋体"/>
            <charset val="134"/>
          </rPr>
          <t>在该公司发放提成的人员，公司名称都填写为该公司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提成为只发放提成人员
</t>
        </r>
      </text>
    </comment>
    <comment ref="D3" authorId="0">
      <text>
        <r>
          <rPr>
            <sz val="9"/>
            <rFont val="宋体"/>
            <charset val="134"/>
          </rPr>
          <t>提成为只发放提成人员</t>
        </r>
      </text>
    </comment>
    <comment ref="E3" authorId="0">
      <text>
        <r>
          <rPr>
            <sz val="9"/>
            <rFont val="宋体"/>
            <charset val="134"/>
          </rPr>
          <t>星级是辅助查看员工薪资上限的。</t>
        </r>
      </text>
    </comment>
    <comment ref="F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提成为只发放提成人员
</t>
        </r>
      </text>
    </comment>
    <comment ref="G3" authorId="0">
      <text>
        <r>
          <rPr>
            <sz val="9"/>
            <rFont val="宋体"/>
            <charset val="134"/>
          </rPr>
          <t>1、不能有重名
2、转正当月加批注说明
3、调整薪资加批注说明自几月执行</t>
        </r>
      </text>
    </comment>
    <comment ref="H3" authorId="0">
      <text>
        <r>
          <rPr>
            <sz val="9"/>
            <color rgb="FFFF0000"/>
            <rFont val="宋体"/>
            <charset val="134"/>
          </rPr>
          <t>提成状态只能是属于平台员工，但不属于本公司员工。
离职员工发放提成，选择离职状态。</t>
        </r>
      </text>
    </comment>
    <comment ref="K3" authorId="0">
      <text>
        <r>
          <rPr>
            <sz val="9"/>
            <rFont val="宋体"/>
            <charset val="134"/>
          </rPr>
          <t>调整薪资加批注说明，调整额度，自几月工资开始执行。
举例：涨薪500元，自2020年5月执行。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加批注详细说明补助类型，执行期间，执行依据。
</t>
        </r>
        <r>
          <rPr>
            <b/>
            <sz val="9"/>
            <color rgb="FFFF0000"/>
            <rFont val="宋体"/>
            <charset val="134"/>
          </rPr>
          <t>只能是红文中四种补助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加批注详细说明其他或奖励执行依据，执行期间及金额
</t>
        </r>
        <r>
          <rPr>
            <b/>
            <sz val="9"/>
            <color rgb="FFFF0000"/>
            <rFont val="宋体"/>
            <charset val="134"/>
          </rPr>
          <t>客户转化员工，半年补助填到此处
补发上月工资等</t>
        </r>
      </text>
    </comment>
    <comment ref="V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加批注说明罚款类型；</t>
        </r>
      </text>
    </comment>
    <comment ref="X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加批注说明</t>
        </r>
      </text>
    </comment>
    <comment ref="G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2021.03.15入职</t>
        </r>
      </text>
    </comment>
    <comment ref="G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2021.03.19入职</t>
        </r>
      </text>
    </comment>
    <comment ref="P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新员工完成1万，任务10W</t>
        </r>
      </text>
    </comment>
    <comment ref="G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2020.3月转正
2021.4月一星</t>
        </r>
      </text>
    </comment>
    <comment ref="V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扣除2021.4月绩效297元未完成履约
</t>
        </r>
      </text>
    </comment>
    <comment ref="W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G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入职时间2020.11.18</t>
        </r>
      </text>
    </comment>
    <comment ref="V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扣除2021.4月绩效658元未完成履约</t>
        </r>
      </text>
    </comment>
    <comment ref="W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G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3.23入职，5月转正
2021.4月一星</t>
        </r>
      </text>
    </comment>
    <comment ref="W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K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2021.1月二星涨薪200</t>
        </r>
      </text>
    </comment>
    <comment ref="W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K11" authorId="0">
      <text>
        <r>
          <rPr>
            <b/>
            <sz val="9"/>
            <rFont val="宋体"/>
            <charset val="134"/>
          </rPr>
          <t>2020.5月执行，原薪资3500元，涨薪100元
2020.7月份升主管底薪4100
2021.4月二星200</t>
        </r>
      </text>
    </comment>
    <comment ref="V11" authorId="1">
      <text>
        <r>
          <rPr>
            <b/>
            <sz val="9"/>
            <color indexed="81"/>
            <rFont val="宋体"/>
            <family val="3"/>
            <charset val="134"/>
          </rPr>
          <t>Ivan:</t>
        </r>
        <r>
          <rPr>
            <sz val="9"/>
            <color indexed="81"/>
            <rFont val="宋体"/>
            <family val="3"/>
            <charset val="134"/>
          </rPr>
          <t xml:space="preserve">
扣除4月绩效工资826.56元</t>
        </r>
      </text>
    </comment>
    <comment ref="W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G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2020.7月星级变动5星</t>
        </r>
      </text>
    </comment>
    <comment ref="K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2020.7月星级变动5星
2021.1月涨薪经理薪资4500</t>
        </r>
      </text>
    </comment>
    <comment ref="W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V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扣除2021.4月绩效855元未完成履约</t>
        </r>
      </text>
    </comment>
    <comment ref="W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社保345.7
公积金191</t>
        </r>
      </text>
    </comment>
    <comment ref="G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2020.5月星级变动
2020.8月总经理转正</t>
        </r>
      </text>
    </comment>
    <comment ref="K14" authorId="0">
      <text>
        <r>
          <rPr>
            <b/>
            <sz val="9"/>
            <rFont val="宋体"/>
            <charset val="134"/>
          </rPr>
          <t>5月份执行，原薪资5000元，涨薪200元，2020.8月总经理转正8200底薪2021.2月涨薪星级100</t>
        </r>
      </text>
    </comment>
    <comment ref="Q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4月完成业绩，按照基本工资150%发放红文执行</t>
        </r>
      </text>
    </comment>
    <comment ref="W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社保个人承担部分356.9
公积金207.6
</t>
        </r>
      </text>
    </comment>
    <comment ref="G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政委刘金明工资3000元</t>
        </r>
      </text>
    </comment>
    <comment ref="K15" authorId="0">
      <text>
        <r>
          <rPr>
            <b/>
            <sz val="9"/>
            <rFont val="宋体"/>
            <charset val="134"/>
          </rPr>
          <t>政委工资3000</t>
        </r>
      </text>
    </comment>
    <comment ref="L15" authorId="0">
      <text>
        <r>
          <rPr>
            <b/>
            <sz val="9"/>
            <rFont val="宋体"/>
            <charset val="134"/>
          </rPr>
          <t>政委工资3000</t>
        </r>
      </text>
    </comment>
    <comment ref="G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2020.6.23入职,
7月转正,11月转业务</t>
        </r>
      </text>
    </comment>
    <comment ref="G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2020.11月转正</t>
        </r>
      </text>
    </comment>
    <comment ref="U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2021.3月离职</t>
        </r>
      </text>
    </comment>
    <comment ref="G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2020.8.10入职
2021.01.31离职</t>
        </r>
      </text>
    </comment>
    <comment ref="G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2020.9.3号入职
2020.11.30号离职</t>
        </r>
      </text>
    </comment>
    <comment ref="G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转正押金从独立时扣的
</t>
        </r>
      </text>
    </comment>
    <comment ref="G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转正押金从独立时扣的</t>
        </r>
      </text>
    </comment>
  </commentList>
</comments>
</file>

<file path=xl/comments2.xml><?xml version="1.0" encoding="utf-8"?>
<comments xmlns="http://schemas.openxmlformats.org/spreadsheetml/2006/main">
  <authors>
    <author>yanjjie.yuan</author>
    <author>Administrator</author>
  </authors>
  <commentList>
    <comment ref="J3" authorId="0">
      <text>
        <r>
          <rPr>
            <sz val="9"/>
            <rFont val="宋体"/>
            <charset val="134"/>
          </rPr>
          <t>业务绩效任务量
以万元为单位核算</t>
        </r>
      </text>
    </comment>
    <comment ref="K3" authorId="0">
      <text>
        <r>
          <rPr>
            <sz val="9"/>
            <rFont val="宋体"/>
            <charset val="134"/>
          </rPr>
          <t xml:space="preserve">业务绩效任务完成量
以万元为单位核算
</t>
        </r>
      </text>
    </comment>
    <comment ref="L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百分制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Administrator:
提成附表1</t>
        </r>
      </text>
    </comment>
    <comment ref="D2" authorId="0">
      <text>
        <r>
          <rPr>
            <sz val="9"/>
            <rFont val="宋体"/>
            <charset val="134"/>
          </rPr>
          <t>Administrator:
提成附表2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不包含接手离职员工回款对接资金</t>
        </r>
      </text>
    </comment>
    <comment ref="F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当月离职、调岗等原因交接给他人的资金
</t>
        </r>
      </text>
    </comment>
    <comment ref="D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接手资金4+备用金39+4820=4863</t>
        </r>
      </text>
    </comment>
    <comment ref="E28" authorId="0">
      <text>
        <r>
          <rPr>
            <sz val="9"/>
            <rFont val="宋体"/>
            <charset val="134"/>
          </rPr>
          <t>如与公司本月业绩有差额。加批注说明。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sz val="9"/>
            <rFont val="宋体"/>
            <charset val="134"/>
          </rPr>
          <t>自行选择职位</t>
        </r>
      </text>
    </comment>
  </commentList>
</comments>
</file>

<file path=xl/sharedStrings.xml><?xml version="1.0" encoding="utf-8"?>
<sst xmlns="http://schemas.openxmlformats.org/spreadsheetml/2006/main" count="295" uniqueCount="121">
  <si>
    <t>青岛腾聚信诚信息咨询有限公司2021年4月工资表</t>
  </si>
  <si>
    <t>工资表模板-20210205</t>
  </si>
  <si>
    <t>序号</t>
  </si>
  <si>
    <t>公司名称</t>
  </si>
  <si>
    <t>部门</t>
  </si>
  <si>
    <t>职位</t>
  </si>
  <si>
    <t>星级</t>
  </si>
  <si>
    <t>职位性质</t>
  </si>
  <si>
    <t>姓名</t>
  </si>
  <si>
    <t>员工状态</t>
  </si>
  <si>
    <t>出勤天数</t>
  </si>
  <si>
    <t>缺勤天数</t>
  </si>
  <si>
    <t>月度工资</t>
  </si>
  <si>
    <t>基本工资</t>
  </si>
  <si>
    <t>绩效工资</t>
  </si>
  <si>
    <t>缺勤工资</t>
  </si>
  <si>
    <t>补助</t>
  </si>
  <si>
    <t>其他或奖励</t>
  </si>
  <si>
    <t>个人业绩提成</t>
  </si>
  <si>
    <t>管理干部提成</t>
  </si>
  <si>
    <t>应发工资</t>
  </si>
  <si>
    <t>退岗位培训费</t>
  </si>
  <si>
    <t>罚款</t>
  </si>
  <si>
    <t>代扣社保</t>
  </si>
  <si>
    <t>扣安居乐业款、其他扣款</t>
  </si>
  <si>
    <t>扣岗位培训费</t>
  </si>
  <si>
    <t>实发工资</t>
  </si>
  <si>
    <t>户名</t>
  </si>
  <si>
    <t>开户行</t>
  </si>
  <si>
    <t>账号</t>
  </si>
  <si>
    <t>业绩绩效</t>
  </si>
  <si>
    <t>新客户绩效</t>
  </si>
  <si>
    <t>其他补助及奖励</t>
  </si>
  <si>
    <t>扣安居乐业款、车辆款、其他扣款</t>
  </si>
  <si>
    <t>青岛腾聚信诚信息咨询有限公司</t>
  </si>
  <si>
    <t>后勤部</t>
  </si>
  <si>
    <t>普通员工</t>
  </si>
  <si>
    <t>无</t>
  </si>
  <si>
    <t>后勤</t>
  </si>
  <si>
    <t>柳晶晶</t>
  </si>
  <si>
    <t>试用</t>
  </si>
  <si>
    <t>青岛银行</t>
  </si>
  <si>
    <t>胶州支行</t>
  </si>
  <si>
    <t>6231700190035355269</t>
  </si>
  <si>
    <t>业务部</t>
  </si>
  <si>
    <t>业务</t>
  </si>
  <si>
    <t>鲁正鑫</t>
  </si>
  <si>
    <t>建设银行</t>
  </si>
  <si>
    <t>6217001140021792053</t>
  </si>
  <si>
    <t>一星</t>
  </si>
  <si>
    <t>王文杰</t>
  </si>
  <si>
    <t>在职</t>
  </si>
  <si>
    <t>农业银行</t>
  </si>
  <si>
    <t>6228 4818 4285 8446 713</t>
  </si>
  <si>
    <t>戴晓兰</t>
  </si>
  <si>
    <t>6228482338476033271</t>
  </si>
  <si>
    <t>财务部</t>
  </si>
  <si>
    <t>段学敏</t>
  </si>
  <si>
    <t>6228480246128441564</t>
  </si>
  <si>
    <t>部门主管</t>
  </si>
  <si>
    <t>二星</t>
  </si>
  <si>
    <t>王玮</t>
  </si>
  <si>
    <t>招商银行</t>
  </si>
  <si>
    <t>6214 8353 2309 4837</t>
  </si>
  <si>
    <t>李晓玲</t>
  </si>
  <si>
    <t>6214 8553 2214 6461</t>
  </si>
  <si>
    <t>部门经理</t>
  </si>
  <si>
    <t>五星</t>
  </si>
  <si>
    <t>刘秋敏</t>
  </si>
  <si>
    <t>6231 7001 3000 0079 924</t>
  </si>
  <si>
    <t>王誉颖</t>
  </si>
  <si>
    <t>6231 7001 3000 0079 445</t>
  </si>
  <si>
    <t>总经理</t>
  </si>
  <si>
    <t>三星</t>
  </si>
  <si>
    <t>窦晓宇</t>
  </si>
  <si>
    <t>日照支行</t>
  </si>
  <si>
    <t>6217 0022 4000 3877 788</t>
  </si>
  <si>
    <t>政委</t>
  </si>
  <si>
    <t>提成</t>
  </si>
  <si>
    <t>纪峰</t>
  </si>
  <si>
    <t>离职</t>
  </si>
  <si>
    <t>6231700190007029652</t>
  </si>
  <si>
    <t>穆洁</t>
  </si>
  <si>
    <t>6231700190055538828</t>
  </si>
  <si>
    <t>王海斌</t>
  </si>
  <si>
    <t>6228 4602 4000 2823 116</t>
  </si>
  <si>
    <t>顾淑青</t>
  </si>
  <si>
    <t>中国银行</t>
  </si>
  <si>
    <t>6215696000006560491</t>
  </si>
  <si>
    <t>苏晨</t>
  </si>
  <si>
    <t>6228 4802 4806 6847 778</t>
  </si>
  <si>
    <t>张旭</t>
  </si>
  <si>
    <t>民生银行</t>
  </si>
  <si>
    <t>6226222708755355</t>
  </si>
  <si>
    <t>合计</t>
  </si>
  <si>
    <t>业绩绩效工资</t>
  </si>
  <si>
    <t>新客户绩效工资</t>
  </si>
  <si>
    <t>绩效任务量（业务）</t>
  </si>
  <si>
    <t>绩效完成量（业务）</t>
  </si>
  <si>
    <t>绩效工作评分（后勤）</t>
  </si>
  <si>
    <t>绩效任务完成度</t>
  </si>
  <si>
    <t>开发新客户数量</t>
  </si>
  <si>
    <t>完成比例</t>
  </si>
  <si>
    <t>个人对接提成</t>
  </si>
  <si>
    <t>管理干部区域净新增对接提成</t>
  </si>
  <si>
    <t>提成合计</t>
  </si>
  <si>
    <t>备注</t>
  </si>
  <si>
    <r>
      <rPr>
        <b/>
        <sz val="9"/>
        <rFont val="宋体"/>
        <charset val="134"/>
      </rPr>
      <t>注：1、此表格姓名必须与后表姓名一致，并且在同一表格中不能有重复人员
3、此表是</t>
    </r>
    <r>
      <rPr>
        <b/>
        <sz val="9"/>
        <color rgb="FFFF0000"/>
        <rFont val="宋体"/>
        <charset val="134"/>
      </rPr>
      <t>合计提成附表1、附表2</t>
    </r>
    <r>
      <rPr>
        <b/>
        <sz val="9"/>
        <rFont val="宋体"/>
        <charset val="134"/>
      </rPr>
      <t>提成数据自动填写</t>
    </r>
  </si>
  <si>
    <t>业务员</t>
  </si>
  <si>
    <t>上月末对接金额</t>
  </si>
  <si>
    <t>本月末对接金额</t>
  </si>
  <si>
    <t>净新增资金量</t>
  </si>
  <si>
    <t>本月接手资金</t>
  </si>
  <si>
    <t>提成金额</t>
  </si>
  <si>
    <t>区域</t>
  </si>
  <si>
    <t>本月实际净新增对接金额（万元）</t>
  </si>
  <si>
    <t>上月资金量（万元）</t>
  </si>
  <si>
    <t>任务净新增对接金额（万元）</t>
  </si>
  <si>
    <t>区域提成比例</t>
  </si>
  <si>
    <t>区域提成(元）</t>
  </si>
  <si>
    <t>王小菲团队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</si>
</sst>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8" formatCode="0.00_ "/>
    <numFmt numFmtId="179" formatCode="0.000%"/>
    <numFmt numFmtId="180" formatCode="0.0_ "/>
  </numFmts>
  <fonts count="36" x14ac:knownFonts="1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新宋体"/>
      <charset val="134"/>
    </font>
    <font>
      <sz val="9"/>
      <color rgb="FFFF0000"/>
      <name val="宋体"/>
      <charset val="134"/>
    </font>
    <font>
      <b/>
      <sz val="9"/>
      <color rgb="FFFF0000"/>
      <name val="宋体"/>
      <charset val="134"/>
    </font>
    <font>
      <b/>
      <sz val="9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宋体"/>
      <charset val="134"/>
    </font>
    <font>
      <b/>
      <sz val="18"/>
      <color theme="1"/>
      <name val="Arial"/>
      <family val="2"/>
    </font>
    <font>
      <sz val="11"/>
      <color theme="0"/>
      <name val="宋体"/>
      <charset val="134"/>
    </font>
    <font>
      <sz val="11"/>
      <color rgb="FFFF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b/>
      <sz val="9"/>
      <color theme="1"/>
      <name val="Arial"/>
      <family val="2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43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9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179" fontId="3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3" fontId="5" fillId="0" borderId="1" xfId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178" fontId="3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0" fontId="7" fillId="0" borderId="1" xfId="6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shrinkToFit="1"/>
    </xf>
    <xf numFmtId="0" fontId="10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43" fontId="5" fillId="2" borderId="3" xfId="0" applyNumberFormat="1" applyFont="1" applyFill="1" applyBorder="1" applyAlignment="1">
      <alignment horizontal="center" vertical="center"/>
    </xf>
    <xf numFmtId="43" fontId="10" fillId="2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43" fontId="10" fillId="3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3" fontId="0" fillId="0" borderId="0" xfId="0" applyNumberFormat="1" applyFill="1">
      <alignment vertical="center"/>
    </xf>
    <xf numFmtId="43" fontId="0" fillId="0" borderId="0" xfId="0" applyNumberFormat="1" applyFill="1" applyAlignment="1">
      <alignment horizontal="center" vertical="center"/>
    </xf>
    <xf numFmtId="10" fontId="0" fillId="0" borderId="0" xfId="0" applyNumberFormat="1">
      <alignment vertical="center"/>
    </xf>
    <xf numFmtId="4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3" fillId="0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2" fillId="5" borderId="1" xfId="0" applyNumberFormat="1" applyFont="1" applyFill="1" applyBorder="1" applyAlignment="1">
      <alignment horizontal="center" vertical="center"/>
    </xf>
    <xf numFmtId="43" fontId="16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43" fontId="14" fillId="4" borderId="5" xfId="0" applyNumberFormat="1" applyFont="1" applyFill="1" applyBorder="1" applyAlignment="1">
      <alignment horizontal="center" vertical="center" wrapText="1"/>
    </xf>
    <xf numFmtId="10" fontId="14" fillId="4" borderId="5" xfId="0" applyNumberFormat="1" applyFont="1" applyFill="1" applyBorder="1" applyAlignment="1">
      <alignment horizontal="center" vertical="center" wrapText="1"/>
    </xf>
    <xf numFmtId="43" fontId="16" fillId="0" borderId="1" xfId="0" applyNumberFormat="1" applyFont="1" applyFill="1" applyBorder="1" applyAlignment="1">
      <alignment horizontal="right" vertical="center"/>
    </xf>
    <xf numFmtId="10" fontId="16" fillId="5" borderId="1" xfId="0" applyNumberFormat="1" applyFont="1" applyFill="1" applyBorder="1" applyAlignment="1">
      <alignment horizontal="right" vertical="center"/>
    </xf>
    <xf numFmtId="43" fontId="16" fillId="5" borderId="1" xfId="0" applyNumberFormat="1" applyFont="1" applyFill="1" applyBorder="1" applyAlignment="1">
      <alignment horizontal="right" vertical="center"/>
    </xf>
    <xf numFmtId="0" fontId="16" fillId="0" borderId="1" xfId="0" applyNumberFormat="1" applyFont="1" applyFill="1" applyBorder="1" applyAlignment="1">
      <alignment horizontal="right" vertical="center"/>
    </xf>
    <xf numFmtId="10" fontId="16" fillId="6" borderId="1" xfId="0" applyNumberFormat="1" applyFont="1" applyFill="1" applyBorder="1" applyAlignment="1">
      <alignment horizontal="right" vertical="center"/>
    </xf>
    <xf numFmtId="43" fontId="15" fillId="0" borderId="1" xfId="0" applyNumberFormat="1" applyFont="1" applyFill="1" applyBorder="1" applyAlignment="1">
      <alignment horizontal="right" vertical="center"/>
    </xf>
    <xf numFmtId="10" fontId="15" fillId="5" borderId="1" xfId="0" applyNumberFormat="1" applyFont="1" applyFill="1" applyBorder="1" applyAlignment="1">
      <alignment horizontal="right" vertical="center"/>
    </xf>
    <xf numFmtId="43" fontId="15" fillId="5" borderId="1" xfId="2" applyNumberFormat="1" applyFont="1" applyFill="1" applyBorder="1" applyAlignment="1">
      <alignment horizontal="right" vertical="center"/>
    </xf>
    <xf numFmtId="10" fontId="15" fillId="5" borderId="1" xfId="2" applyNumberFormat="1" applyFont="1" applyFill="1" applyBorder="1" applyAlignment="1">
      <alignment horizontal="right" vertical="center"/>
    </xf>
    <xf numFmtId="178" fontId="11" fillId="0" borderId="0" xfId="0" applyNumberFormat="1" applyFont="1">
      <alignment vertical="center"/>
    </xf>
    <xf numFmtId="43" fontId="14" fillId="4" borderId="1" xfId="0" applyNumberFormat="1" applyFont="1" applyFill="1" applyBorder="1" applyAlignment="1">
      <alignment horizontal="center" vertical="center" wrapText="1"/>
    </xf>
    <xf numFmtId="43" fontId="14" fillId="4" borderId="1" xfId="2" applyNumberFormat="1" applyFont="1" applyFill="1" applyBorder="1" applyAlignment="1">
      <alignment horizontal="center" vertical="center" wrapText="1"/>
    </xf>
    <xf numFmtId="178" fontId="12" fillId="0" borderId="0" xfId="0" applyNumberFormat="1" applyFont="1">
      <alignment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43" fontId="15" fillId="0" borderId="0" xfId="1" applyFont="1" applyFill="1" applyAlignment="1">
      <alignment horizontal="center" vertical="center"/>
    </xf>
    <xf numFmtId="43" fontId="20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80" fontId="21" fillId="0" borderId="0" xfId="0" applyNumberFormat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21" fillId="0" borderId="0" xfId="0" applyNumberFormat="1" applyFont="1" applyFill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3" fontId="26" fillId="0" borderId="1" xfId="0" applyNumberFormat="1" applyFont="1" applyFill="1" applyBorder="1" applyAlignment="1">
      <alignment horizontal="center" vertical="center"/>
    </xf>
    <xf numFmtId="43" fontId="27" fillId="0" borderId="1" xfId="0" applyNumberFormat="1" applyFont="1" applyFill="1" applyBorder="1" applyAlignment="1">
      <alignment horizontal="center" vertical="center"/>
    </xf>
    <xf numFmtId="43" fontId="16" fillId="0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43" fontId="4" fillId="0" borderId="1" xfId="1" applyFont="1" applyFill="1" applyBorder="1" applyAlignment="1" applyProtection="1">
      <alignment vertical="center"/>
      <protection locked="0"/>
    </xf>
    <xf numFmtId="43" fontId="6" fillId="0" borderId="1" xfId="1" applyNumberFormat="1" applyFont="1" applyFill="1" applyBorder="1" applyAlignment="1" applyProtection="1">
      <alignment horizontal="center" vertical="center"/>
      <protection locked="0"/>
    </xf>
    <xf numFmtId="43" fontId="6" fillId="0" borderId="1" xfId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>
      <alignment horizontal="center" vertical="center"/>
    </xf>
    <xf numFmtId="43" fontId="1" fillId="4" borderId="1" xfId="1" applyFont="1" applyFill="1" applyBorder="1" applyAlignment="1">
      <alignment horizontal="center" vertical="center"/>
    </xf>
    <xf numFmtId="43" fontId="1" fillId="4" borderId="1" xfId="1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80" fontId="25" fillId="0" borderId="0" xfId="0" applyNumberFormat="1" applyFont="1" applyFill="1" applyBorder="1" applyAlignment="1">
      <alignment horizontal="center" vertical="center"/>
    </xf>
    <xf numFmtId="180" fontId="25" fillId="0" borderId="0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3" fontId="18" fillId="0" borderId="0" xfId="0" applyNumberFormat="1" applyFont="1" applyFill="1" applyBorder="1" applyAlignment="1">
      <alignment horizontal="center" vertical="center"/>
    </xf>
    <xf numFmtId="43" fontId="18" fillId="0" borderId="0" xfId="1" applyFont="1" applyFill="1" applyBorder="1" applyAlignment="1">
      <alignment horizontal="center" vertical="center"/>
    </xf>
    <xf numFmtId="180" fontId="4" fillId="0" borderId="1" xfId="1" applyNumberFormat="1" applyFont="1" applyFill="1" applyBorder="1" applyAlignment="1" applyProtection="1">
      <alignment vertical="center"/>
      <protection locked="0"/>
    </xf>
    <xf numFmtId="43" fontId="16" fillId="5" borderId="1" xfId="1" applyNumberFormat="1" applyFont="1" applyFill="1" applyBorder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78" fontId="16" fillId="0" borderId="1" xfId="0" applyNumberFormat="1" applyFont="1" applyFill="1" applyBorder="1" applyAlignment="1">
      <alignment horizontal="right" vertical="center"/>
    </xf>
    <xf numFmtId="180" fontId="6" fillId="0" borderId="1" xfId="1" applyNumberFormat="1" applyFont="1" applyFill="1" applyBorder="1" applyAlignment="1" applyProtection="1">
      <alignment vertical="center"/>
      <protection locked="0"/>
    </xf>
    <xf numFmtId="180" fontId="15" fillId="4" borderId="1" xfId="1" applyNumberFormat="1" applyFont="1" applyFill="1" applyBorder="1" applyAlignment="1">
      <alignment horizontal="center" vertical="center"/>
    </xf>
    <xf numFmtId="43" fontId="15" fillId="4" borderId="1" xfId="1" applyNumberFormat="1" applyFont="1" applyFill="1" applyBorder="1" applyAlignment="1">
      <alignment horizontal="right" vertical="center"/>
    </xf>
    <xf numFmtId="180" fontId="20" fillId="0" borderId="0" xfId="0" applyNumberFormat="1" applyFont="1" applyFill="1" applyAlignment="1">
      <alignment horizontal="center" vertical="center"/>
    </xf>
    <xf numFmtId="43" fontId="20" fillId="0" borderId="0" xfId="1" applyFont="1" applyFill="1" applyAlignment="1">
      <alignment horizontal="center" vertical="center"/>
    </xf>
    <xf numFmtId="43" fontId="16" fillId="4" borderId="1" xfId="1" applyNumberFormat="1" applyFont="1" applyFill="1" applyBorder="1" applyAlignment="1">
      <alignment horizontal="right" vertical="center"/>
    </xf>
    <xf numFmtId="43" fontId="19" fillId="0" borderId="1" xfId="0" applyNumberFormat="1" applyFont="1" applyFill="1" applyBorder="1" applyAlignment="1">
      <alignment horizontal="right" vertical="center"/>
    </xf>
    <xf numFmtId="0" fontId="19" fillId="0" borderId="1" xfId="0" applyFont="1" applyFill="1" applyBorder="1" applyAlignment="1">
      <alignment horizontal="center" vertical="center"/>
    </xf>
    <xf numFmtId="43" fontId="15" fillId="4" borderId="1" xfId="1" applyNumberFormat="1" applyFont="1" applyFill="1" applyBorder="1" applyAlignment="1">
      <alignment horizontal="center" vertical="center"/>
    </xf>
    <xf numFmtId="43" fontId="16" fillId="4" borderId="1" xfId="1" applyFont="1" applyFill="1" applyBorder="1" applyAlignment="1">
      <alignment horizontal="right" vertical="center"/>
    </xf>
    <xf numFmtId="0" fontId="4" fillId="7" borderId="1" xfId="0" applyNumberFormat="1" applyFont="1" applyFill="1" applyBorder="1" applyAlignment="1" applyProtection="1">
      <alignment horizontal="left" vertical="center"/>
      <protection locked="0"/>
    </xf>
    <xf numFmtId="43" fontId="19" fillId="4" borderId="1" xfId="1" applyFont="1" applyFill="1" applyBorder="1" applyAlignment="1">
      <alignment horizontal="right" vertical="center"/>
    </xf>
    <xf numFmtId="0" fontId="4" fillId="7" borderId="3" xfId="0" applyNumberFormat="1" applyFont="1" applyFill="1" applyBorder="1" applyAlignment="1" applyProtection="1">
      <alignment horizontal="left" vertical="center"/>
      <protection locked="0"/>
    </xf>
    <xf numFmtId="0" fontId="6" fillId="7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43" fontId="15" fillId="4" borderId="1" xfId="1" applyFont="1" applyFill="1" applyBorder="1" applyAlignment="1">
      <alignment horizontal="right" vertical="center"/>
    </xf>
    <xf numFmtId="43" fontId="29" fillId="0" borderId="1" xfId="1" applyFont="1" applyFill="1" applyBorder="1" applyAlignment="1">
      <alignment horizontal="center" vertical="center"/>
    </xf>
    <xf numFmtId="43" fontId="15" fillId="0" borderId="1" xfId="1" applyFont="1" applyFill="1" applyBorder="1" applyAlignment="1">
      <alignment horizontal="center" vertical="center"/>
    </xf>
    <xf numFmtId="0" fontId="4" fillId="7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1" xfId="0" quotePrefix="1" applyBorder="1">
      <alignment vertical="center"/>
    </xf>
    <xf numFmtId="0" fontId="6" fillId="7" borderId="1" xfId="0" quotePrefix="1" applyNumberFormat="1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horizontal="center" vertical="center"/>
    </xf>
    <xf numFmtId="43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43" fontId="14" fillId="4" borderId="3" xfId="0" applyNumberFormat="1" applyFont="1" applyFill="1" applyBorder="1" applyAlignment="1">
      <alignment horizontal="center" vertical="center" wrapText="1"/>
    </xf>
    <xf numFmtId="43" fontId="14" fillId="4" borderId="4" xfId="0" applyNumberFormat="1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180" fontId="14" fillId="4" borderId="5" xfId="0" applyNumberFormat="1" applyFont="1" applyFill="1" applyBorder="1" applyAlignment="1">
      <alignment horizontal="center" vertical="center" wrapText="1"/>
    </xf>
    <xf numFmtId="180" fontId="14" fillId="4" borderId="6" xfId="0" applyNumberFormat="1" applyFont="1" applyFill="1" applyBorder="1" applyAlignment="1">
      <alignment horizontal="center" vertical="center" wrapText="1"/>
    </xf>
    <xf numFmtId="43" fontId="15" fillId="4" borderId="1" xfId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43" fontId="13" fillId="0" borderId="0" xfId="0" applyNumberFormat="1" applyFont="1" applyFill="1" applyAlignment="1">
      <alignment horizontal="center" vertical="center"/>
    </xf>
    <xf numFmtId="10" fontId="13" fillId="0" borderId="0" xfId="0" applyNumberFormat="1" applyFont="1" applyFill="1" applyAlignment="1">
      <alignment horizontal="center" vertical="center"/>
    </xf>
    <xf numFmtId="43" fontId="14" fillId="4" borderId="7" xfId="0" applyNumberFormat="1" applyFont="1" applyFill="1" applyBorder="1" applyAlignment="1">
      <alignment horizontal="center" vertical="center" wrapText="1"/>
    </xf>
    <xf numFmtId="43" fontId="14" fillId="4" borderId="8" xfId="0" applyNumberFormat="1" applyFont="1" applyFill="1" applyBorder="1" applyAlignment="1">
      <alignment horizontal="center" vertical="center" wrapText="1"/>
    </xf>
    <xf numFmtId="10" fontId="14" fillId="4" borderId="8" xfId="0" applyNumberFormat="1" applyFont="1" applyFill="1" applyBorder="1" applyAlignment="1">
      <alignment horizontal="center" vertical="center" wrapText="1"/>
    </xf>
    <xf numFmtId="43" fontId="14" fillId="4" borderId="9" xfId="0" applyNumberFormat="1" applyFont="1" applyFill="1" applyBorder="1" applyAlignment="1">
      <alignment horizontal="center" vertical="center" wrapText="1"/>
    </xf>
    <xf numFmtId="10" fontId="14" fillId="4" borderId="1" xfId="0" applyNumberFormat="1" applyFont="1" applyFill="1" applyBorder="1" applyAlignment="1">
      <alignment horizontal="center" vertical="center" wrapText="1"/>
    </xf>
    <xf numFmtId="43" fontId="14" fillId="4" borderId="1" xfId="0" applyNumberFormat="1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43" fontId="15" fillId="4" borderId="5" xfId="0" applyNumberFormat="1" applyFont="1" applyFill="1" applyBorder="1" applyAlignment="1">
      <alignment horizontal="center" vertical="center" wrapText="1"/>
    </xf>
    <xf numFmtId="43" fontId="15" fillId="4" borderId="6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 wrapText="1"/>
    </xf>
    <xf numFmtId="0" fontId="10" fillId="0" borderId="0" xfId="0" applyNumberFormat="1" applyFont="1" applyAlignment="1">
      <alignment horizontal="center" vertical="center" wrapText="1"/>
    </xf>
    <xf numFmtId="0" fontId="10" fillId="0" borderId="0" xfId="0" applyNumberFormat="1" applyFont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179" fontId="2" fillId="0" borderId="0" xfId="0" applyNumberFormat="1" applyFont="1" applyAlignment="1">
      <alignment horizontal="left" vertical="center" wrapText="1"/>
    </xf>
    <xf numFmtId="178" fontId="2" fillId="0" borderId="0" xfId="0" applyNumberFormat="1" applyFont="1" applyAlignment="1">
      <alignment horizontal="left" vertical="center" wrapText="1"/>
    </xf>
  </cellXfs>
  <cellStyles count="7">
    <cellStyle name="百分比" xfId="2" builtinId="5"/>
    <cellStyle name="常规" xfId="0" builtinId="0"/>
    <cellStyle name="常规 2" xfId="3"/>
    <cellStyle name="常规 4" xfId="4"/>
    <cellStyle name="常规_A类资金表" xfId="5"/>
    <cellStyle name="常规_A类资金表_1" xfId="6"/>
    <cellStyle name="千位分隔" xfId="1" builtinId="3"/>
  </cellStyles>
  <dxfs count="0"/>
  <tableStyles count="0" defaultTableStyle="TableStyleMedium2"/>
  <colors>
    <mruColors>
      <color rgb="FFFF33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autoPageBreaks="0"/>
  </sheetPr>
  <dimension ref="A1:AC39"/>
  <sheetViews>
    <sheetView tabSelected="1" workbookViewId="0">
      <pane ySplit="4" topLeftCell="A5" activePane="bottomLeft" state="frozen"/>
      <selection pane="bottomLeft" activeCell="Q16" sqref="Q16"/>
    </sheetView>
  </sheetViews>
  <sheetFormatPr defaultColWidth="9" defaultRowHeight="18" customHeight="1" x14ac:dyDescent="0.25"/>
  <cols>
    <col min="1" max="1" width="4.21875" style="96" customWidth="1"/>
    <col min="2" max="2" width="24" style="96" customWidth="1"/>
    <col min="3" max="3" width="8" style="96" customWidth="1"/>
    <col min="4" max="4" width="9.88671875" style="96" customWidth="1"/>
    <col min="5" max="5" width="5.88671875" style="96" customWidth="1"/>
    <col min="6" max="6" width="5.6640625" style="96" customWidth="1"/>
    <col min="7" max="7" width="6.33203125" style="96" customWidth="1"/>
    <col min="8" max="8" width="5.33203125" style="96" customWidth="1"/>
    <col min="9" max="9" width="5.44140625" style="97" customWidth="1"/>
    <col min="10" max="10" width="4.88671875" style="97" customWidth="1"/>
    <col min="11" max="11" width="12.109375" style="98" customWidth="1"/>
    <col min="12" max="12" width="11" style="96" customWidth="1"/>
    <col min="13" max="13" width="11" style="99" customWidth="1"/>
    <col min="14" max="14" width="10.44140625" style="99" customWidth="1"/>
    <col min="15" max="16" width="8.109375" style="98" customWidth="1"/>
    <col min="17" max="17" width="9.109375" style="98" customWidth="1"/>
    <col min="18" max="18" width="10" style="96" customWidth="1"/>
    <col min="19" max="19" width="12.77734375" style="96" customWidth="1"/>
    <col min="20" max="20" width="12.109375" style="96" customWidth="1"/>
    <col min="21" max="21" width="10.109375" style="99" customWidth="1"/>
    <col min="22" max="22" width="8.77734375" style="98" customWidth="1"/>
    <col min="23" max="23" width="9.77734375" style="99" customWidth="1"/>
    <col min="24" max="24" width="9.109375" style="96" customWidth="1"/>
    <col min="25" max="25" width="8.77734375" style="96" customWidth="1"/>
    <col min="26" max="26" width="11.33203125" style="98" customWidth="1"/>
    <col min="27" max="27" width="8.33203125" style="96" customWidth="1"/>
    <col min="28" max="28" width="8.109375" style="96" customWidth="1"/>
    <col min="29" max="29" width="20.6640625" style="96" customWidth="1"/>
    <col min="30" max="16384" width="9" style="96"/>
  </cols>
  <sheetData>
    <row r="1" spans="1:29" s="89" customFormat="1" ht="25.05" customHeight="1" x14ac:dyDescent="0.25">
      <c r="A1" s="152" t="s">
        <v>0</v>
      </c>
      <c r="B1" s="153"/>
      <c r="C1" s="153"/>
      <c r="D1" s="153"/>
      <c r="E1" s="153"/>
      <c r="F1" s="153"/>
      <c r="G1" s="153"/>
      <c r="H1" s="153"/>
      <c r="I1" s="154"/>
      <c r="J1" s="154"/>
      <c r="K1" s="155"/>
      <c r="L1" s="153"/>
      <c r="M1" s="156"/>
      <c r="N1" s="156"/>
      <c r="O1" s="155"/>
      <c r="P1" s="155"/>
      <c r="Q1" s="155"/>
      <c r="R1" s="153"/>
      <c r="S1" s="153"/>
      <c r="T1" s="153"/>
      <c r="U1" s="156"/>
      <c r="V1" s="155"/>
      <c r="W1" s="156"/>
      <c r="X1" s="153"/>
      <c r="Y1" s="153"/>
      <c r="Z1" s="155"/>
    </row>
    <row r="2" spans="1:29" s="90" customFormat="1" ht="14.4" x14ac:dyDescent="0.25">
      <c r="A2" s="157" t="s">
        <v>1</v>
      </c>
      <c r="B2" s="157"/>
      <c r="C2" s="157"/>
      <c r="D2" s="157"/>
      <c r="E2" s="100"/>
      <c r="F2" s="101"/>
      <c r="G2" s="101"/>
      <c r="H2" s="101"/>
      <c r="I2" s="116"/>
      <c r="J2" s="117"/>
      <c r="L2" s="118"/>
      <c r="M2" s="119"/>
      <c r="N2" s="119"/>
      <c r="O2" s="120"/>
      <c r="P2" s="120"/>
      <c r="Q2" s="120"/>
      <c r="R2" s="118"/>
      <c r="S2" s="118"/>
      <c r="T2" s="118"/>
      <c r="U2" s="119"/>
      <c r="V2" s="120"/>
      <c r="W2" s="119"/>
      <c r="X2" s="118"/>
      <c r="Y2" s="118"/>
      <c r="Z2" s="120"/>
    </row>
    <row r="3" spans="1:29" s="91" customFormat="1" ht="19.95" customHeight="1" x14ac:dyDescent="0.25">
      <c r="A3" s="160" t="s">
        <v>2</v>
      </c>
      <c r="B3" s="160" t="s">
        <v>3</v>
      </c>
      <c r="C3" s="160" t="s">
        <v>4</v>
      </c>
      <c r="D3" s="160" t="s">
        <v>5</v>
      </c>
      <c r="E3" s="160" t="s">
        <v>6</v>
      </c>
      <c r="F3" s="160" t="s">
        <v>7</v>
      </c>
      <c r="G3" s="160" t="s">
        <v>8</v>
      </c>
      <c r="H3" s="160" t="s">
        <v>9</v>
      </c>
      <c r="I3" s="162" t="s">
        <v>10</v>
      </c>
      <c r="J3" s="162" t="s">
        <v>11</v>
      </c>
      <c r="K3" s="160" t="s">
        <v>12</v>
      </c>
      <c r="L3" s="160" t="s">
        <v>13</v>
      </c>
      <c r="M3" s="158" t="s">
        <v>14</v>
      </c>
      <c r="N3" s="159"/>
      <c r="O3" s="164" t="s">
        <v>15</v>
      </c>
      <c r="P3" s="160" t="s">
        <v>16</v>
      </c>
      <c r="Q3" s="160" t="s">
        <v>17</v>
      </c>
      <c r="R3" s="160" t="s">
        <v>18</v>
      </c>
      <c r="S3" s="160" t="s">
        <v>19</v>
      </c>
      <c r="T3" s="160" t="s">
        <v>20</v>
      </c>
      <c r="U3" s="160" t="s">
        <v>21</v>
      </c>
      <c r="V3" s="160" t="s">
        <v>22</v>
      </c>
      <c r="W3" s="160" t="s">
        <v>23</v>
      </c>
      <c r="X3" s="160" t="s">
        <v>24</v>
      </c>
      <c r="Y3" s="160" t="s">
        <v>25</v>
      </c>
      <c r="Z3" s="160" t="s">
        <v>26</v>
      </c>
      <c r="AA3" s="160" t="s">
        <v>27</v>
      </c>
      <c r="AB3" s="160" t="s">
        <v>28</v>
      </c>
      <c r="AC3" s="160" t="s">
        <v>29</v>
      </c>
    </row>
    <row r="4" spans="1:29" s="91" customFormat="1" ht="19.95" customHeight="1" x14ac:dyDescent="0.25">
      <c r="A4" s="161"/>
      <c r="B4" s="161"/>
      <c r="C4" s="161"/>
      <c r="D4" s="161"/>
      <c r="E4" s="161"/>
      <c r="F4" s="161"/>
      <c r="G4" s="161"/>
      <c r="H4" s="161"/>
      <c r="I4" s="163"/>
      <c r="J4" s="163"/>
      <c r="K4" s="161"/>
      <c r="L4" s="161"/>
      <c r="M4" s="86" t="s">
        <v>30</v>
      </c>
      <c r="N4" s="86" t="s">
        <v>31</v>
      </c>
      <c r="O4" s="164"/>
      <c r="P4" s="161" t="s">
        <v>32</v>
      </c>
      <c r="Q4" s="161"/>
      <c r="R4" s="161" t="s">
        <v>18</v>
      </c>
      <c r="S4" s="161" t="s">
        <v>19</v>
      </c>
      <c r="T4" s="161" t="s">
        <v>20</v>
      </c>
      <c r="U4" s="161" t="s">
        <v>21</v>
      </c>
      <c r="V4" s="161" t="s">
        <v>22</v>
      </c>
      <c r="W4" s="161" t="s">
        <v>23</v>
      </c>
      <c r="X4" s="161" t="s">
        <v>33</v>
      </c>
      <c r="Y4" s="161" t="s">
        <v>25</v>
      </c>
      <c r="Z4" s="161" t="s">
        <v>26</v>
      </c>
      <c r="AA4" s="161" t="s">
        <v>27</v>
      </c>
      <c r="AB4" s="161" t="s">
        <v>28</v>
      </c>
      <c r="AC4" s="161" t="s">
        <v>29</v>
      </c>
    </row>
    <row r="5" spans="1:29" s="92" customFormat="1" ht="21.9" customHeight="1" x14ac:dyDescent="0.25">
      <c r="A5" s="38">
        <v>1</v>
      </c>
      <c r="B5" s="102" t="s">
        <v>34</v>
      </c>
      <c r="C5" s="103" t="s">
        <v>35</v>
      </c>
      <c r="D5" s="104" t="s">
        <v>36</v>
      </c>
      <c r="E5" s="105" t="s">
        <v>37</v>
      </c>
      <c r="F5" s="104" t="s">
        <v>38</v>
      </c>
      <c r="G5" s="37" t="s">
        <v>39</v>
      </c>
      <c r="H5" s="106" t="s">
        <v>40</v>
      </c>
      <c r="I5" s="121">
        <v>25</v>
      </c>
      <c r="J5" s="121"/>
      <c r="K5" s="122">
        <v>3000</v>
      </c>
      <c r="L5" s="122">
        <f>IF(G5="","",IF(OR(H5="培训期",H5="试用"),K5,IF(D5="提成","",IF(OR(D5="团队总经理",D5="团队副总经理",D5="总经理"),K5*60%,IF(D5="总监",K5*70%,K5*80%)))))</f>
        <v>3000</v>
      </c>
      <c r="M5" s="78">
        <f>IF(OR(H5="培训期",H5="试用"),0,IF(ISERROR(VLOOKUP(G5,附表1绩效考核工资表!F:N,9,0)),"",VLOOKUP(G5,附表1绩效考核工资表!F:N,9,0)))</f>
        <v>0</v>
      </c>
      <c r="N5" s="78">
        <f>IF(OR(H5="培训期",H5="试用"),0,IF(ISERROR(VLOOKUP(G5,附表1绩效考核工资表!F:Q,12,0)),"",VLOOKUP(G5,附表1绩效考核工资表!F:Q,12,0)))</f>
        <v>0</v>
      </c>
      <c r="O5" s="122">
        <f t="shared" ref="O5:O10" si="0">IF(OR(G5="",D5="提成"),"",ROUND(-L5/30*J5,2))</f>
        <v>0</v>
      </c>
      <c r="P5" s="76"/>
      <c r="Q5" s="76"/>
      <c r="R5" s="78">
        <f>IF(ISERROR(VLOOKUP(G5,附表2提成汇总!B:E,2,0)),0,VLOOKUP(G5,附表2提成汇总!B:E,2,0))</f>
        <v>0</v>
      </c>
      <c r="S5" s="78">
        <f>IF(ISERROR(VLOOKUP(G5,附表2提成汇总!B:E,3,0)),0,VLOOKUP(G5,附表2提成汇总!B:E,3,0))</f>
        <v>0</v>
      </c>
      <c r="T5" s="130">
        <f t="shared" ref="T5:T10" si="1">ROUND(SUM(L5:S5),2)</f>
        <v>3000</v>
      </c>
      <c r="U5" s="76"/>
      <c r="V5" s="76"/>
      <c r="W5" s="104"/>
      <c r="X5" s="76"/>
      <c r="Y5" s="76"/>
      <c r="Z5" s="134">
        <f t="shared" ref="Z5:Z10" si="2">ROUND(SUM(T5:U5)-SUM(V5:Y5),2)</f>
        <v>3000</v>
      </c>
      <c r="AA5" s="38" t="s">
        <v>41</v>
      </c>
      <c r="AB5" s="135" t="s">
        <v>42</v>
      </c>
      <c r="AC5" s="149" t="s">
        <v>43</v>
      </c>
    </row>
    <row r="6" spans="1:29" s="92" customFormat="1" ht="21.9" customHeight="1" x14ac:dyDescent="0.25">
      <c r="A6" s="38">
        <v>2</v>
      </c>
      <c r="B6" s="102" t="s">
        <v>34</v>
      </c>
      <c r="C6" s="103" t="s">
        <v>44</v>
      </c>
      <c r="D6" s="104" t="s">
        <v>36</v>
      </c>
      <c r="E6" s="105" t="s">
        <v>37</v>
      </c>
      <c r="F6" s="104" t="s">
        <v>45</v>
      </c>
      <c r="G6" s="37" t="s">
        <v>46</v>
      </c>
      <c r="H6" s="106" t="s">
        <v>40</v>
      </c>
      <c r="I6" s="121">
        <v>26</v>
      </c>
      <c r="J6" s="121"/>
      <c r="K6" s="122">
        <v>3000</v>
      </c>
      <c r="L6" s="122">
        <f>IF(G6="","",IF(OR(H6="培训期",H6="试用"),K6,IF(D6="提成","",IF(OR(D6="团队总经理",D6="团队副总经理",D6="总经理"),K6*60%,IF(D6="总监",K6*70%,K6*80%)))))</f>
        <v>3000</v>
      </c>
      <c r="M6" s="78">
        <f>IF(OR(H6="培训期",H6="试用"),0,IF(ISERROR(VLOOKUP(G6,附表1绩效考核工资表!F:N,9,0)),"",VLOOKUP(G6,附表1绩效考核工资表!F:N,9,0)))</f>
        <v>0</v>
      </c>
      <c r="N6" s="78">
        <f>IF(OR(H6="培训期",H6="试用"),0,IF(ISERROR(VLOOKUP(G6,附表1绩效考核工资表!F:Q,12,0)),"",VLOOKUP(G6,附表1绩效考核工资表!F:Q,12,0)))</f>
        <v>0</v>
      </c>
      <c r="O6" s="122">
        <f t="shared" si="0"/>
        <v>0</v>
      </c>
      <c r="P6" s="76">
        <v>60</v>
      </c>
      <c r="Q6" s="76"/>
      <c r="R6" s="78">
        <f>IF(ISERROR(VLOOKUP(G6,附表2提成汇总!B:E,2,0)),0,VLOOKUP(G6,附表2提成汇总!B:E,2,0))</f>
        <v>32</v>
      </c>
      <c r="S6" s="78">
        <f>IF(ISERROR(VLOOKUP(G6,附表2提成汇总!B:E,3,0)),0,VLOOKUP(G6,附表2提成汇总!B:E,3,0))</f>
        <v>0</v>
      </c>
      <c r="T6" s="130">
        <f t="shared" si="1"/>
        <v>3092</v>
      </c>
      <c r="U6" s="76"/>
      <c r="V6" s="76"/>
      <c r="W6" s="104"/>
      <c r="X6" s="76"/>
      <c r="Y6" s="76"/>
      <c r="Z6" s="134">
        <f t="shared" si="2"/>
        <v>3092</v>
      </c>
      <c r="AA6" s="38" t="s">
        <v>47</v>
      </c>
      <c r="AB6" s="135" t="s">
        <v>42</v>
      </c>
      <c r="AC6" s="149" t="s">
        <v>48</v>
      </c>
    </row>
    <row r="7" spans="1:29" s="92" customFormat="1" ht="21.9" customHeight="1" x14ac:dyDescent="0.25">
      <c r="A7" s="38">
        <v>3</v>
      </c>
      <c r="B7" s="102" t="s">
        <v>34</v>
      </c>
      <c r="C7" s="103" t="s">
        <v>44</v>
      </c>
      <c r="D7" s="104" t="s">
        <v>36</v>
      </c>
      <c r="E7" s="105" t="s">
        <v>49</v>
      </c>
      <c r="F7" s="104" t="s">
        <v>45</v>
      </c>
      <c r="G7" s="37" t="s">
        <v>50</v>
      </c>
      <c r="H7" s="106" t="s">
        <v>51</v>
      </c>
      <c r="I7" s="121">
        <v>25</v>
      </c>
      <c r="J7" s="121"/>
      <c r="K7" s="122">
        <v>3600</v>
      </c>
      <c r="L7" s="122">
        <f>IF(G7="","",IF(OR(H7="培训期",H7="试用"),K7,IF(D7="提成","",IF(OR(D7="团队总经理",D7="团队副总经理",D7="总经理"),K7*60%,IF(D7="总监",K7*70%,K7*80%)))))</f>
        <v>2880</v>
      </c>
      <c r="M7" s="78">
        <f>IF(OR(H7="培训期",H7="试用"),0,IF(ISERROR(VLOOKUP(G7,附表1绩效考核工资表!F:N,9,0)),"",VLOOKUP(G7,附表1绩效考核工资表!F:N,9,0)))</f>
        <v>297</v>
      </c>
      <c r="N7" s="78">
        <f>IF(OR(H7="培训期",H7="试用"),0,IF(ISERROR(VLOOKUP(G7,附表1绩效考核工资表!F:Q,12,0)),"",VLOOKUP(G7,附表1绩效考核工资表!F:Q,12,0)))</f>
        <v>60</v>
      </c>
      <c r="O7" s="122">
        <f t="shared" si="0"/>
        <v>0</v>
      </c>
      <c r="P7" s="76"/>
      <c r="Q7" s="76"/>
      <c r="R7" s="78">
        <f>IF(ISERROR(VLOOKUP(G7,附表2提成汇总!B:E,2,0)),0,VLOOKUP(G7,附表2提成汇总!B:E,2,0))</f>
        <v>2996</v>
      </c>
      <c r="S7" s="78">
        <f>IF(ISERROR(VLOOKUP(G7,附表2提成汇总!B:E,3,0)),0,VLOOKUP(G7,附表2提成汇总!B:E,3,0))</f>
        <v>0</v>
      </c>
      <c r="T7" s="130">
        <f t="shared" si="1"/>
        <v>6233</v>
      </c>
      <c r="U7" s="76"/>
      <c r="V7" s="76">
        <v>297</v>
      </c>
      <c r="W7" s="104">
        <v>536.70000000000005</v>
      </c>
      <c r="X7" s="76"/>
      <c r="Y7" s="76"/>
      <c r="Z7" s="134">
        <f t="shared" si="2"/>
        <v>5399.3</v>
      </c>
      <c r="AA7" s="38" t="s">
        <v>52</v>
      </c>
      <c r="AB7" s="135" t="s">
        <v>42</v>
      </c>
      <c r="AC7" s="135" t="s">
        <v>53</v>
      </c>
    </row>
    <row r="8" spans="1:29" s="93" customFormat="1" ht="21.9" customHeight="1" x14ac:dyDescent="0.25">
      <c r="A8" s="38">
        <v>4</v>
      </c>
      <c r="B8" s="102" t="s">
        <v>34</v>
      </c>
      <c r="C8" s="103" t="s">
        <v>35</v>
      </c>
      <c r="D8" s="104" t="s">
        <v>36</v>
      </c>
      <c r="E8" s="105" t="s">
        <v>37</v>
      </c>
      <c r="F8" s="104" t="s">
        <v>38</v>
      </c>
      <c r="G8" s="37" t="s">
        <v>54</v>
      </c>
      <c r="H8" s="106" t="s">
        <v>51</v>
      </c>
      <c r="I8" s="121">
        <v>25</v>
      </c>
      <c r="J8" s="121"/>
      <c r="K8" s="122">
        <v>3500</v>
      </c>
      <c r="L8" s="122">
        <f t="shared" ref="L8:L18" si="3">IF(G8="","",IF(OR(H8="培训期",H8="试用"),K8,IF(D8="提成","",IF(OR(D8="团队总经理",D8="团队副总经理",D8="总经理"),K8*60%,IF(D8="总监",K8*70%,K8*80%)))))</f>
        <v>2800</v>
      </c>
      <c r="M8" s="78">
        <f>IF(OR(H8="培训期",H8="试用"),0,IF(ISERROR(VLOOKUP(G8,附表1绩效考核工资表!F:N,9,0)),"",VLOOKUP(G8,附表1绩效考核工资表!F:N,9,0)))</f>
        <v>658</v>
      </c>
      <c r="N8" s="78">
        <f>IF(OR(H8="培训期",H8="试用"),0,IF(ISERROR(VLOOKUP(G8,附表1绩效考核工资表!F:Q,12,0)),"",VLOOKUP(G8,附表1绩效考核工资表!F:Q,12,0)))</f>
        <v>0</v>
      </c>
      <c r="O8" s="122">
        <f t="shared" si="0"/>
        <v>0</v>
      </c>
      <c r="P8" s="123"/>
      <c r="Q8" s="123"/>
      <c r="R8" s="78">
        <f>IF(ISERROR(VLOOKUP(G8,附表2提成汇总!B:E,2,0)),0,VLOOKUP(G8,附表2提成汇总!B:E,2,0))</f>
        <v>5.9999999999999991</v>
      </c>
      <c r="S8" s="78">
        <f>IF(ISERROR(VLOOKUP(G8,附表2提成汇总!B:E,3,0)),0,VLOOKUP(G8,附表2提成汇总!B:E,3,0))</f>
        <v>0</v>
      </c>
      <c r="T8" s="130">
        <f t="shared" si="1"/>
        <v>3464</v>
      </c>
      <c r="U8" s="131"/>
      <c r="V8" s="76">
        <v>658</v>
      </c>
      <c r="W8" s="104">
        <v>536.70000000000005</v>
      </c>
      <c r="X8" s="131"/>
      <c r="Y8" s="131"/>
      <c r="Z8" s="136">
        <f t="shared" si="2"/>
        <v>2269.3000000000002</v>
      </c>
      <c r="AA8" s="38" t="s">
        <v>52</v>
      </c>
      <c r="AB8" s="135" t="s">
        <v>42</v>
      </c>
      <c r="AC8" s="149" t="s">
        <v>55</v>
      </c>
    </row>
    <row r="9" spans="1:29" s="93" customFormat="1" ht="21.9" customHeight="1" x14ac:dyDescent="0.25">
      <c r="A9" s="38">
        <v>5</v>
      </c>
      <c r="B9" s="102" t="s">
        <v>34</v>
      </c>
      <c r="C9" s="103" t="s">
        <v>56</v>
      </c>
      <c r="D9" s="104" t="s">
        <v>36</v>
      </c>
      <c r="E9" s="105" t="s">
        <v>49</v>
      </c>
      <c r="F9" s="104" t="s">
        <v>38</v>
      </c>
      <c r="G9" s="37" t="s">
        <v>57</v>
      </c>
      <c r="H9" s="106" t="s">
        <v>51</v>
      </c>
      <c r="I9" s="121">
        <v>26</v>
      </c>
      <c r="J9" s="121"/>
      <c r="K9" s="122">
        <v>3600</v>
      </c>
      <c r="L9" s="122">
        <f t="shared" si="3"/>
        <v>2880</v>
      </c>
      <c r="M9" s="78">
        <f>IF(OR(H9="培训期",H9="试用"),0,IF(ISERROR(VLOOKUP(G9,附表1绩效考核工资表!F:N,9,0)),"",VLOOKUP(G9,附表1绩效考核工资表!F:N,9,0)))</f>
        <v>708.48000000000013</v>
      </c>
      <c r="N9" s="78">
        <f>IF(OR(H9="培训期",H9="试用"),0,IF(ISERROR(VLOOKUP(G9,附表1绩效考核工资表!F:Q,12,0)),"",VLOOKUP(G9,附表1绩效考核工资表!F:Q,12,0)))</f>
        <v>0</v>
      </c>
      <c r="O9" s="122">
        <f t="shared" si="0"/>
        <v>0</v>
      </c>
      <c r="P9" s="123"/>
      <c r="Q9" s="123"/>
      <c r="R9" s="78">
        <f>IF(ISERROR(VLOOKUP(G9,附表2提成汇总!B:E,2,0)),0,VLOOKUP(G9,附表2提成汇总!B:E,2,0))</f>
        <v>1888</v>
      </c>
      <c r="S9" s="78">
        <f>IF(ISERROR(VLOOKUP(G9,附表2提成汇总!B:E,3,0)),0,VLOOKUP(G9,附表2提成汇总!B:E,3,0))</f>
        <v>0</v>
      </c>
      <c r="T9" s="130">
        <f t="shared" si="1"/>
        <v>5476.48</v>
      </c>
      <c r="U9" s="131"/>
      <c r="V9" s="76"/>
      <c r="W9" s="104">
        <v>536.70000000000005</v>
      </c>
      <c r="X9" s="131"/>
      <c r="Y9" s="131"/>
      <c r="Z9" s="136">
        <f t="shared" si="2"/>
        <v>4939.78</v>
      </c>
      <c r="AA9" s="38" t="s">
        <v>52</v>
      </c>
      <c r="AB9" s="135" t="s">
        <v>42</v>
      </c>
      <c r="AC9" s="150" t="s">
        <v>58</v>
      </c>
    </row>
    <row r="10" spans="1:29" s="92" customFormat="1" ht="21.9" customHeight="1" x14ac:dyDescent="0.25">
      <c r="A10" s="38">
        <v>6</v>
      </c>
      <c r="B10" s="102" t="s">
        <v>34</v>
      </c>
      <c r="C10" s="103" t="s">
        <v>44</v>
      </c>
      <c r="D10" s="102" t="s">
        <v>59</v>
      </c>
      <c r="E10" s="105" t="s">
        <v>60</v>
      </c>
      <c r="F10" s="102" t="s">
        <v>45</v>
      </c>
      <c r="G10" s="107" t="s">
        <v>61</v>
      </c>
      <c r="H10" s="106" t="s">
        <v>51</v>
      </c>
      <c r="I10" s="121">
        <v>26</v>
      </c>
      <c r="J10" s="121"/>
      <c r="K10" s="122">
        <v>4200</v>
      </c>
      <c r="L10" s="122">
        <f t="shared" si="3"/>
        <v>3360</v>
      </c>
      <c r="M10" s="78">
        <f>IF(OR(H10="培训期",H10="试用"),0,IF(ISERROR(VLOOKUP(G10,附表1绩效考核工资表!F:N,9,0)),"",VLOOKUP(G10,附表1绩效考核工资表!F:N,9,0)))</f>
        <v>1890</v>
      </c>
      <c r="N10" s="78">
        <f>IF(OR(H10="培训期",H10="试用"),0,IF(ISERROR(VLOOKUP(G10,附表1绩效考核工资表!F:Q,12,0)),"",VLOOKUP(G10,附表1绩效考核工资表!F:Q,12,0)))</f>
        <v>210</v>
      </c>
      <c r="O10" s="122">
        <f t="shared" si="0"/>
        <v>0</v>
      </c>
      <c r="P10" s="124"/>
      <c r="Q10" s="124"/>
      <c r="R10" s="78">
        <f>IF(ISERROR(VLOOKUP(G10,附表2提成汇总!B:E,2,0)),0,VLOOKUP(G10,附表2提成汇总!B:E,2,0))</f>
        <v>10596</v>
      </c>
      <c r="S10" s="78">
        <f>IF(ISERROR(VLOOKUP(G10,附表2提成汇总!B:E,3,0)),0,VLOOKUP(G10,附表2提成汇总!B:E,3,0))</f>
        <v>0</v>
      </c>
      <c r="T10" s="130">
        <f t="shared" si="1"/>
        <v>16056</v>
      </c>
      <c r="U10" s="76"/>
      <c r="V10" s="76"/>
      <c r="W10" s="104">
        <v>536.70000000000005</v>
      </c>
      <c r="X10" s="76"/>
      <c r="Y10" s="76"/>
      <c r="Z10" s="134">
        <f t="shared" si="2"/>
        <v>15519.3</v>
      </c>
      <c r="AA10" s="38" t="s">
        <v>62</v>
      </c>
      <c r="AB10" s="137" t="s">
        <v>42</v>
      </c>
      <c r="AC10" s="135" t="s">
        <v>63</v>
      </c>
    </row>
    <row r="11" spans="1:29" s="92" customFormat="1" ht="21.9" customHeight="1" x14ac:dyDescent="0.25">
      <c r="A11" s="38">
        <v>7</v>
      </c>
      <c r="B11" s="102" t="s">
        <v>34</v>
      </c>
      <c r="C11" s="103" t="s">
        <v>56</v>
      </c>
      <c r="D11" s="104" t="s">
        <v>59</v>
      </c>
      <c r="E11" s="105" t="s">
        <v>60</v>
      </c>
      <c r="F11" s="104" t="s">
        <v>38</v>
      </c>
      <c r="G11" s="107" t="s">
        <v>64</v>
      </c>
      <c r="H11" s="106" t="s">
        <v>51</v>
      </c>
      <c r="I11" s="121">
        <v>25</v>
      </c>
      <c r="J11" s="121"/>
      <c r="K11" s="122">
        <v>4200</v>
      </c>
      <c r="L11" s="122">
        <f t="shared" si="3"/>
        <v>3360</v>
      </c>
      <c r="M11" s="78">
        <f>IF(OR(H11="培训期",H11="试用"),0,IF(ISERROR(VLOOKUP(G11,附表1绩效考核工资表!F:N,9,0)),"",VLOOKUP(G11,附表1绩效考核工资表!F:N,9,0)))</f>
        <v>826.56000000000017</v>
      </c>
      <c r="N11" s="78">
        <f>IF(OR(H11="培训期",H11="试用"),0,IF(ISERROR(VLOOKUP(G11,附表1绩效考核工资表!F:Q,12,0)),"",VLOOKUP(G11,附表1绩效考核工资表!F:Q,12,0)))</f>
        <v>0</v>
      </c>
      <c r="O11" s="122">
        <f t="shared" ref="O11:O18" si="4">IF(OR(G11="",D11="提成"),"",ROUND(-L11/30*J11,2))</f>
        <v>0</v>
      </c>
      <c r="P11" s="124"/>
      <c r="Q11" s="124"/>
      <c r="R11" s="78">
        <f>IF(ISERROR(VLOOKUP(G11,附表2提成汇总!B:E,2,0)),0,VLOOKUP(G11,附表2提成汇总!B:E,2,0))</f>
        <v>1388</v>
      </c>
      <c r="S11" s="78">
        <f>IF(ISERROR(VLOOKUP(G11,附表2提成汇总!B:E,3,0)),0,VLOOKUP(G11,附表2提成汇总!B:E,3,0))</f>
        <v>0</v>
      </c>
      <c r="T11" s="130">
        <f t="shared" ref="T11:T18" si="5">ROUND(SUM(L11:S11),2)</f>
        <v>5574.56</v>
      </c>
      <c r="U11" s="76"/>
      <c r="V11" s="76">
        <v>826.56</v>
      </c>
      <c r="W11" s="104">
        <v>536.70000000000005</v>
      </c>
      <c r="X11" s="76"/>
      <c r="Y11" s="76"/>
      <c r="Z11" s="134">
        <f t="shared" ref="Z11:Z18" si="6">ROUND(SUM(T11:U11)-SUM(V11:Y11),2)</f>
        <v>4211.3</v>
      </c>
      <c r="AA11" s="38" t="s">
        <v>62</v>
      </c>
      <c r="AB11" s="135" t="s">
        <v>42</v>
      </c>
      <c r="AC11" s="135" t="s">
        <v>65</v>
      </c>
    </row>
    <row r="12" spans="1:29" s="92" customFormat="1" ht="21.9" customHeight="1" x14ac:dyDescent="0.25">
      <c r="A12" s="38">
        <v>8</v>
      </c>
      <c r="B12" s="102" t="s">
        <v>34</v>
      </c>
      <c r="C12" s="103" t="s">
        <v>44</v>
      </c>
      <c r="D12" s="104" t="s">
        <v>66</v>
      </c>
      <c r="E12" s="105" t="s">
        <v>67</v>
      </c>
      <c r="F12" s="104" t="s">
        <v>45</v>
      </c>
      <c r="G12" s="107" t="s">
        <v>68</v>
      </c>
      <c r="H12" s="106" t="s">
        <v>51</v>
      </c>
      <c r="I12" s="121">
        <v>25</v>
      </c>
      <c r="J12" s="121"/>
      <c r="K12" s="122">
        <v>5000</v>
      </c>
      <c r="L12" s="122">
        <f t="shared" si="3"/>
        <v>4000</v>
      </c>
      <c r="M12" s="78">
        <f>IF(OR(H12="培训期",H12="试用"),0,IF(ISERROR(VLOOKUP(G12,附表1绩效考核工资表!F:N,9,0)),"",VLOOKUP(G12,附表1绩效考核工资表!F:N,9,0)))</f>
        <v>875</v>
      </c>
      <c r="N12" s="78">
        <f>IF(OR(H12="培训期",H12="试用"),0,IF(ISERROR(VLOOKUP(G12,附表1绩效考核工资表!F:Q,12,0)),"",VLOOKUP(G12,附表1绩效考核工资表!F:Q,12,0)))</f>
        <v>166.66666666666666</v>
      </c>
      <c r="O12" s="122">
        <f t="shared" si="4"/>
        <v>0</v>
      </c>
      <c r="P12" s="124"/>
      <c r="Q12" s="124"/>
      <c r="R12" s="78">
        <f>IF(ISERROR(VLOOKUP(G12,附表2提成汇总!B:E,2,0)),0,VLOOKUP(G12,附表2提成汇总!B:E,2,0))</f>
        <v>9568</v>
      </c>
      <c r="S12" s="78">
        <f>IF(ISERROR(VLOOKUP(G12,附表2提成汇总!B:E,3,0)),0,VLOOKUP(G12,附表2提成汇总!B:E,3,0))</f>
        <v>0</v>
      </c>
      <c r="T12" s="130">
        <f t="shared" si="5"/>
        <v>14609.67</v>
      </c>
      <c r="U12" s="76"/>
      <c r="V12" s="76"/>
      <c r="W12" s="104">
        <v>536.70000000000005</v>
      </c>
      <c r="X12" s="76"/>
      <c r="Y12" s="76"/>
      <c r="Z12" s="134">
        <f t="shared" si="6"/>
        <v>14072.97</v>
      </c>
      <c r="AA12" s="38" t="s">
        <v>41</v>
      </c>
      <c r="AB12" s="137" t="s">
        <v>42</v>
      </c>
      <c r="AC12" s="135" t="s">
        <v>69</v>
      </c>
    </row>
    <row r="13" spans="1:29" s="92" customFormat="1" ht="21.9" customHeight="1" x14ac:dyDescent="0.25">
      <c r="A13" s="38">
        <v>9</v>
      </c>
      <c r="B13" s="102" t="s">
        <v>34</v>
      </c>
      <c r="C13" s="103" t="s">
        <v>35</v>
      </c>
      <c r="D13" s="104" t="s">
        <v>66</v>
      </c>
      <c r="E13" s="105" t="s">
        <v>37</v>
      </c>
      <c r="F13" s="104" t="s">
        <v>38</v>
      </c>
      <c r="G13" s="107" t="s">
        <v>70</v>
      </c>
      <c r="H13" s="106" t="s">
        <v>51</v>
      </c>
      <c r="I13" s="121">
        <v>25</v>
      </c>
      <c r="J13" s="121"/>
      <c r="K13" s="122">
        <v>4500</v>
      </c>
      <c r="L13" s="122">
        <f t="shared" si="3"/>
        <v>3600</v>
      </c>
      <c r="M13" s="78">
        <f>IF(OR(H13="培训期",H13="试用"),0,IF(ISERROR(VLOOKUP(G13,附表1绩效考核工资表!F:N,9,0)),"",VLOOKUP(G13,附表1绩效考核工资表!F:N,9,0)))</f>
        <v>855</v>
      </c>
      <c r="N13" s="78">
        <f>IF(OR(H13="培训期",H13="试用"),0,IF(ISERROR(VLOOKUP(G13,附表1绩效考核工资表!F:Q,12,0)),"",VLOOKUP(G13,附表1绩效考核工资表!F:Q,12,0)))</f>
        <v>0</v>
      </c>
      <c r="O13" s="122">
        <f t="shared" si="4"/>
        <v>0</v>
      </c>
      <c r="P13" s="124"/>
      <c r="Q13" s="124"/>
      <c r="R13" s="78">
        <f>IF(ISERROR(VLOOKUP(G13,附表2提成汇总!B:E,2,0)),0,VLOOKUP(G13,附表2提成汇总!B:E,2,0))</f>
        <v>2072</v>
      </c>
      <c r="S13" s="78">
        <f>IF(ISERROR(VLOOKUP(G13,附表2提成汇总!B:E,3,0)),0,VLOOKUP(G13,附表2提成汇总!B:E,3,0))</f>
        <v>0</v>
      </c>
      <c r="T13" s="130">
        <f t="shared" si="5"/>
        <v>6527</v>
      </c>
      <c r="U13" s="76"/>
      <c r="V13" s="76">
        <v>855</v>
      </c>
      <c r="W13" s="104">
        <v>536.70000000000005</v>
      </c>
      <c r="X13" s="76"/>
      <c r="Y13" s="76"/>
      <c r="Z13" s="134">
        <f t="shared" si="6"/>
        <v>5135.3</v>
      </c>
      <c r="AA13" s="38" t="s">
        <v>41</v>
      </c>
      <c r="AB13" s="137" t="s">
        <v>42</v>
      </c>
      <c r="AC13" s="135" t="s">
        <v>71</v>
      </c>
    </row>
    <row r="14" spans="1:29" s="92" customFormat="1" ht="21.9" customHeight="1" x14ac:dyDescent="0.25">
      <c r="A14" s="38">
        <v>10</v>
      </c>
      <c r="B14" s="102" t="s">
        <v>34</v>
      </c>
      <c r="C14" s="103" t="s">
        <v>44</v>
      </c>
      <c r="D14" s="104" t="s">
        <v>72</v>
      </c>
      <c r="E14" s="105" t="s">
        <v>73</v>
      </c>
      <c r="F14" s="104" t="s">
        <v>45</v>
      </c>
      <c r="G14" s="107" t="s">
        <v>74</v>
      </c>
      <c r="H14" s="106" t="s">
        <v>51</v>
      </c>
      <c r="I14" s="121">
        <v>26</v>
      </c>
      <c r="J14" s="121"/>
      <c r="K14" s="122">
        <v>8300</v>
      </c>
      <c r="L14" s="122">
        <f t="shared" si="3"/>
        <v>4980</v>
      </c>
      <c r="M14" s="78">
        <f>IF(OR(H14="培训期",H14="试用"),0,IF(ISERROR(VLOOKUP(G14,附表1绩效考核工资表!F:N,9,0)),"",VLOOKUP(G14,附表1绩效考核工资表!F:N,9,0)))</f>
        <v>4108.5</v>
      </c>
      <c r="N14" s="78">
        <f>IF(OR(H14="培训期",H14="试用"),0,IF(ISERROR(VLOOKUP(G14,附表1绩效考核工资表!F:Q,12,0)),"",VLOOKUP(G14,附表1绩效考核工资表!F:Q,12,0)))</f>
        <v>0</v>
      </c>
      <c r="O14" s="122">
        <f t="shared" si="4"/>
        <v>0</v>
      </c>
      <c r="P14" s="124"/>
      <c r="Q14" s="124">
        <v>2490</v>
      </c>
      <c r="R14" s="78">
        <f>IF(ISERROR(VLOOKUP(G14,附表2提成汇总!B:E,2,0)),0,VLOOKUP(G14,附表2提成汇总!B:E,2,0))</f>
        <v>12844</v>
      </c>
      <c r="S14" s="78">
        <f>IF(ISERROR(VLOOKUP(G14,附表2提成汇总!B:E,3,0)),0,VLOOKUP(G14,附表2提成汇总!B:E,3,0))</f>
        <v>3564</v>
      </c>
      <c r="T14" s="130">
        <f t="shared" si="5"/>
        <v>27986.5</v>
      </c>
      <c r="U14" s="76"/>
      <c r="V14" s="76"/>
      <c r="W14" s="132">
        <v>564.5</v>
      </c>
      <c r="X14" s="76"/>
      <c r="Y14" s="76"/>
      <c r="Z14" s="134">
        <f t="shared" si="6"/>
        <v>27422</v>
      </c>
      <c r="AA14" s="38" t="s">
        <v>47</v>
      </c>
      <c r="AB14" s="137" t="s">
        <v>75</v>
      </c>
      <c r="AC14" s="135" t="s">
        <v>76</v>
      </c>
    </row>
    <row r="15" spans="1:29" s="92" customFormat="1" ht="21.9" customHeight="1" x14ac:dyDescent="0.25">
      <c r="A15" s="38">
        <v>11</v>
      </c>
      <c r="B15" s="102" t="s">
        <v>34</v>
      </c>
      <c r="C15" s="103" t="s">
        <v>77</v>
      </c>
      <c r="D15" s="103" t="s">
        <v>77</v>
      </c>
      <c r="E15" s="105"/>
      <c r="F15" s="104"/>
      <c r="G15" s="107" t="s">
        <v>74</v>
      </c>
      <c r="H15" s="106" t="s">
        <v>51</v>
      </c>
      <c r="I15" s="121"/>
      <c r="J15" s="121"/>
      <c r="K15" s="122">
        <v>3000</v>
      </c>
      <c r="L15" s="122">
        <v>3000</v>
      </c>
      <c r="M15" s="78"/>
      <c r="N15" s="78">
        <f>IF(OR(H15="培训期",H15="试用"),0,IF(ISERROR(VLOOKUP(G15,附表1绩效考核工资表!F:Q,12,0)),"",VLOOKUP(G15,附表1绩效考核工资表!F:Q,12,0)))</f>
        <v>0</v>
      </c>
      <c r="O15" s="122">
        <f t="shared" si="4"/>
        <v>0</v>
      </c>
      <c r="P15" s="124"/>
      <c r="Q15" s="124"/>
      <c r="R15" s="78"/>
      <c r="S15" s="78"/>
      <c r="T15" s="130">
        <f t="shared" si="5"/>
        <v>3000</v>
      </c>
      <c r="U15" s="76"/>
      <c r="V15" s="76"/>
      <c r="W15" s="104"/>
      <c r="X15" s="76"/>
      <c r="Y15" s="76"/>
      <c r="Z15" s="134">
        <f t="shared" si="6"/>
        <v>3000</v>
      </c>
      <c r="AA15" s="38" t="s">
        <v>47</v>
      </c>
      <c r="AB15" s="137" t="s">
        <v>75</v>
      </c>
      <c r="AC15" s="135" t="s">
        <v>76</v>
      </c>
    </row>
    <row r="16" spans="1:29" s="92" customFormat="1" ht="21.9" customHeight="1" x14ac:dyDescent="0.25">
      <c r="A16" s="38">
        <v>12</v>
      </c>
      <c r="B16" s="102" t="s">
        <v>34</v>
      </c>
      <c r="C16" s="103" t="s">
        <v>44</v>
      </c>
      <c r="D16" s="104" t="s">
        <v>78</v>
      </c>
      <c r="E16" s="105" t="s">
        <v>37</v>
      </c>
      <c r="F16" s="104" t="s">
        <v>45</v>
      </c>
      <c r="G16" s="37" t="s">
        <v>79</v>
      </c>
      <c r="H16" s="106" t="s">
        <v>80</v>
      </c>
      <c r="I16" s="121"/>
      <c r="J16" s="121"/>
      <c r="K16" s="122"/>
      <c r="L16" s="122" t="str">
        <f t="shared" si="3"/>
        <v/>
      </c>
      <c r="M16" s="78">
        <f>IF(OR(H16="培训期",H16="试用"),0,IF(ISERROR(VLOOKUP(G16,附表1绩效考核工资表!F:N,9,0)),"",VLOOKUP(G16,附表1绩效考核工资表!F:N,9,0)))</f>
        <v>0</v>
      </c>
      <c r="N16" s="78">
        <f>IF(OR(H16="培训期",H16="试用"),0,IF(ISERROR(VLOOKUP(G16,附表1绩效考核工资表!F:Q,12,0)),"",VLOOKUP(G16,附表1绩效考核工资表!F:Q,12,0)))</f>
        <v>0</v>
      </c>
      <c r="O16" s="122" t="str">
        <f t="shared" si="4"/>
        <v/>
      </c>
      <c r="P16" s="124"/>
      <c r="Q16" s="124"/>
      <c r="R16" s="78">
        <f>IF(ISERROR(VLOOKUP(G16,附表2提成汇总!B:E,2,0)),0,VLOOKUP(G16,附表2提成汇总!B:E,2,0))</f>
        <v>816</v>
      </c>
      <c r="S16" s="78">
        <f>IF(ISERROR(VLOOKUP(G16,附表2提成汇总!B:E,3,0)),0,VLOOKUP(G16,附表2提成汇总!B:E,3,0))</f>
        <v>0</v>
      </c>
      <c r="T16" s="130">
        <f t="shared" si="5"/>
        <v>816</v>
      </c>
      <c r="U16" s="76"/>
      <c r="V16" s="76"/>
      <c r="W16" s="104"/>
      <c r="X16" s="76"/>
      <c r="Y16" s="76"/>
      <c r="Z16" s="134">
        <f t="shared" si="6"/>
        <v>816</v>
      </c>
      <c r="AA16" s="38" t="s">
        <v>41</v>
      </c>
      <c r="AB16" s="135" t="s">
        <v>42</v>
      </c>
      <c r="AC16" s="149" t="s">
        <v>81</v>
      </c>
    </row>
    <row r="17" spans="1:29" s="92" customFormat="1" ht="21.9" customHeight="1" x14ac:dyDescent="0.25">
      <c r="A17" s="38">
        <v>13</v>
      </c>
      <c r="B17" s="102" t="s">
        <v>34</v>
      </c>
      <c r="C17" s="103" t="s">
        <v>35</v>
      </c>
      <c r="D17" s="104" t="s">
        <v>78</v>
      </c>
      <c r="E17" s="105" t="s">
        <v>37</v>
      </c>
      <c r="F17" s="104" t="s">
        <v>38</v>
      </c>
      <c r="G17" s="37" t="s">
        <v>82</v>
      </c>
      <c r="H17" s="106" t="s">
        <v>80</v>
      </c>
      <c r="I17" s="121"/>
      <c r="J17" s="121"/>
      <c r="K17" s="122"/>
      <c r="L17" s="122" t="str">
        <f t="shared" si="3"/>
        <v/>
      </c>
      <c r="M17" s="78">
        <f>IF(OR(H17="培训期",H17="试用"),0,IF(ISERROR(VLOOKUP(G17,附表1绩效考核工资表!F:N,9,0)),"",VLOOKUP(G17,附表1绩效考核工资表!F:N,9,0)))</f>
        <v>0</v>
      </c>
      <c r="N17" s="78">
        <f>IF(OR(H17="培训期",H17="试用"),0,IF(ISERROR(VLOOKUP(G17,附表1绩效考核工资表!F:Q,12,0)),"",VLOOKUP(G17,附表1绩效考核工资表!F:Q,12,0)))</f>
        <v>0</v>
      </c>
      <c r="O17" s="122" t="str">
        <f t="shared" si="4"/>
        <v/>
      </c>
      <c r="P17" s="124"/>
      <c r="Q17" s="124"/>
      <c r="R17" s="78">
        <f>IF(ISERROR(VLOOKUP(G17,附表2提成汇总!B:E,2,0)),0,VLOOKUP(G17,附表2提成汇总!B:E,2,0))</f>
        <v>40</v>
      </c>
      <c r="S17" s="78">
        <f>IF(ISERROR(VLOOKUP(G17,附表2提成汇总!B:E,3,0)),0,VLOOKUP(G17,附表2提成汇总!B:E,3,0))</f>
        <v>0</v>
      </c>
      <c r="T17" s="130">
        <f t="shared" si="5"/>
        <v>40</v>
      </c>
      <c r="U17" s="76">
        <v>1000</v>
      </c>
      <c r="V17" s="76"/>
      <c r="W17" s="104"/>
      <c r="X17" s="76"/>
      <c r="Y17" s="76"/>
      <c r="Z17" s="134">
        <f t="shared" si="6"/>
        <v>1040</v>
      </c>
      <c r="AA17" s="38" t="s">
        <v>41</v>
      </c>
      <c r="AB17" s="135" t="s">
        <v>42</v>
      </c>
      <c r="AC17" s="149" t="s">
        <v>83</v>
      </c>
    </row>
    <row r="18" spans="1:29" s="92" customFormat="1" ht="21.9" customHeight="1" x14ac:dyDescent="0.25">
      <c r="A18" s="38">
        <v>14</v>
      </c>
      <c r="B18" s="103" t="s">
        <v>34</v>
      </c>
      <c r="C18" s="103" t="s">
        <v>44</v>
      </c>
      <c r="D18" s="104" t="s">
        <v>78</v>
      </c>
      <c r="E18" s="108" t="s">
        <v>37</v>
      </c>
      <c r="F18" s="103" t="s">
        <v>45</v>
      </c>
      <c r="G18" s="109" t="s">
        <v>84</v>
      </c>
      <c r="H18" s="110" t="s">
        <v>80</v>
      </c>
      <c r="I18" s="125"/>
      <c r="J18" s="125"/>
      <c r="K18" s="122"/>
      <c r="L18" s="122" t="str">
        <f t="shared" si="3"/>
        <v/>
      </c>
      <c r="M18" s="78">
        <f>IF(OR(H18="培训期",H18="试用"),0,IF(ISERROR(VLOOKUP(G18,附表1绩效考核工资表!F:N,9,0)),"",VLOOKUP(G18,附表1绩效考核工资表!F:N,9,0)))</f>
        <v>0</v>
      </c>
      <c r="N18" s="78">
        <f>IF(OR(H18="培训期",H18="试用"),0,IF(ISERROR(VLOOKUP(G18,附表1绩效考核工资表!F:Q,12,0)),"",VLOOKUP(G18,附表1绩效考核工资表!F:Q,12,0)))</f>
        <v>0</v>
      </c>
      <c r="O18" s="122" t="str">
        <f t="shared" si="4"/>
        <v/>
      </c>
      <c r="P18" s="124"/>
      <c r="Q18" s="124"/>
      <c r="R18" s="78">
        <f>IF(ISERROR(VLOOKUP(G18,附表2提成汇总!B:E,2,0)),0,VLOOKUP(G18,附表2提成汇总!B:E,2,0))</f>
        <v>16</v>
      </c>
      <c r="S18" s="78">
        <f>IF(ISERROR(VLOOKUP(G18,附表2提成汇总!B:E,3,0)),0,VLOOKUP(G18,附表2提成汇总!B:E,3,0))</f>
        <v>0</v>
      </c>
      <c r="T18" s="130">
        <f t="shared" si="5"/>
        <v>16</v>
      </c>
      <c r="U18" s="76"/>
      <c r="V18" s="76"/>
      <c r="W18" s="104"/>
      <c r="X18" s="76"/>
      <c r="Y18" s="76"/>
      <c r="Z18" s="134">
        <f t="shared" si="6"/>
        <v>16</v>
      </c>
      <c r="AA18" s="38" t="s">
        <v>52</v>
      </c>
      <c r="AB18" s="138" t="s">
        <v>42</v>
      </c>
      <c r="AC18" s="138" t="s">
        <v>85</v>
      </c>
    </row>
    <row r="19" spans="1:29" s="92" customFormat="1" ht="21.9" customHeight="1" x14ac:dyDescent="0.25">
      <c r="A19" s="38">
        <v>15</v>
      </c>
      <c r="B19" s="103" t="s">
        <v>34</v>
      </c>
      <c r="C19" s="103" t="s">
        <v>44</v>
      </c>
      <c r="D19" s="104" t="s">
        <v>78</v>
      </c>
      <c r="E19" s="108" t="s">
        <v>37</v>
      </c>
      <c r="F19" s="103" t="s">
        <v>45</v>
      </c>
      <c r="G19" s="109" t="s">
        <v>86</v>
      </c>
      <c r="H19" s="110" t="s">
        <v>80</v>
      </c>
      <c r="J19" s="125"/>
      <c r="K19" s="122"/>
      <c r="L19" s="122" t="str">
        <f t="shared" ref="L19:L32" si="7">IF(G19="","",IF(OR(H19="培训期",H19="试用"),K19,IF(D19="提成","",IF(OR(D19="团队总经理",D19="团队副总经理",D19="总经理"),K19*60%,IF(D19="总监",K19*70%,K19*80%)))))</f>
        <v/>
      </c>
      <c r="M19" s="78">
        <f>IF(OR(H19="培训期",H19="试用"),0,IF(ISERROR(VLOOKUP(G19,附表1绩效考核工资表!F:N,9,0)),"",VLOOKUP(G19,附表1绩效考核工资表!F:N,9,0)))</f>
        <v>0</v>
      </c>
      <c r="N19" s="78">
        <f>IF(OR(H19="培训期",H19="试用"),0,IF(ISERROR(VLOOKUP(G19,附表1绩效考核工资表!F:Q,12,0)),"",VLOOKUP(G19,附表1绩效考核工资表!F:Q,12,0)))</f>
        <v>0</v>
      </c>
      <c r="O19" s="122" t="str">
        <f t="shared" ref="O19:O32" si="8">IF(OR(G19="",D19="提成"),"",ROUND(-L19/30*J19,2))</f>
        <v/>
      </c>
      <c r="P19" s="124"/>
      <c r="Q19" s="124"/>
      <c r="R19" s="78">
        <f>IF(ISERROR(VLOOKUP(G19,附表2提成汇总!B:E,2,0)),0,VLOOKUP(G19,附表2提成汇总!B:E,2,0))</f>
        <v>8</v>
      </c>
      <c r="S19" s="78">
        <f>IF(ISERROR(VLOOKUP(G19,附表2提成汇总!B:E,3,0)),0,VLOOKUP(G19,附表2提成汇总!B:E,3,0))</f>
        <v>0</v>
      </c>
      <c r="T19" s="130">
        <f t="shared" ref="T19:T32" si="9">ROUND(SUM(L19:S19),2)</f>
        <v>8</v>
      </c>
      <c r="U19" s="76"/>
      <c r="V19" s="76"/>
      <c r="W19" s="104"/>
      <c r="X19" s="76"/>
      <c r="Y19" s="76"/>
      <c r="Z19" s="134">
        <f t="shared" ref="Z19:Z32" si="10">ROUND(SUM(T19:U19)-SUM(V19:Y19),2)</f>
        <v>8</v>
      </c>
      <c r="AA19" s="38" t="s">
        <v>87</v>
      </c>
      <c r="AB19" s="138" t="s">
        <v>42</v>
      </c>
      <c r="AC19" s="151" t="s">
        <v>88</v>
      </c>
    </row>
    <row r="20" spans="1:29" s="92" customFormat="1" ht="21.9" customHeight="1" x14ac:dyDescent="0.25">
      <c r="A20" s="38">
        <v>16</v>
      </c>
      <c r="B20" s="102" t="s">
        <v>34</v>
      </c>
      <c r="C20" s="103" t="s">
        <v>35</v>
      </c>
      <c r="D20" s="104" t="s">
        <v>78</v>
      </c>
      <c r="E20" s="105" t="s">
        <v>37</v>
      </c>
      <c r="F20" s="102" t="s">
        <v>38</v>
      </c>
      <c r="G20" s="107" t="s">
        <v>89</v>
      </c>
      <c r="H20" s="106" t="s">
        <v>80</v>
      </c>
      <c r="I20" s="121"/>
      <c r="J20" s="121"/>
      <c r="K20" s="122"/>
      <c r="L20" s="122" t="str">
        <f t="shared" si="7"/>
        <v/>
      </c>
      <c r="M20" s="78">
        <f>IF(OR(H20="培训期",H20="试用"),0,IF(ISERROR(VLOOKUP(G20,附表1绩效考核工资表!F:N,9,0)),"",VLOOKUP(G20,附表1绩效考核工资表!F:N,9,0)))</f>
        <v>0</v>
      </c>
      <c r="N20" s="78">
        <f>IF(OR(H20="培训期",H20="试用"),0,IF(ISERROR(VLOOKUP(G20,附表1绩效考核工资表!F:Q,12,0)),"",VLOOKUP(G20,附表1绩效考核工资表!F:Q,12,0)))</f>
        <v>0</v>
      </c>
      <c r="O20" s="122" t="str">
        <f t="shared" si="8"/>
        <v/>
      </c>
      <c r="P20" s="124"/>
      <c r="Q20" s="124"/>
      <c r="R20" s="78">
        <f>IF(ISERROR(VLOOKUP(G20,附表2提成汇总!B:E,2,0)),0,VLOOKUP(G20,附表2提成汇总!B:E,2,0))</f>
        <v>8</v>
      </c>
      <c r="S20" s="78">
        <f>IF(ISERROR(VLOOKUP(G20,附表2提成汇总!B:E,3,0)),0,VLOOKUP(G20,附表2提成汇总!B:E,3,0))</f>
        <v>0</v>
      </c>
      <c r="T20" s="130">
        <f t="shared" si="9"/>
        <v>8</v>
      </c>
      <c r="U20" s="76"/>
      <c r="V20" s="76"/>
      <c r="W20" s="104"/>
      <c r="X20" s="76"/>
      <c r="Y20" s="76"/>
      <c r="Z20" s="134">
        <f t="shared" si="10"/>
        <v>8</v>
      </c>
      <c r="AA20" s="38" t="s">
        <v>52</v>
      </c>
      <c r="AB20" s="135" t="s">
        <v>42</v>
      </c>
      <c r="AC20" s="135" t="s">
        <v>90</v>
      </c>
    </row>
    <row r="21" spans="1:29" s="92" customFormat="1" ht="21.9" customHeight="1" x14ac:dyDescent="0.25">
      <c r="A21" s="38">
        <v>17</v>
      </c>
      <c r="B21" s="102" t="s">
        <v>34</v>
      </c>
      <c r="C21" s="103" t="s">
        <v>44</v>
      </c>
      <c r="D21" s="104" t="s">
        <v>78</v>
      </c>
      <c r="E21" s="105" t="s">
        <v>37</v>
      </c>
      <c r="F21" s="104" t="s">
        <v>38</v>
      </c>
      <c r="G21" s="37" t="s">
        <v>91</v>
      </c>
      <c r="H21" s="106" t="s">
        <v>80</v>
      </c>
      <c r="I21" s="121"/>
      <c r="J21" s="121"/>
      <c r="K21" s="122" t="str">
        <f t="shared" ref="K21:K32" si="11">IF(G21="","",IF(OR(D21="总监",D21="财务总监"),30000,IF(D21="团队总经理",20000,IF(D21="总经理",8000,IF(D21="副总经理",5000,IF(D21="部门经理",4000,IF(D21="部门主管",3500,IF(AND(D21="普通员工",H21="试用"),2400,IF(AND(D21="普通员工",H21="培训期"),1800,IF(D21="普通员工",3000,IF(D21="团队副总经理",12000,"")))))))))))</f>
        <v/>
      </c>
      <c r="L21" s="122" t="str">
        <f t="shared" si="7"/>
        <v/>
      </c>
      <c r="M21" s="78">
        <f>IF(OR(H21="培训期",H21="试用"),0,IF(ISERROR(VLOOKUP(G21,附表1绩效考核工资表!F:N,9,0)),"",VLOOKUP(G21,附表1绩效考核工资表!F:N,9,0)))</f>
        <v>0</v>
      </c>
      <c r="N21" s="78">
        <f>IF(OR(H21="培训期",H21="试用"),0,IF(ISERROR(VLOOKUP(G21,附表1绩效考核工资表!F:Q,12,0)),"",VLOOKUP(G21,附表1绩效考核工资表!F:Q,12,0)))</f>
        <v>0</v>
      </c>
      <c r="O21" s="122" t="str">
        <f t="shared" si="8"/>
        <v/>
      </c>
      <c r="P21" s="124"/>
      <c r="Q21" s="124"/>
      <c r="R21" s="78">
        <f>IF(ISERROR(VLOOKUP(G21,附表2提成汇总!B:E,2,0)),0,VLOOKUP(G21,附表2提成汇总!B:E,2,0))</f>
        <v>24</v>
      </c>
      <c r="S21" s="78">
        <f>IF(ISERROR(VLOOKUP(G21,附表2提成汇总!B:E,3,0)),0,VLOOKUP(G21,附表2提成汇总!B:E,3,0))</f>
        <v>0</v>
      </c>
      <c r="T21" s="130">
        <f t="shared" si="9"/>
        <v>24</v>
      </c>
      <c r="U21" s="76"/>
      <c r="V21" s="76"/>
      <c r="W21" s="104"/>
      <c r="X21" s="76"/>
      <c r="Y21" s="76"/>
      <c r="Z21" s="134">
        <f t="shared" si="10"/>
        <v>24</v>
      </c>
      <c r="AA21" s="38" t="s">
        <v>92</v>
      </c>
      <c r="AB21" s="135" t="s">
        <v>42</v>
      </c>
      <c r="AC21" s="149" t="s">
        <v>93</v>
      </c>
    </row>
    <row r="22" spans="1:29" s="92" customFormat="1" ht="21.9" hidden="1" customHeight="1" x14ac:dyDescent="0.25">
      <c r="A22" s="38">
        <v>19</v>
      </c>
      <c r="B22" s="111"/>
      <c r="C22" s="111"/>
      <c r="D22" s="111"/>
      <c r="E22" s="105"/>
      <c r="F22" s="111"/>
      <c r="G22" s="13"/>
      <c r="H22" s="106"/>
      <c r="I22" s="121"/>
      <c r="J22" s="121"/>
      <c r="K22" s="122" t="str">
        <f t="shared" si="11"/>
        <v/>
      </c>
      <c r="L22" s="122" t="str">
        <f t="shared" si="7"/>
        <v/>
      </c>
      <c r="M22" s="78">
        <f>IF(OR(H22="培训期",H22="试用"),0,IF(ISERROR(VLOOKUP(G22,附表1绩效考核工资表!F:N,9,0)),"",VLOOKUP(G22,附表1绩效考核工资表!F:N,9,0)))</f>
        <v>0</v>
      </c>
      <c r="N22" s="78">
        <f>IF(OR(H22="培训期",H22="试用"),0,IF(ISERROR(VLOOKUP(G22,附表1绩效考核工资表!F:Q,12,0)),"",VLOOKUP(G22,附表1绩效考核工资表!F:Q,12,0)))</f>
        <v>0</v>
      </c>
      <c r="O22" s="122" t="str">
        <f t="shared" si="8"/>
        <v/>
      </c>
      <c r="P22" s="124"/>
      <c r="Q22" s="124"/>
      <c r="R22" s="78">
        <f>IF(ISERROR(VLOOKUP(G22,附表2提成汇总!B:E,2,0)),0,VLOOKUP(G22,附表2提成汇总!B:E,2,0))</f>
        <v>0</v>
      </c>
      <c r="S22" s="78">
        <f>IF(ISERROR(VLOOKUP(G22,附表2提成汇总!B:E,3,0)),0,VLOOKUP(G22,附表2提成汇总!B:E,3,0))</f>
        <v>0</v>
      </c>
      <c r="T22" s="130">
        <f t="shared" si="9"/>
        <v>0</v>
      </c>
      <c r="U22" s="76"/>
      <c r="V22" s="76"/>
      <c r="W22" s="104"/>
      <c r="X22" s="76"/>
      <c r="Y22" s="76"/>
      <c r="Z22" s="134">
        <f t="shared" si="10"/>
        <v>0</v>
      </c>
      <c r="AA22" s="38"/>
      <c r="AB22" s="135"/>
      <c r="AC22" s="135"/>
    </row>
    <row r="23" spans="1:29" s="92" customFormat="1" ht="21.9" hidden="1" customHeight="1" x14ac:dyDescent="0.25">
      <c r="A23" s="38">
        <v>20</v>
      </c>
      <c r="B23" s="111"/>
      <c r="C23" s="111"/>
      <c r="D23" s="111"/>
      <c r="E23" s="105"/>
      <c r="F23" s="111"/>
      <c r="G23" s="13"/>
      <c r="H23" s="106"/>
      <c r="I23" s="121"/>
      <c r="J23" s="121"/>
      <c r="K23" s="122" t="str">
        <f t="shared" si="11"/>
        <v/>
      </c>
      <c r="L23" s="122" t="str">
        <f t="shared" si="7"/>
        <v/>
      </c>
      <c r="M23" s="78">
        <f>IF(OR(H23="培训期",H23="试用"),0,IF(ISERROR(VLOOKUP(G23,附表1绩效考核工资表!F:N,9,0)),"",VLOOKUP(G23,附表1绩效考核工资表!F:N,9,0)))</f>
        <v>0</v>
      </c>
      <c r="N23" s="78">
        <f>IF(OR(H23="培训期",H23="试用"),0,IF(ISERROR(VLOOKUP(G23,附表1绩效考核工资表!F:Q,12,0)),"",VLOOKUP(G23,附表1绩效考核工资表!F:Q,12,0)))</f>
        <v>0</v>
      </c>
      <c r="O23" s="122" t="str">
        <f t="shared" si="8"/>
        <v/>
      </c>
      <c r="P23" s="124"/>
      <c r="Q23" s="124"/>
      <c r="R23" s="78">
        <f>IF(ISERROR(VLOOKUP(G23,附表2提成汇总!B:E,2,0)),0,VLOOKUP(G23,附表2提成汇总!B:E,2,0))</f>
        <v>0</v>
      </c>
      <c r="S23" s="78">
        <f>IF(ISERROR(VLOOKUP(G23,附表2提成汇总!B:E,3,0)),0,VLOOKUP(G23,附表2提成汇总!B:E,3,0))</f>
        <v>0</v>
      </c>
      <c r="T23" s="130">
        <f t="shared" si="9"/>
        <v>0</v>
      </c>
      <c r="U23" s="76"/>
      <c r="V23" s="76"/>
      <c r="W23" s="104"/>
      <c r="X23" s="76"/>
      <c r="Y23" s="76"/>
      <c r="Z23" s="134">
        <f t="shared" si="10"/>
        <v>0</v>
      </c>
      <c r="AA23" s="38"/>
      <c r="AB23" s="135"/>
      <c r="AC23" s="135"/>
    </row>
    <row r="24" spans="1:29" s="92" customFormat="1" ht="21.9" hidden="1" customHeight="1" x14ac:dyDescent="0.25">
      <c r="A24" s="38">
        <v>21</v>
      </c>
      <c r="B24" s="111"/>
      <c r="C24" s="111"/>
      <c r="D24" s="111"/>
      <c r="E24" s="105"/>
      <c r="F24" s="111"/>
      <c r="G24" s="13"/>
      <c r="H24" s="106"/>
      <c r="I24" s="121"/>
      <c r="J24" s="121"/>
      <c r="K24" s="122" t="str">
        <f t="shared" si="11"/>
        <v/>
      </c>
      <c r="L24" s="122" t="str">
        <f t="shared" si="7"/>
        <v/>
      </c>
      <c r="M24" s="78">
        <f>IF(OR(H24="培训期",H24="试用"),0,IF(ISERROR(VLOOKUP(G24,附表1绩效考核工资表!F:N,9,0)),"",VLOOKUP(G24,附表1绩效考核工资表!F:N,9,0)))</f>
        <v>0</v>
      </c>
      <c r="N24" s="78">
        <f>IF(OR(H24="培训期",H24="试用"),0,IF(ISERROR(VLOOKUP(G24,附表1绩效考核工资表!F:Q,12,0)),"",VLOOKUP(G24,附表1绩效考核工资表!F:Q,12,0)))</f>
        <v>0</v>
      </c>
      <c r="O24" s="122" t="str">
        <f t="shared" si="8"/>
        <v/>
      </c>
      <c r="P24" s="124"/>
      <c r="Q24" s="124"/>
      <c r="R24" s="78">
        <f>IF(ISERROR(VLOOKUP(G24,附表2提成汇总!B:E,2,0)),0,VLOOKUP(G24,附表2提成汇总!B:E,2,0))</f>
        <v>0</v>
      </c>
      <c r="S24" s="78">
        <f>IF(ISERROR(VLOOKUP(G24,附表2提成汇总!B:E,3,0)),0,VLOOKUP(G24,附表2提成汇总!B:E,3,0))</f>
        <v>0</v>
      </c>
      <c r="T24" s="130">
        <f t="shared" si="9"/>
        <v>0</v>
      </c>
      <c r="U24" s="76"/>
      <c r="V24" s="76"/>
      <c r="W24" s="104"/>
      <c r="X24" s="76"/>
      <c r="Y24" s="76"/>
      <c r="Z24" s="134">
        <f t="shared" si="10"/>
        <v>0</v>
      </c>
      <c r="AA24" s="38"/>
      <c r="AB24" s="135"/>
      <c r="AC24" s="135"/>
    </row>
    <row r="25" spans="1:29" s="92" customFormat="1" ht="21.9" hidden="1" customHeight="1" x14ac:dyDescent="0.25">
      <c r="A25" s="38">
        <v>22</v>
      </c>
      <c r="B25" s="111"/>
      <c r="C25" s="111"/>
      <c r="D25" s="111"/>
      <c r="E25" s="105"/>
      <c r="F25" s="111"/>
      <c r="G25" s="13"/>
      <c r="H25" s="106"/>
      <c r="I25" s="121"/>
      <c r="J25" s="121"/>
      <c r="K25" s="122" t="str">
        <f t="shared" si="11"/>
        <v/>
      </c>
      <c r="L25" s="122" t="str">
        <f t="shared" si="7"/>
        <v/>
      </c>
      <c r="M25" s="78">
        <f>IF(OR(H25="培训期",H25="试用"),0,IF(ISERROR(VLOOKUP(G25,附表1绩效考核工资表!F:N,9,0)),"",VLOOKUP(G25,附表1绩效考核工资表!F:N,9,0)))</f>
        <v>0</v>
      </c>
      <c r="N25" s="78">
        <f>IF(OR(H25="培训期",H25="试用"),0,IF(ISERROR(VLOOKUP(G25,附表1绩效考核工资表!F:Q,12,0)),"",VLOOKUP(G25,附表1绩效考核工资表!F:Q,12,0)))</f>
        <v>0</v>
      </c>
      <c r="O25" s="122" t="str">
        <f t="shared" si="8"/>
        <v/>
      </c>
      <c r="P25" s="124"/>
      <c r="Q25" s="124"/>
      <c r="R25" s="78">
        <f>IF(ISERROR(VLOOKUP(G25,附表2提成汇总!B:E,2,0)),0,VLOOKUP(G25,附表2提成汇总!B:E,2,0))</f>
        <v>0</v>
      </c>
      <c r="S25" s="78">
        <f>IF(ISERROR(VLOOKUP(G25,附表2提成汇总!B:E,3,0)),0,VLOOKUP(G25,附表2提成汇总!B:E,3,0))</f>
        <v>0</v>
      </c>
      <c r="T25" s="130">
        <f t="shared" si="9"/>
        <v>0</v>
      </c>
      <c r="U25" s="76"/>
      <c r="V25" s="76"/>
      <c r="W25" s="104"/>
      <c r="X25" s="76"/>
      <c r="Y25" s="76"/>
      <c r="Z25" s="134">
        <f t="shared" si="10"/>
        <v>0</v>
      </c>
      <c r="AA25" s="38"/>
      <c r="AB25" s="135"/>
      <c r="AC25" s="135"/>
    </row>
    <row r="26" spans="1:29" s="92" customFormat="1" ht="21.9" hidden="1" customHeight="1" x14ac:dyDescent="0.25">
      <c r="A26" s="38">
        <v>23</v>
      </c>
      <c r="B26" s="111"/>
      <c r="C26" s="111"/>
      <c r="D26" s="111"/>
      <c r="E26" s="105"/>
      <c r="F26" s="111"/>
      <c r="G26" s="13"/>
      <c r="H26" s="106"/>
      <c r="I26" s="121"/>
      <c r="J26" s="121"/>
      <c r="K26" s="122" t="str">
        <f t="shared" si="11"/>
        <v/>
      </c>
      <c r="L26" s="122" t="str">
        <f t="shared" si="7"/>
        <v/>
      </c>
      <c r="M26" s="78">
        <f>IF(OR(H26="培训期",H26="试用"),0,IF(ISERROR(VLOOKUP(G26,附表1绩效考核工资表!F:N,9,0)),"",VLOOKUP(G26,附表1绩效考核工资表!F:N,9,0)))</f>
        <v>0</v>
      </c>
      <c r="N26" s="78">
        <f>IF(OR(H26="培训期",H26="试用"),0,IF(ISERROR(VLOOKUP(G26,附表1绩效考核工资表!F:Q,12,0)),"",VLOOKUP(G26,附表1绩效考核工资表!F:Q,12,0)))</f>
        <v>0</v>
      </c>
      <c r="O26" s="122" t="str">
        <f t="shared" si="8"/>
        <v/>
      </c>
      <c r="P26" s="124"/>
      <c r="Q26" s="124"/>
      <c r="R26" s="78">
        <f>IF(ISERROR(VLOOKUP(G26,附表2提成汇总!B:E,2,0)),0,VLOOKUP(G26,附表2提成汇总!B:E,2,0))</f>
        <v>0</v>
      </c>
      <c r="S26" s="78">
        <f>IF(ISERROR(VLOOKUP(G26,附表2提成汇总!B:E,3,0)),0,VLOOKUP(G26,附表2提成汇总!B:E,3,0))</f>
        <v>0</v>
      </c>
      <c r="T26" s="130">
        <f t="shared" si="9"/>
        <v>0</v>
      </c>
      <c r="U26" s="76"/>
      <c r="V26" s="76"/>
      <c r="W26" s="104"/>
      <c r="X26" s="76"/>
      <c r="Y26" s="76"/>
      <c r="Z26" s="134">
        <f t="shared" si="10"/>
        <v>0</v>
      </c>
      <c r="AA26" s="38"/>
      <c r="AB26" s="135"/>
      <c r="AC26" s="135"/>
    </row>
    <row r="27" spans="1:29" s="92" customFormat="1" ht="21.9" hidden="1" customHeight="1" x14ac:dyDescent="0.25">
      <c r="A27" s="38">
        <v>24</v>
      </c>
      <c r="B27" s="111"/>
      <c r="C27" s="111"/>
      <c r="D27" s="111"/>
      <c r="E27" s="105"/>
      <c r="F27" s="111"/>
      <c r="G27" s="13"/>
      <c r="H27" s="106"/>
      <c r="I27" s="121"/>
      <c r="J27" s="121"/>
      <c r="K27" s="122" t="str">
        <f t="shared" si="11"/>
        <v/>
      </c>
      <c r="L27" s="122" t="str">
        <f t="shared" si="7"/>
        <v/>
      </c>
      <c r="M27" s="78">
        <f>IF(OR(H27="培训期",H27="试用"),0,IF(ISERROR(VLOOKUP(G27,附表1绩效考核工资表!F:N,9,0)),"",VLOOKUP(G27,附表1绩效考核工资表!F:N,9,0)))</f>
        <v>0</v>
      </c>
      <c r="N27" s="78">
        <f>IF(OR(H27="培训期",H27="试用"),0,IF(ISERROR(VLOOKUP(G27,附表1绩效考核工资表!F:Q,12,0)),"",VLOOKUP(G27,附表1绩效考核工资表!F:Q,12,0)))</f>
        <v>0</v>
      </c>
      <c r="O27" s="122" t="str">
        <f t="shared" si="8"/>
        <v/>
      </c>
      <c r="P27" s="124"/>
      <c r="Q27" s="124"/>
      <c r="R27" s="78">
        <f>IF(ISERROR(VLOOKUP(G27,附表2提成汇总!B:E,2,0)),0,VLOOKUP(G27,附表2提成汇总!B:E,2,0))</f>
        <v>0</v>
      </c>
      <c r="S27" s="78">
        <f>IF(ISERROR(VLOOKUP(G27,附表2提成汇总!B:E,3,0)),0,VLOOKUP(G27,附表2提成汇总!B:E,3,0))</f>
        <v>0</v>
      </c>
      <c r="T27" s="130">
        <f t="shared" si="9"/>
        <v>0</v>
      </c>
      <c r="U27" s="76"/>
      <c r="V27" s="76"/>
      <c r="W27" s="104"/>
      <c r="X27" s="76"/>
      <c r="Y27" s="76"/>
      <c r="Z27" s="134">
        <f t="shared" si="10"/>
        <v>0</v>
      </c>
      <c r="AA27" s="38"/>
      <c r="AB27" s="135"/>
      <c r="AC27" s="135"/>
    </row>
    <row r="28" spans="1:29" s="92" customFormat="1" ht="21.9" hidden="1" customHeight="1" x14ac:dyDescent="0.25">
      <c r="A28" s="38">
        <v>25</v>
      </c>
      <c r="B28" s="111"/>
      <c r="C28" s="111"/>
      <c r="D28" s="111"/>
      <c r="E28" s="105"/>
      <c r="F28" s="111"/>
      <c r="G28" s="13"/>
      <c r="H28" s="106"/>
      <c r="I28" s="121"/>
      <c r="J28" s="121"/>
      <c r="K28" s="122" t="str">
        <f t="shared" si="11"/>
        <v/>
      </c>
      <c r="L28" s="122" t="str">
        <f t="shared" si="7"/>
        <v/>
      </c>
      <c r="M28" s="78">
        <f>IF(OR(H28="培训期",H28="试用"),0,IF(ISERROR(VLOOKUP(G28,附表1绩效考核工资表!F:N,9,0)),"",VLOOKUP(G28,附表1绩效考核工资表!F:N,9,0)))</f>
        <v>0</v>
      </c>
      <c r="N28" s="78">
        <f>IF(OR(H28="培训期",H28="试用"),0,IF(ISERROR(VLOOKUP(G28,附表1绩效考核工资表!F:Q,12,0)),"",VLOOKUP(G28,附表1绩效考核工资表!F:Q,12,0)))</f>
        <v>0</v>
      </c>
      <c r="O28" s="122" t="str">
        <f t="shared" si="8"/>
        <v/>
      </c>
      <c r="P28" s="124"/>
      <c r="Q28" s="124"/>
      <c r="R28" s="78">
        <f>IF(ISERROR(VLOOKUP(G28,附表2提成汇总!B:E,2,0)),0,VLOOKUP(G28,附表2提成汇总!B:E,2,0))</f>
        <v>0</v>
      </c>
      <c r="S28" s="78">
        <f>IF(ISERROR(VLOOKUP(G28,附表2提成汇总!B:E,3,0)),0,VLOOKUP(G28,附表2提成汇总!B:E,3,0))</f>
        <v>0</v>
      </c>
      <c r="T28" s="130">
        <f t="shared" si="9"/>
        <v>0</v>
      </c>
      <c r="U28" s="76"/>
      <c r="V28" s="76"/>
      <c r="W28" s="104"/>
      <c r="X28" s="76"/>
      <c r="Y28" s="76"/>
      <c r="Z28" s="134">
        <f t="shared" si="10"/>
        <v>0</v>
      </c>
      <c r="AA28" s="38"/>
      <c r="AB28" s="139"/>
      <c r="AC28" s="140"/>
    </row>
    <row r="29" spans="1:29" s="92" customFormat="1" ht="21.9" hidden="1" customHeight="1" x14ac:dyDescent="0.25">
      <c r="A29" s="38">
        <v>26</v>
      </c>
      <c r="B29" s="111"/>
      <c r="C29" s="111"/>
      <c r="D29" s="111"/>
      <c r="E29" s="105"/>
      <c r="F29" s="111"/>
      <c r="G29" s="13"/>
      <c r="H29" s="106"/>
      <c r="I29" s="121"/>
      <c r="J29" s="121"/>
      <c r="K29" s="122" t="str">
        <f t="shared" si="11"/>
        <v/>
      </c>
      <c r="L29" s="122" t="str">
        <f t="shared" si="7"/>
        <v/>
      </c>
      <c r="M29" s="78">
        <f>IF(OR(H29="培训期",H29="试用"),0,IF(ISERROR(VLOOKUP(G29,附表1绩效考核工资表!F:N,9,0)),"",VLOOKUP(G29,附表1绩效考核工资表!F:N,9,0)))</f>
        <v>0</v>
      </c>
      <c r="N29" s="78">
        <f>IF(OR(H29="培训期",H29="试用"),0,IF(ISERROR(VLOOKUP(G29,附表1绩效考核工资表!F:Q,12,0)),"",VLOOKUP(G29,附表1绩效考核工资表!F:Q,12,0)))</f>
        <v>0</v>
      </c>
      <c r="O29" s="122" t="str">
        <f t="shared" si="8"/>
        <v/>
      </c>
      <c r="P29" s="124"/>
      <c r="Q29" s="124"/>
      <c r="R29" s="78">
        <f>IF(ISERROR(VLOOKUP(G29,附表2提成汇总!B:E,2,0)),0,VLOOKUP(G29,附表2提成汇总!B:E,2,0))</f>
        <v>0</v>
      </c>
      <c r="S29" s="78">
        <f>IF(ISERROR(VLOOKUP(G29,附表2提成汇总!B:E,3,0)),0,VLOOKUP(G29,附表2提成汇总!B:E,3,0))</f>
        <v>0</v>
      </c>
      <c r="T29" s="130">
        <f t="shared" si="9"/>
        <v>0</v>
      </c>
      <c r="U29" s="76"/>
      <c r="V29" s="76"/>
      <c r="W29" s="104"/>
      <c r="X29" s="76"/>
      <c r="Y29" s="76"/>
      <c r="Z29" s="134">
        <f t="shared" si="10"/>
        <v>0</v>
      </c>
      <c r="AA29" s="38"/>
      <c r="AB29" s="139"/>
      <c r="AC29" s="140"/>
    </row>
    <row r="30" spans="1:29" s="92" customFormat="1" ht="21.9" hidden="1" customHeight="1" x14ac:dyDescent="0.25">
      <c r="A30" s="38">
        <v>27</v>
      </c>
      <c r="B30" s="111"/>
      <c r="C30" s="111"/>
      <c r="D30" s="111"/>
      <c r="E30" s="105"/>
      <c r="F30" s="111"/>
      <c r="G30" s="13"/>
      <c r="H30" s="106"/>
      <c r="I30" s="121"/>
      <c r="J30" s="121"/>
      <c r="K30" s="122" t="str">
        <f t="shared" si="11"/>
        <v/>
      </c>
      <c r="L30" s="122" t="str">
        <f t="shared" si="7"/>
        <v/>
      </c>
      <c r="M30" s="78">
        <f>IF(OR(H30="培训期",H30="试用"),0,IF(ISERROR(VLOOKUP(G30,附表1绩效考核工资表!F:N,9,0)),"",VLOOKUP(G30,附表1绩效考核工资表!F:N,9,0)))</f>
        <v>0</v>
      </c>
      <c r="N30" s="78">
        <f>IF(OR(H30="培训期",H30="试用"),0,IF(ISERROR(VLOOKUP(G30,附表1绩效考核工资表!F:Q,12,0)),"",VLOOKUP(G30,附表1绩效考核工资表!F:Q,12,0)))</f>
        <v>0</v>
      </c>
      <c r="O30" s="122" t="str">
        <f t="shared" si="8"/>
        <v/>
      </c>
      <c r="P30" s="124"/>
      <c r="Q30" s="124"/>
      <c r="R30" s="78">
        <f>IF(ISERROR(VLOOKUP(G30,附表2提成汇总!B:E,2,0)),0,VLOOKUP(G30,附表2提成汇总!B:E,2,0))</f>
        <v>0</v>
      </c>
      <c r="S30" s="78">
        <f>IF(ISERROR(VLOOKUP(G30,附表2提成汇总!B:E,3,0)),0,VLOOKUP(G30,附表2提成汇总!B:E,3,0))</f>
        <v>0</v>
      </c>
      <c r="T30" s="130">
        <f t="shared" si="9"/>
        <v>0</v>
      </c>
      <c r="U30" s="76"/>
      <c r="V30" s="76"/>
      <c r="W30" s="104"/>
      <c r="X30" s="76"/>
      <c r="Y30" s="76"/>
      <c r="Z30" s="134">
        <f t="shared" si="10"/>
        <v>0</v>
      </c>
      <c r="AA30" s="38"/>
      <c r="AB30" s="141"/>
      <c r="AC30" s="142"/>
    </row>
    <row r="31" spans="1:29" s="92" customFormat="1" ht="21.9" hidden="1" customHeight="1" x14ac:dyDescent="0.25">
      <c r="A31" s="38">
        <v>28</v>
      </c>
      <c r="B31" s="111"/>
      <c r="C31" s="111"/>
      <c r="D31" s="111"/>
      <c r="E31" s="105"/>
      <c r="F31" s="111"/>
      <c r="G31" s="13"/>
      <c r="H31" s="106"/>
      <c r="I31" s="121"/>
      <c r="J31" s="121"/>
      <c r="K31" s="122" t="str">
        <f t="shared" si="11"/>
        <v/>
      </c>
      <c r="L31" s="122" t="str">
        <f t="shared" si="7"/>
        <v/>
      </c>
      <c r="M31" s="78">
        <f>IF(OR(H31="培训期",H31="试用"),0,IF(ISERROR(VLOOKUP(G31,附表1绩效考核工资表!F:N,9,0)),"",VLOOKUP(G31,附表1绩效考核工资表!F:N,9,0)))</f>
        <v>0</v>
      </c>
      <c r="N31" s="78">
        <f>IF(OR(H31="培训期",H31="试用"),0,IF(ISERROR(VLOOKUP(G31,附表1绩效考核工资表!F:Q,12,0)),"",VLOOKUP(G31,附表1绩效考核工资表!F:Q,12,0)))</f>
        <v>0</v>
      </c>
      <c r="O31" s="122" t="str">
        <f t="shared" si="8"/>
        <v/>
      </c>
      <c r="P31" s="124"/>
      <c r="Q31" s="124"/>
      <c r="R31" s="78">
        <f>IF(ISERROR(VLOOKUP(G31,附表2提成汇总!B:E,2,0)),0,VLOOKUP(G31,附表2提成汇总!B:E,2,0))</f>
        <v>0</v>
      </c>
      <c r="S31" s="78">
        <f>IF(ISERROR(VLOOKUP(G31,附表2提成汇总!B:E,3,0)),0,VLOOKUP(G31,附表2提成汇总!B:E,3,0))</f>
        <v>0</v>
      </c>
      <c r="T31" s="130">
        <f t="shared" si="9"/>
        <v>0</v>
      </c>
      <c r="U31" s="76"/>
      <c r="V31" s="76"/>
      <c r="W31" s="104"/>
      <c r="X31" s="76"/>
      <c r="Y31" s="76"/>
      <c r="Z31" s="134">
        <f t="shared" si="10"/>
        <v>0</v>
      </c>
      <c r="AA31" s="38"/>
      <c r="AB31" s="143"/>
      <c r="AC31" s="144"/>
    </row>
    <row r="32" spans="1:29" s="92" customFormat="1" ht="21.9" hidden="1" customHeight="1" x14ac:dyDescent="0.25">
      <c r="A32" s="38">
        <v>29</v>
      </c>
      <c r="B32" s="111"/>
      <c r="C32" s="111"/>
      <c r="D32" s="111"/>
      <c r="E32" s="105"/>
      <c r="F32" s="111"/>
      <c r="G32" s="13"/>
      <c r="H32" s="106"/>
      <c r="I32" s="121"/>
      <c r="J32" s="121"/>
      <c r="K32" s="122" t="str">
        <f t="shared" si="11"/>
        <v/>
      </c>
      <c r="L32" s="122" t="str">
        <f t="shared" si="7"/>
        <v/>
      </c>
      <c r="M32" s="78">
        <f>IF(OR(H32="培训期",H32="试用"),0,IF(ISERROR(VLOOKUP(G32,附表1绩效考核工资表!F:N,9,0)),"",VLOOKUP(G32,附表1绩效考核工资表!F:N,9,0)))</f>
        <v>0</v>
      </c>
      <c r="N32" s="78">
        <f>IF(OR(H32="培训期",H32="试用"),0,IF(ISERROR(VLOOKUP(G32,附表1绩效考核工资表!F:Q,12,0)),"",VLOOKUP(G32,附表1绩效考核工资表!F:Q,12,0)))</f>
        <v>0</v>
      </c>
      <c r="O32" s="122" t="str">
        <f t="shared" si="8"/>
        <v/>
      </c>
      <c r="P32" s="124"/>
      <c r="Q32" s="124"/>
      <c r="R32" s="78">
        <f>IF(ISERROR(VLOOKUP(G32,附表2提成汇总!B:E,2,0)),0,VLOOKUP(G32,附表2提成汇总!B:E,2,0))</f>
        <v>0</v>
      </c>
      <c r="S32" s="78">
        <f>IF(ISERROR(VLOOKUP(G32,附表2提成汇总!B:E,3,0)),0,VLOOKUP(G32,附表2提成汇总!B:E,3,0))</f>
        <v>0</v>
      </c>
      <c r="T32" s="130">
        <f t="shared" si="9"/>
        <v>0</v>
      </c>
      <c r="U32" s="76"/>
      <c r="V32" s="76"/>
      <c r="W32" s="104"/>
      <c r="X32" s="76"/>
      <c r="Y32" s="76"/>
      <c r="Z32" s="134">
        <f t="shared" si="10"/>
        <v>0</v>
      </c>
      <c r="AA32" s="38"/>
      <c r="AB32" s="145"/>
      <c r="AC32" s="140"/>
    </row>
    <row r="33" spans="1:29" s="94" customFormat="1" ht="18" customHeight="1" x14ac:dyDescent="0.25">
      <c r="A33" s="112"/>
      <c r="B33" s="112" t="s">
        <v>94</v>
      </c>
      <c r="C33" s="112"/>
      <c r="D33" s="112"/>
      <c r="E33" s="112"/>
      <c r="F33" s="112"/>
      <c r="G33" s="112"/>
      <c r="H33" s="113"/>
      <c r="I33" s="126"/>
      <c r="J33" s="126"/>
      <c r="K33" s="127">
        <f t="shared" ref="K33:Q33" si="12">ROUND(SUM(K5:K32),2)</f>
        <v>45900</v>
      </c>
      <c r="L33" s="127">
        <f t="shared" si="12"/>
        <v>36860</v>
      </c>
      <c r="M33" s="127">
        <f t="shared" si="12"/>
        <v>10218.540000000001</v>
      </c>
      <c r="N33" s="127">
        <f t="shared" si="12"/>
        <v>436.67</v>
      </c>
      <c r="O33" s="127">
        <f t="shared" si="12"/>
        <v>0</v>
      </c>
      <c r="P33" s="127">
        <f t="shared" si="12"/>
        <v>60</v>
      </c>
      <c r="Q33" s="127">
        <f t="shared" si="12"/>
        <v>2490</v>
      </c>
      <c r="R33" s="127">
        <f t="shared" ref="R33:Z33" si="13">ROUND(SUM(R5:R32),2)</f>
        <v>42302</v>
      </c>
      <c r="S33" s="127">
        <f t="shared" si="13"/>
        <v>3564</v>
      </c>
      <c r="T33" s="127">
        <f t="shared" si="13"/>
        <v>95931.21</v>
      </c>
      <c r="U33" s="127">
        <f t="shared" si="13"/>
        <v>1000</v>
      </c>
      <c r="V33" s="127">
        <f t="shared" si="13"/>
        <v>2636.56</v>
      </c>
      <c r="W33" s="133">
        <f t="shared" si="13"/>
        <v>4321.3999999999996</v>
      </c>
      <c r="X33" s="127">
        <f t="shared" si="13"/>
        <v>0</v>
      </c>
      <c r="Y33" s="127">
        <f t="shared" si="13"/>
        <v>0</v>
      </c>
      <c r="Z33" s="146">
        <f t="shared" si="13"/>
        <v>89973.25</v>
      </c>
      <c r="AA33" s="147"/>
      <c r="AB33" s="147"/>
      <c r="AC33" s="148"/>
    </row>
    <row r="35" spans="1:29" ht="18" customHeight="1" x14ac:dyDescent="0.25">
      <c r="B35" s="114"/>
      <c r="T35" s="114"/>
    </row>
    <row r="37" spans="1:29" s="95" customFormat="1" ht="18" customHeight="1" x14ac:dyDescent="0.25">
      <c r="A37" s="115"/>
      <c r="B37" s="67"/>
      <c r="C37" s="115"/>
      <c r="D37" s="67"/>
      <c r="E37" s="67"/>
      <c r="F37" s="115"/>
      <c r="G37" s="115"/>
      <c r="H37" s="115"/>
      <c r="I37" s="128"/>
      <c r="J37" s="128"/>
      <c r="K37" s="129"/>
      <c r="L37" s="115"/>
      <c r="O37" s="129"/>
      <c r="P37" s="129"/>
      <c r="Q37" s="129"/>
      <c r="R37" s="115"/>
      <c r="S37" s="115"/>
      <c r="T37" s="67"/>
      <c r="V37" s="129"/>
      <c r="X37" s="115"/>
      <c r="Y37" s="115"/>
      <c r="Z37" s="129"/>
    </row>
    <row r="39" spans="1:29" ht="18" customHeight="1" x14ac:dyDescent="0.25">
      <c r="B39" s="114"/>
    </row>
  </sheetData>
  <mergeCells count="30">
    <mergeCell ref="Z3:Z4"/>
    <mergeCell ref="AA3:AA4"/>
    <mergeCell ref="AB3:AB4"/>
    <mergeCell ref="AC3:AC4"/>
    <mergeCell ref="U3:U4"/>
    <mergeCell ref="V3:V4"/>
    <mergeCell ref="W3:W4"/>
    <mergeCell ref="X3:X4"/>
    <mergeCell ref="Y3:Y4"/>
    <mergeCell ref="P3:P4"/>
    <mergeCell ref="Q3:Q4"/>
    <mergeCell ref="R3:R4"/>
    <mergeCell ref="S3:S4"/>
    <mergeCell ref="T3:T4"/>
    <mergeCell ref="A1:Z1"/>
    <mergeCell ref="A2:D2"/>
    <mergeCell ref="M3:N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O3:O4"/>
  </mergeCells>
  <phoneticPr fontId="33" type="noConversion"/>
  <dataValidations count="8">
    <dataValidation type="list" allowBlank="1" showInputMessage="1" showErrorMessage="1" sqref="D12:D14">
      <formula1>"提成,普通员工,部门主管,部门经理,副总经理,总经理,大区总经理,大区副总经理,总监,财务总监"</formula1>
    </dataValidation>
    <dataValidation type="list" allowBlank="1" showInputMessage="1" showErrorMessage="1" sqref="F5 F6 F7 F8 F16 F17 F18 F9:F15 F19:F21">
      <formula1>"提成,业务,后勤,区域后勤"</formula1>
    </dataValidation>
    <dataValidation allowBlank="1" showInputMessage="1" showErrorMessage="1" sqref="F4 F37 F1:F3 F33:F36 F38:F1048576"/>
    <dataValidation type="list" allowBlank="1" showInputMessage="1" showErrorMessage="1" sqref="D5 D6 D7 D8 D21 D9:D11 D16:D20">
      <formula1>"提成,普通员工,部门主管,部门经理,副总经理,总经理,大区总经理,大区副总经理,大区财务经理,财务总监,总监"</formula1>
    </dataValidation>
    <dataValidation type="list" allowBlank="1" showInputMessage="1" showErrorMessage="1" sqref="F22:F32">
      <formula1>"业务,后勤,提成"</formula1>
    </dataValidation>
    <dataValidation type="list" allowBlank="1" showInputMessage="1" showErrorMessage="1" sqref="E5 E6 E7 E8 E16 E17 E18 E9:E15 E19:E21 E22:E32">
      <formula1>"一星,二星,三星,四星,五星,无"</formula1>
    </dataValidation>
    <dataValidation type="list" allowBlank="1" showInputMessage="1" showErrorMessage="1" sqref="H5 H6 H7 H8 H16 H17 H18 H9:H15 H19:H21 H22:H32">
      <formula1>"在职,试用,调入,调出,离职,提成"</formula1>
    </dataValidation>
    <dataValidation type="list" allowBlank="1" showInputMessage="1" showErrorMessage="1" sqref="D22:D32">
      <formula1>"提成,普通员工,部门主管,部门经理,副总经理,总经理,见习财务经理,团队财务经理,区域财务经理,团队副总经理,团队总经理,财务总监,总监"</formula1>
    </dataValidation>
  </dataValidations>
  <pageMargins left="0.235416666666667" right="0.196527777777778" top="0.31388888888888899" bottom="0.196527777777778" header="0.27500000000000002" footer="0.118055555555556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2"/>
  <sheetViews>
    <sheetView workbookViewId="0">
      <pane xSplit="7" ySplit="3" topLeftCell="H4" activePane="bottomRight" state="frozen"/>
      <selection pane="topRight"/>
      <selection pane="bottomLeft"/>
      <selection pane="bottomRight" activeCell="K5" sqref="K5"/>
    </sheetView>
  </sheetViews>
  <sheetFormatPr defaultColWidth="9" defaultRowHeight="14.4" x14ac:dyDescent="0.25"/>
  <cols>
    <col min="1" max="1" width="3" customWidth="1"/>
    <col min="2" max="2" width="23.21875" customWidth="1"/>
    <col min="3" max="3" width="7.21875" customWidth="1"/>
    <col min="4" max="4" width="11.88671875" customWidth="1"/>
    <col min="5" max="5" width="5.33203125" customWidth="1"/>
    <col min="6" max="6" width="6.88671875" customWidth="1"/>
    <col min="7" max="7" width="6.44140625" customWidth="1"/>
    <col min="8" max="8" width="8.6640625" customWidth="1"/>
    <col min="9" max="9" width="8.44140625" customWidth="1"/>
    <col min="10" max="10" width="10.21875" style="62" customWidth="1"/>
    <col min="11" max="11" width="9.77734375" style="62" customWidth="1"/>
    <col min="12" max="12" width="10.88671875" style="63" customWidth="1"/>
    <col min="13" max="13" width="8.33203125" style="64" customWidth="1"/>
    <col min="14" max="14" width="11.21875" style="65" customWidth="1"/>
    <col min="15" max="15" width="8.33203125" style="64" customWidth="1"/>
    <col min="16" max="16" width="10" style="64" customWidth="1"/>
    <col min="17" max="17" width="9.44140625" style="65" customWidth="1"/>
    <col min="18" max="22" width="9" style="66"/>
  </cols>
  <sheetData>
    <row r="1" spans="1:22" s="60" customFormat="1" ht="20.399999999999999" x14ac:dyDescent="0.25">
      <c r="A1" s="165" t="str">
        <f>金融板块工资表!A1&amp;"-附表1绩效考核工资表"</f>
        <v>青岛腾聚信诚信息咨询有限公司2021年4月工资表-附表1绩效考核工资表</v>
      </c>
      <c r="B1" s="165"/>
      <c r="C1" s="165"/>
      <c r="D1" s="165"/>
      <c r="E1" s="165"/>
      <c r="F1" s="165"/>
      <c r="G1" s="165"/>
      <c r="H1" s="165"/>
      <c r="I1" s="165"/>
      <c r="J1" s="166"/>
      <c r="K1" s="166"/>
      <c r="L1" s="166"/>
      <c r="M1" s="167"/>
      <c r="N1" s="166"/>
      <c r="O1" s="165"/>
      <c r="P1" s="167"/>
      <c r="Q1" s="166"/>
      <c r="R1" s="85"/>
      <c r="S1" s="85"/>
      <c r="T1" s="85"/>
      <c r="U1" s="85"/>
      <c r="V1" s="85"/>
    </row>
    <row r="2" spans="1:22" ht="15" customHeight="1" x14ac:dyDescent="0.25">
      <c r="A2" s="160" t="s">
        <v>2</v>
      </c>
      <c r="B2" s="160" t="s">
        <v>3</v>
      </c>
      <c r="C2" s="160" t="s">
        <v>4</v>
      </c>
      <c r="D2" s="160" t="s">
        <v>5</v>
      </c>
      <c r="E2" s="160" t="s">
        <v>7</v>
      </c>
      <c r="F2" s="160" t="s">
        <v>8</v>
      </c>
      <c r="G2" s="175" t="s">
        <v>9</v>
      </c>
      <c r="H2" s="160" t="s">
        <v>12</v>
      </c>
      <c r="I2" s="160" t="s">
        <v>13</v>
      </c>
      <c r="J2" s="168" t="s">
        <v>95</v>
      </c>
      <c r="K2" s="169"/>
      <c r="L2" s="169"/>
      <c r="M2" s="170"/>
      <c r="N2" s="171"/>
      <c r="O2" s="172" t="s">
        <v>96</v>
      </c>
      <c r="P2" s="172"/>
      <c r="Q2" s="173"/>
    </row>
    <row r="3" spans="1:22" ht="28.05" customHeight="1" x14ac:dyDescent="0.25">
      <c r="A3" s="174"/>
      <c r="B3" s="174"/>
      <c r="C3" s="174"/>
      <c r="D3" s="174"/>
      <c r="E3" s="174"/>
      <c r="F3" s="174"/>
      <c r="G3" s="176"/>
      <c r="H3" s="174"/>
      <c r="I3" s="174"/>
      <c r="J3" s="74" t="s">
        <v>97</v>
      </c>
      <c r="K3" s="74" t="s">
        <v>98</v>
      </c>
      <c r="L3" s="74" t="s">
        <v>99</v>
      </c>
      <c r="M3" s="75" t="s">
        <v>100</v>
      </c>
      <c r="N3" s="74" t="s">
        <v>26</v>
      </c>
      <c r="O3" s="73" t="s">
        <v>101</v>
      </c>
      <c r="P3" s="73" t="s">
        <v>102</v>
      </c>
      <c r="Q3" s="87" t="s">
        <v>26</v>
      </c>
    </row>
    <row r="4" spans="1:22" ht="20.100000000000001" customHeight="1" x14ac:dyDescent="0.25">
      <c r="A4" s="68">
        <v>1</v>
      </c>
      <c r="B4" s="69" t="str">
        <f>金融板块工资表!B5</f>
        <v>青岛腾聚信诚信息咨询有限公司</v>
      </c>
      <c r="C4" s="69" t="str">
        <f>金融板块工资表!C5</f>
        <v>后勤部</v>
      </c>
      <c r="D4" s="69" t="str">
        <f>金融板块工资表!D5</f>
        <v>普通员工</v>
      </c>
      <c r="E4" s="69" t="str">
        <f>金融板块工资表!F5</f>
        <v>后勤</v>
      </c>
      <c r="F4" s="69" t="str">
        <f>金融板块工资表!G5</f>
        <v>柳晶晶</v>
      </c>
      <c r="G4" s="69" t="str">
        <f>金融板块工资表!H5</f>
        <v>试用</v>
      </c>
      <c r="H4" s="70">
        <f>金融板块工资表!K5</f>
        <v>3000</v>
      </c>
      <c r="I4" s="70">
        <f>金融板块工资表!L5</f>
        <v>3000</v>
      </c>
      <c r="J4" s="76"/>
      <c r="K4" s="76"/>
      <c r="L4" s="76"/>
      <c r="M4" s="77">
        <f t="shared" ref="M4:M9" si="0">IF(G4="","",IF(AND(E4="业务",OR(D4="普通员工",D4="部门主管",D4="部门经理",D4="副总经理")),IF(ISERROR(K4/J4),0,IF(K4/J4&lt;0,0,IF(K4/J4&gt;3,3,K4/J4))),IF(AND(E4="业务",D4="总经理"),IF(ISERROR(K4/J4),0,IF(K4/J4&gt;=0.6,IF(K4/J4&lt;0,0,K4/J4),0)),IF(E4="业务",IF(ISERROR(K4/J4),0,IF(K4/J4&gt;=0.6,IF(K4/J4&lt;0,0,K4/J4),0)),IF(G4="","",IF(OR(E4="区域后勤",E4="后勤"),L4/100,""))))))</f>
        <v>0</v>
      </c>
      <c r="N4" s="78">
        <f t="shared" ref="N4:N9" si="1">IF(F4="",0,IF(E4="业务",IF(D4="总监",H4*30%*M4,IF(OR(D4="团队总经理",D4="团队副总经理",D4="总经理"),H4*40%*M4,IF(G4="试用",0,H4*15%*M4))),IF(E4="后勤",IF(G4="试用",0,20%*M4*H4),0)))</f>
        <v>0</v>
      </c>
      <c r="O4" s="79"/>
      <c r="P4" s="80" t="str">
        <f t="shared" ref="P4:P9" si="2">IF(O4="","",IF(IF(O4&lt;0,0,O4)/3&gt;=1,1,IF(O4&lt;0,0,O4)/3))</f>
        <v/>
      </c>
      <c r="Q4" s="78">
        <f t="shared" ref="Q4:Q9" si="3">IF(P4="",0,IF(AND(E4="业务",OR(G4="在职",G4="离职",G4="调入",G4="调出")),IF(OR(D4="普通员工",D4="部门主管",D4="部门经理",D4="副总经理"),H4*5%*P4,0),0))</f>
        <v>0</v>
      </c>
    </row>
    <row r="5" spans="1:22" ht="20.100000000000001" customHeight="1" x14ac:dyDescent="0.25">
      <c r="A5" s="68">
        <v>2</v>
      </c>
      <c r="B5" s="69" t="str">
        <f>金融板块工资表!B6</f>
        <v>青岛腾聚信诚信息咨询有限公司</v>
      </c>
      <c r="C5" s="69" t="str">
        <f>金融板块工资表!C6</f>
        <v>业务部</v>
      </c>
      <c r="D5" s="69" t="str">
        <f>金融板块工资表!D6</f>
        <v>普通员工</v>
      </c>
      <c r="E5" s="69" t="str">
        <f>金融板块工资表!F6</f>
        <v>业务</v>
      </c>
      <c r="F5" s="69" t="str">
        <f>金融板块工资表!G6</f>
        <v>鲁正鑫</v>
      </c>
      <c r="G5" s="69" t="str">
        <f>金融板块工资表!H6</f>
        <v>试用</v>
      </c>
      <c r="H5" s="70">
        <f>金融板块工资表!K6</f>
        <v>3000</v>
      </c>
      <c r="I5" s="70">
        <f>金融板块工资表!L6</f>
        <v>3000</v>
      </c>
      <c r="J5" s="76"/>
      <c r="K5" s="76"/>
      <c r="L5" s="76"/>
      <c r="M5" s="77">
        <f t="shared" si="0"/>
        <v>0</v>
      </c>
      <c r="N5" s="78">
        <f t="shared" si="1"/>
        <v>0</v>
      </c>
      <c r="O5" s="79"/>
      <c r="P5" s="80" t="str">
        <f t="shared" si="2"/>
        <v/>
      </c>
      <c r="Q5" s="78">
        <f t="shared" si="3"/>
        <v>0</v>
      </c>
    </row>
    <row r="6" spans="1:22" ht="20.100000000000001" customHeight="1" x14ac:dyDescent="0.25">
      <c r="A6" s="68">
        <v>3</v>
      </c>
      <c r="B6" s="69" t="str">
        <f>金融板块工资表!B7</f>
        <v>青岛腾聚信诚信息咨询有限公司</v>
      </c>
      <c r="C6" s="69" t="str">
        <f>金融板块工资表!C7</f>
        <v>业务部</v>
      </c>
      <c r="D6" s="69" t="str">
        <f>金融板块工资表!D7</f>
        <v>普通员工</v>
      </c>
      <c r="E6" s="69" t="str">
        <f>金融板块工资表!F7</f>
        <v>业务</v>
      </c>
      <c r="F6" s="69" t="str">
        <f>金融板块工资表!G7</f>
        <v>王文杰</v>
      </c>
      <c r="G6" s="69" t="str">
        <f>金融板块工资表!H7</f>
        <v>在职</v>
      </c>
      <c r="H6" s="70">
        <f>金融板块工资表!K7</f>
        <v>3600</v>
      </c>
      <c r="I6" s="70">
        <f>金融板块工资表!L7</f>
        <v>2880</v>
      </c>
      <c r="J6" s="76">
        <v>40</v>
      </c>
      <c r="K6" s="76">
        <v>22</v>
      </c>
      <c r="L6" s="76"/>
      <c r="M6" s="77">
        <f t="shared" si="0"/>
        <v>0.55000000000000004</v>
      </c>
      <c r="N6" s="78">
        <f t="shared" si="1"/>
        <v>297</v>
      </c>
      <c r="O6" s="79">
        <v>1</v>
      </c>
      <c r="P6" s="80">
        <f t="shared" si="2"/>
        <v>0.33333333333333331</v>
      </c>
      <c r="Q6" s="78">
        <f t="shared" si="3"/>
        <v>60</v>
      </c>
    </row>
    <row r="7" spans="1:22" ht="20.100000000000001" customHeight="1" x14ac:dyDescent="0.25">
      <c r="A7" s="68">
        <v>4</v>
      </c>
      <c r="B7" s="69" t="str">
        <f>金融板块工资表!B8</f>
        <v>青岛腾聚信诚信息咨询有限公司</v>
      </c>
      <c r="C7" s="69" t="str">
        <f>金融板块工资表!C8</f>
        <v>后勤部</v>
      </c>
      <c r="D7" s="69" t="str">
        <f>金融板块工资表!D8</f>
        <v>普通员工</v>
      </c>
      <c r="E7" s="69" t="str">
        <f>金融板块工资表!F8</f>
        <v>后勤</v>
      </c>
      <c r="F7" s="69" t="str">
        <f>金融板块工资表!G8</f>
        <v>戴晓兰</v>
      </c>
      <c r="G7" s="69" t="str">
        <f>金融板块工资表!H8</f>
        <v>在职</v>
      </c>
      <c r="H7" s="70">
        <f>金融板块工资表!K8</f>
        <v>3500</v>
      </c>
      <c r="I7" s="70">
        <f>金融板块工资表!L8</f>
        <v>2800</v>
      </c>
      <c r="J7" s="76"/>
      <c r="K7" s="76"/>
      <c r="L7" s="76">
        <v>94</v>
      </c>
      <c r="M7" s="77">
        <f t="shared" si="0"/>
        <v>0.94</v>
      </c>
      <c r="N7" s="78">
        <f t="shared" si="1"/>
        <v>658</v>
      </c>
      <c r="O7" s="79"/>
      <c r="P7" s="80" t="str">
        <f t="shared" si="2"/>
        <v/>
      </c>
      <c r="Q7" s="78">
        <f t="shared" si="3"/>
        <v>0</v>
      </c>
    </row>
    <row r="8" spans="1:22" ht="20.100000000000001" customHeight="1" x14ac:dyDescent="0.25">
      <c r="A8" s="68">
        <v>5</v>
      </c>
      <c r="B8" s="69" t="str">
        <f>金融板块工资表!B9</f>
        <v>青岛腾聚信诚信息咨询有限公司</v>
      </c>
      <c r="C8" s="69" t="str">
        <f>金融板块工资表!C9</f>
        <v>财务部</v>
      </c>
      <c r="D8" s="69" t="str">
        <f>金融板块工资表!D9</f>
        <v>普通员工</v>
      </c>
      <c r="E8" s="69" t="str">
        <f>金融板块工资表!F9</f>
        <v>后勤</v>
      </c>
      <c r="F8" s="69" t="str">
        <f>金融板块工资表!G9</f>
        <v>段学敏</v>
      </c>
      <c r="G8" s="69" t="str">
        <f>金融板块工资表!H9</f>
        <v>在职</v>
      </c>
      <c r="H8" s="70">
        <f>金融板块工资表!K9</f>
        <v>3600</v>
      </c>
      <c r="I8" s="70">
        <f>金融板块工资表!L9</f>
        <v>2880</v>
      </c>
      <c r="J8" s="76"/>
      <c r="K8" s="76"/>
      <c r="L8" s="76">
        <v>98.4</v>
      </c>
      <c r="M8" s="77">
        <f t="shared" si="0"/>
        <v>0.9840000000000001</v>
      </c>
      <c r="N8" s="78">
        <f t="shared" si="1"/>
        <v>708.48000000000013</v>
      </c>
      <c r="O8" s="79"/>
      <c r="P8" s="80" t="str">
        <f t="shared" si="2"/>
        <v/>
      </c>
      <c r="Q8" s="78">
        <f t="shared" si="3"/>
        <v>0</v>
      </c>
    </row>
    <row r="9" spans="1:22" ht="20.100000000000001" customHeight="1" x14ac:dyDescent="0.25">
      <c r="A9" s="68">
        <v>6</v>
      </c>
      <c r="B9" s="69" t="str">
        <f>金融板块工资表!B10</f>
        <v>青岛腾聚信诚信息咨询有限公司</v>
      </c>
      <c r="C9" s="69" t="str">
        <f>金融板块工资表!C10</f>
        <v>业务部</v>
      </c>
      <c r="D9" s="69" t="str">
        <f>金融板块工资表!D10</f>
        <v>部门主管</v>
      </c>
      <c r="E9" s="69" t="str">
        <f>金融板块工资表!F10</f>
        <v>业务</v>
      </c>
      <c r="F9" s="69" t="str">
        <f>金融板块工资表!G10</f>
        <v>王玮</v>
      </c>
      <c r="G9" s="69" t="str">
        <f>金融板块工资表!H10</f>
        <v>在职</v>
      </c>
      <c r="H9" s="70">
        <f>金融板块工资表!K10</f>
        <v>4200</v>
      </c>
      <c r="I9" s="70">
        <f>金融板块工资表!L10</f>
        <v>3360</v>
      </c>
      <c r="J9" s="76">
        <v>60</v>
      </c>
      <c r="K9" s="76">
        <v>181</v>
      </c>
      <c r="L9" s="76"/>
      <c r="M9" s="77">
        <f t="shared" si="0"/>
        <v>3</v>
      </c>
      <c r="N9" s="78">
        <f t="shared" si="1"/>
        <v>1890</v>
      </c>
      <c r="O9" s="79">
        <v>3</v>
      </c>
      <c r="P9" s="80">
        <f t="shared" si="2"/>
        <v>1</v>
      </c>
      <c r="Q9" s="78">
        <f t="shared" si="3"/>
        <v>210</v>
      </c>
    </row>
    <row r="10" spans="1:22" ht="20.100000000000001" customHeight="1" x14ac:dyDescent="0.25">
      <c r="A10" s="68">
        <v>7</v>
      </c>
      <c r="B10" s="69" t="str">
        <f>金融板块工资表!B11</f>
        <v>青岛腾聚信诚信息咨询有限公司</v>
      </c>
      <c r="C10" s="69" t="str">
        <f>金融板块工资表!C11</f>
        <v>财务部</v>
      </c>
      <c r="D10" s="69" t="str">
        <f>金融板块工资表!D11</f>
        <v>部门主管</v>
      </c>
      <c r="E10" s="69" t="str">
        <f>金融板块工资表!F11</f>
        <v>后勤</v>
      </c>
      <c r="F10" s="69" t="str">
        <f>金融板块工资表!G11</f>
        <v>李晓玲</v>
      </c>
      <c r="G10" s="69" t="str">
        <f>金融板块工资表!H11</f>
        <v>在职</v>
      </c>
      <c r="H10" s="70">
        <f>金融板块工资表!K11</f>
        <v>4200</v>
      </c>
      <c r="I10" s="70">
        <f>金融板块工资表!L11</f>
        <v>3360</v>
      </c>
      <c r="J10" s="76"/>
      <c r="K10" s="76"/>
      <c r="L10" s="76">
        <v>98.4</v>
      </c>
      <c r="M10" s="77">
        <f t="shared" ref="M10:M17" si="4">IF(G10="","",IF(AND(E10="业务",OR(D10="普通员工",D10="部门主管",D10="部门经理",D10="副总经理")),IF(ISERROR(K10/J10),0,IF(K10/J10&lt;0,0,IF(K10/J10&gt;3,3,K10/J10))),IF(AND(E10="业务",D10="总经理"),IF(ISERROR(K10/J10),0,IF(K10/J10&gt;=0.6,IF(K10/J10&lt;0,0,K10/J10),0)),IF(E10="业务",IF(ISERROR(K10/J10),0,IF(K10/J10&gt;=0.6,IF(K10/J10&lt;0,0,K10/J10),0)),IF(G10="","",IF(OR(E10="区域后勤",E10="后勤"),L10/100,""))))))</f>
        <v>0.9840000000000001</v>
      </c>
      <c r="N10" s="78">
        <f t="shared" ref="N10:N17" si="5">IF(F10="",0,IF(E10="业务",IF(D10="总监",H10*30%*M10,IF(OR(D10="团队总经理",D10="团队副总经理",D10="总经理"),H10*40%*M10,IF(G10="试用",0,H10*15%*M10))),IF(E10="后勤",IF(G10="试用",0,20%*M10*H10),0)))</f>
        <v>826.56000000000017</v>
      </c>
      <c r="O10" s="79"/>
      <c r="P10" s="80" t="str">
        <f t="shared" ref="P10:P17" si="6">IF(O10="","",IF(IF(O10&lt;0,0,O10)/3&gt;=1,1,IF(O10&lt;0,0,O10)/3))</f>
        <v/>
      </c>
      <c r="Q10" s="78">
        <f t="shared" ref="Q10:Q17" si="7">IF(P10="",0,IF(AND(E10="业务",OR(G10="在职",G10="离职",G10="调入",G10="调出")),IF(OR(D10="普通员工",D10="部门主管",D10="部门经理",D10="副总经理"),H10*5%*P10,0),0))</f>
        <v>0</v>
      </c>
    </row>
    <row r="11" spans="1:22" ht="20.100000000000001" customHeight="1" x14ac:dyDescent="0.25">
      <c r="A11" s="68">
        <v>8</v>
      </c>
      <c r="B11" s="69" t="str">
        <f>金融板块工资表!B12</f>
        <v>青岛腾聚信诚信息咨询有限公司</v>
      </c>
      <c r="C11" s="69" t="str">
        <f>金融板块工资表!C12</f>
        <v>业务部</v>
      </c>
      <c r="D11" s="69" t="str">
        <f>金融板块工资表!D12</f>
        <v>部门经理</v>
      </c>
      <c r="E11" s="69" t="str">
        <f>金融板块工资表!F12</f>
        <v>业务</v>
      </c>
      <c r="F11" s="69" t="str">
        <f>金融板块工资表!G12</f>
        <v>刘秋敏</v>
      </c>
      <c r="G11" s="69" t="str">
        <f>金融板块工资表!H12</f>
        <v>在职</v>
      </c>
      <c r="H11" s="70">
        <f>金融板块工资表!K12</f>
        <v>5000</v>
      </c>
      <c r="I11" s="70">
        <f>金融板块工资表!L12</f>
        <v>4000</v>
      </c>
      <c r="J11" s="76">
        <v>60</v>
      </c>
      <c r="K11" s="76">
        <v>70</v>
      </c>
      <c r="L11" s="76"/>
      <c r="M11" s="77">
        <f t="shared" si="4"/>
        <v>1.1666666666666667</v>
      </c>
      <c r="N11" s="78">
        <f t="shared" si="5"/>
        <v>875</v>
      </c>
      <c r="O11" s="79">
        <v>2</v>
      </c>
      <c r="P11" s="80">
        <f t="shared" si="6"/>
        <v>0.66666666666666663</v>
      </c>
      <c r="Q11" s="78">
        <f t="shared" si="7"/>
        <v>166.66666666666666</v>
      </c>
    </row>
    <row r="12" spans="1:22" ht="20.100000000000001" customHeight="1" x14ac:dyDescent="0.25">
      <c r="A12" s="68">
        <v>9</v>
      </c>
      <c r="B12" s="69" t="str">
        <f>金融板块工资表!B13</f>
        <v>青岛腾聚信诚信息咨询有限公司</v>
      </c>
      <c r="C12" s="69" t="str">
        <f>金融板块工资表!C13</f>
        <v>后勤部</v>
      </c>
      <c r="D12" s="69" t="str">
        <f>金融板块工资表!D13</f>
        <v>部门经理</v>
      </c>
      <c r="E12" s="69" t="str">
        <f>金融板块工资表!F13</f>
        <v>后勤</v>
      </c>
      <c r="F12" s="69" t="str">
        <f>金融板块工资表!G13</f>
        <v>王誉颖</v>
      </c>
      <c r="G12" s="69" t="str">
        <f>金融板块工资表!H13</f>
        <v>在职</v>
      </c>
      <c r="H12" s="70">
        <f>金融板块工资表!K13</f>
        <v>4500</v>
      </c>
      <c r="I12" s="70">
        <f>金融板块工资表!L13</f>
        <v>3600</v>
      </c>
      <c r="J12" s="76"/>
      <c r="K12" s="76"/>
      <c r="L12" s="76">
        <v>95</v>
      </c>
      <c r="M12" s="77">
        <f t="shared" si="4"/>
        <v>0.95</v>
      </c>
      <c r="N12" s="78">
        <f t="shared" si="5"/>
        <v>855</v>
      </c>
      <c r="O12" s="79"/>
      <c r="P12" s="80" t="str">
        <f t="shared" si="6"/>
        <v/>
      </c>
      <c r="Q12" s="78">
        <f t="shared" si="7"/>
        <v>0</v>
      </c>
    </row>
    <row r="13" spans="1:22" ht="20.100000000000001" customHeight="1" x14ac:dyDescent="0.25">
      <c r="A13" s="68">
        <v>10</v>
      </c>
      <c r="B13" s="69" t="str">
        <f>金融板块工资表!B14</f>
        <v>青岛腾聚信诚信息咨询有限公司</v>
      </c>
      <c r="C13" s="69" t="str">
        <f>金融板块工资表!C14</f>
        <v>业务部</v>
      </c>
      <c r="D13" s="69" t="str">
        <f>金融板块工资表!D14</f>
        <v>总经理</v>
      </c>
      <c r="E13" s="69" t="str">
        <f>金融板块工资表!F14</f>
        <v>业务</v>
      </c>
      <c r="F13" s="69" t="str">
        <f>金融板块工资表!G14</f>
        <v>窦晓宇</v>
      </c>
      <c r="G13" s="69" t="str">
        <f>金融板块工资表!H14</f>
        <v>在职</v>
      </c>
      <c r="H13" s="70">
        <f>金融板块工资表!K14</f>
        <v>8300</v>
      </c>
      <c r="I13" s="70">
        <f>金融板块工资表!L14</f>
        <v>4980</v>
      </c>
      <c r="J13" s="76">
        <v>240</v>
      </c>
      <c r="K13" s="76">
        <v>297</v>
      </c>
      <c r="L13" s="76"/>
      <c r="M13" s="77">
        <f t="shared" si="4"/>
        <v>1.2375</v>
      </c>
      <c r="N13" s="78">
        <f t="shared" si="5"/>
        <v>4108.5</v>
      </c>
      <c r="O13" s="79"/>
      <c r="P13" s="80" t="str">
        <f t="shared" si="6"/>
        <v/>
      </c>
      <c r="Q13" s="78">
        <f t="shared" si="7"/>
        <v>0</v>
      </c>
    </row>
    <row r="14" spans="1:22" ht="20.100000000000001" customHeight="1" x14ac:dyDescent="0.25">
      <c r="A14" s="68">
        <v>11</v>
      </c>
      <c r="B14" s="69" t="str">
        <f>金融板块工资表!B15</f>
        <v>青岛腾聚信诚信息咨询有限公司</v>
      </c>
      <c r="C14" s="69" t="str">
        <f>金融板块工资表!C15</f>
        <v>政委</v>
      </c>
      <c r="D14" s="69" t="str">
        <f>金融板块工资表!D15</f>
        <v>政委</v>
      </c>
      <c r="E14" s="69">
        <f>金融板块工资表!F15</f>
        <v>0</v>
      </c>
      <c r="F14" s="69" t="str">
        <f>金融板块工资表!G15</f>
        <v>窦晓宇</v>
      </c>
      <c r="G14" s="69" t="str">
        <f>金融板块工资表!H15</f>
        <v>在职</v>
      </c>
      <c r="H14" s="70">
        <f>金融板块工资表!K15</f>
        <v>3000</v>
      </c>
      <c r="I14" s="70">
        <f>金融板块工资表!L15</f>
        <v>3000</v>
      </c>
      <c r="J14" s="76"/>
      <c r="K14" s="76"/>
      <c r="L14" s="76"/>
      <c r="M14" s="77" t="str">
        <f t="shared" si="4"/>
        <v/>
      </c>
      <c r="N14" s="78">
        <f t="shared" si="5"/>
        <v>0</v>
      </c>
      <c r="O14" s="79"/>
      <c r="P14" s="80" t="str">
        <f t="shared" si="6"/>
        <v/>
      </c>
      <c r="Q14" s="78">
        <f t="shared" si="7"/>
        <v>0</v>
      </c>
    </row>
    <row r="15" spans="1:22" ht="20.100000000000001" customHeight="1" x14ac:dyDescent="0.25">
      <c r="A15" s="68">
        <v>12</v>
      </c>
      <c r="B15" s="69" t="str">
        <f>金融板块工资表!B16</f>
        <v>青岛腾聚信诚信息咨询有限公司</v>
      </c>
      <c r="C15" s="69" t="str">
        <f>金融板块工资表!C16</f>
        <v>业务部</v>
      </c>
      <c r="D15" s="69" t="str">
        <f>金融板块工资表!D16</f>
        <v>提成</v>
      </c>
      <c r="E15" s="69" t="str">
        <f>金融板块工资表!F16</f>
        <v>业务</v>
      </c>
      <c r="F15" s="69" t="str">
        <f>金融板块工资表!G16</f>
        <v>纪峰</v>
      </c>
      <c r="G15" s="69" t="str">
        <f>金融板块工资表!H16</f>
        <v>离职</v>
      </c>
      <c r="H15" s="70">
        <f>金融板块工资表!K16</f>
        <v>0</v>
      </c>
      <c r="I15" s="70" t="str">
        <f>金融板块工资表!L16</f>
        <v/>
      </c>
      <c r="J15" s="76"/>
      <c r="K15" s="76"/>
      <c r="L15" s="76"/>
      <c r="M15" s="77">
        <f t="shared" si="4"/>
        <v>0</v>
      </c>
      <c r="N15" s="78">
        <f t="shared" si="5"/>
        <v>0</v>
      </c>
      <c r="O15" s="79"/>
      <c r="P15" s="80" t="str">
        <f t="shared" si="6"/>
        <v/>
      </c>
      <c r="Q15" s="78">
        <f t="shared" si="7"/>
        <v>0</v>
      </c>
    </row>
    <row r="16" spans="1:22" ht="20.100000000000001" customHeight="1" x14ac:dyDescent="0.25">
      <c r="A16" s="68">
        <v>13</v>
      </c>
      <c r="B16" s="69" t="str">
        <f>金融板块工资表!B17</f>
        <v>青岛腾聚信诚信息咨询有限公司</v>
      </c>
      <c r="C16" s="69" t="str">
        <f>金融板块工资表!C17</f>
        <v>后勤部</v>
      </c>
      <c r="D16" s="69" t="str">
        <f>金融板块工资表!D17</f>
        <v>提成</v>
      </c>
      <c r="E16" s="69" t="str">
        <f>金融板块工资表!F17</f>
        <v>后勤</v>
      </c>
      <c r="F16" s="69" t="str">
        <f>金融板块工资表!G17</f>
        <v>穆洁</v>
      </c>
      <c r="G16" s="69" t="str">
        <f>金融板块工资表!H17</f>
        <v>离职</v>
      </c>
      <c r="H16" s="70">
        <f>金融板块工资表!K17</f>
        <v>0</v>
      </c>
      <c r="I16" s="70" t="str">
        <f>金融板块工资表!L17</f>
        <v/>
      </c>
      <c r="J16" s="76"/>
      <c r="K16" s="76"/>
      <c r="L16" s="76"/>
      <c r="M16" s="77">
        <f t="shared" si="4"/>
        <v>0</v>
      </c>
      <c r="N16" s="78">
        <f t="shared" si="5"/>
        <v>0</v>
      </c>
      <c r="O16" s="79"/>
      <c r="P16" s="80" t="str">
        <f t="shared" si="6"/>
        <v/>
      </c>
      <c r="Q16" s="78">
        <f t="shared" si="7"/>
        <v>0</v>
      </c>
    </row>
    <row r="17" spans="1:22" ht="20.100000000000001" customHeight="1" x14ac:dyDescent="0.25">
      <c r="A17" s="68">
        <v>14</v>
      </c>
      <c r="B17" s="69" t="str">
        <f>金融板块工资表!B18</f>
        <v>青岛腾聚信诚信息咨询有限公司</v>
      </c>
      <c r="C17" s="69" t="str">
        <f>金融板块工资表!C18</f>
        <v>业务部</v>
      </c>
      <c r="D17" s="69" t="str">
        <f>金融板块工资表!D18</f>
        <v>提成</v>
      </c>
      <c r="E17" s="69" t="str">
        <f>金融板块工资表!F18</f>
        <v>业务</v>
      </c>
      <c r="F17" s="69" t="str">
        <f>金融板块工资表!G18</f>
        <v>王海斌</v>
      </c>
      <c r="G17" s="69" t="str">
        <f>金融板块工资表!H18</f>
        <v>离职</v>
      </c>
      <c r="H17" s="70">
        <f>金融板块工资表!K18</f>
        <v>0</v>
      </c>
      <c r="I17" s="70" t="str">
        <f>金融板块工资表!L18</f>
        <v/>
      </c>
      <c r="J17" s="76"/>
      <c r="K17" s="76"/>
      <c r="L17" s="76"/>
      <c r="M17" s="77">
        <f t="shared" si="4"/>
        <v>0</v>
      </c>
      <c r="N17" s="78">
        <f t="shared" si="5"/>
        <v>0</v>
      </c>
      <c r="O17" s="79"/>
      <c r="P17" s="80" t="str">
        <f t="shared" si="6"/>
        <v/>
      </c>
      <c r="Q17" s="78">
        <f t="shared" si="7"/>
        <v>0</v>
      </c>
    </row>
    <row r="18" spans="1:22" ht="20.100000000000001" customHeight="1" x14ac:dyDescent="0.25">
      <c r="A18" s="68">
        <v>15</v>
      </c>
      <c r="B18" s="69" t="str">
        <f>金融板块工资表!B19</f>
        <v>青岛腾聚信诚信息咨询有限公司</v>
      </c>
      <c r="C18" s="69" t="str">
        <f>金融板块工资表!C19</f>
        <v>业务部</v>
      </c>
      <c r="D18" s="69" t="str">
        <f>金融板块工资表!D19</f>
        <v>提成</v>
      </c>
      <c r="E18" s="69" t="str">
        <f>金融板块工资表!F19</f>
        <v>业务</v>
      </c>
      <c r="F18" s="69" t="str">
        <f>金融板块工资表!G19</f>
        <v>顾淑青</v>
      </c>
      <c r="G18" s="69" t="str">
        <f>金融板块工资表!H19</f>
        <v>离职</v>
      </c>
      <c r="H18" s="70">
        <f>金融板块工资表!K19</f>
        <v>0</v>
      </c>
      <c r="I18" s="70" t="str">
        <f>金融板块工资表!L19</f>
        <v/>
      </c>
      <c r="J18" s="76"/>
      <c r="K18" s="76"/>
      <c r="L18" s="76"/>
      <c r="M18" s="77">
        <f t="shared" ref="M18:M31" si="8">IF(G18="","",IF(AND(E18="业务",OR(D18="普通员工",D18="部门主管",D18="部门经理",D18="副总经理")),IF(ISERROR(K18/J18),0,IF(K18/J18&lt;0,0,IF(K18/J18&gt;3,3,K18/J18))),IF(AND(E18="业务",D18="总经理"),IF(ISERROR(K18/J18),0,IF(K18/J18&gt;=0.6,IF(K18/J18&lt;0,0,K18/J18),0)),IF(E18="业务",IF(ISERROR(K18/J18),0,IF(K18/J18&gt;=0.6,IF(K18/J18&lt;0,0,K18/J18),0)),IF(G18="","",IF(OR(E18="区域后勤",E18="后勤"),L18/100,""))))))</f>
        <v>0</v>
      </c>
      <c r="N18" s="78">
        <f t="shared" ref="N18:N31" si="9">IF(F18="",0,IF(E18="业务",IF(D18="总监",H18*30%*M18,IF(OR(D18="团队总经理",D18="团队副总经理",D18="总经理"),H18*40%*M18,IF(G18="试用",0,H18*15%*M18))),IF(E18="后勤",IF(G18="试用",0,20%*M18*H18),0)))</f>
        <v>0</v>
      </c>
      <c r="O18" s="79"/>
      <c r="P18" s="80" t="str">
        <f t="shared" ref="P18:P31" si="10">IF(O18="","",IF(IF(O18&lt;0,0,O18)/3&gt;=1,1,IF(O18&lt;0,0,O18)/3))</f>
        <v/>
      </c>
      <c r="Q18" s="78">
        <f t="shared" ref="Q18:Q31" si="11">IF(P18="",0,IF(AND(E18="业务",OR(G18="在职",G18="离职",G18="调入",G18="调出")),IF(OR(D18="普通员工",D18="部门主管",D18="部门经理",D18="副总经理"),H18*5%*P18,0),0))</f>
        <v>0</v>
      </c>
    </row>
    <row r="19" spans="1:22" ht="20.100000000000001" customHeight="1" x14ac:dyDescent="0.25">
      <c r="A19" s="68">
        <v>16</v>
      </c>
      <c r="B19" s="69" t="str">
        <f>金融板块工资表!B20</f>
        <v>青岛腾聚信诚信息咨询有限公司</v>
      </c>
      <c r="C19" s="69" t="str">
        <f>金融板块工资表!C20</f>
        <v>后勤部</v>
      </c>
      <c r="D19" s="69" t="str">
        <f>金融板块工资表!D20</f>
        <v>提成</v>
      </c>
      <c r="E19" s="69" t="str">
        <f>金融板块工资表!F20</f>
        <v>后勤</v>
      </c>
      <c r="F19" s="69" t="str">
        <f>金融板块工资表!G20</f>
        <v>苏晨</v>
      </c>
      <c r="G19" s="69" t="str">
        <f>金融板块工资表!H20</f>
        <v>离职</v>
      </c>
      <c r="H19" s="70">
        <f>金融板块工资表!K20</f>
        <v>0</v>
      </c>
      <c r="I19" s="70" t="str">
        <f>金融板块工资表!L20</f>
        <v/>
      </c>
      <c r="J19" s="76"/>
      <c r="K19" s="76"/>
      <c r="L19" s="76"/>
      <c r="M19" s="77">
        <f t="shared" si="8"/>
        <v>0</v>
      </c>
      <c r="N19" s="78">
        <f t="shared" si="9"/>
        <v>0</v>
      </c>
      <c r="O19" s="79"/>
      <c r="P19" s="80" t="str">
        <f t="shared" si="10"/>
        <v/>
      </c>
      <c r="Q19" s="78">
        <f t="shared" si="11"/>
        <v>0</v>
      </c>
    </row>
    <row r="20" spans="1:22" ht="20.100000000000001" customHeight="1" x14ac:dyDescent="0.25">
      <c r="A20" s="68">
        <v>17</v>
      </c>
      <c r="B20" s="69" t="str">
        <f>金融板块工资表!B21</f>
        <v>青岛腾聚信诚信息咨询有限公司</v>
      </c>
      <c r="C20" s="69" t="str">
        <f>金融板块工资表!C21</f>
        <v>业务部</v>
      </c>
      <c r="D20" s="69" t="str">
        <f>金融板块工资表!D21</f>
        <v>提成</v>
      </c>
      <c r="E20" s="69" t="str">
        <f>金融板块工资表!F21</f>
        <v>后勤</v>
      </c>
      <c r="F20" s="69" t="str">
        <f>金融板块工资表!G21</f>
        <v>张旭</v>
      </c>
      <c r="G20" s="69" t="str">
        <f>金融板块工资表!H21</f>
        <v>离职</v>
      </c>
      <c r="H20" s="70" t="str">
        <f>金融板块工资表!K21</f>
        <v/>
      </c>
      <c r="I20" s="70" t="str">
        <f>金融板块工资表!L21</f>
        <v/>
      </c>
      <c r="J20" s="76"/>
      <c r="K20" s="76"/>
      <c r="L20" s="76"/>
      <c r="M20" s="77">
        <f t="shared" si="8"/>
        <v>0</v>
      </c>
      <c r="N20" s="78"/>
      <c r="O20" s="79"/>
      <c r="P20" s="80" t="str">
        <f t="shared" si="10"/>
        <v/>
      </c>
      <c r="Q20" s="78">
        <f t="shared" si="11"/>
        <v>0</v>
      </c>
    </row>
    <row r="21" spans="1:22" ht="20.100000000000001" hidden="1" customHeight="1" x14ac:dyDescent="0.25">
      <c r="A21" s="68">
        <v>19</v>
      </c>
      <c r="B21" s="69">
        <f>金融板块工资表!B22</f>
        <v>0</v>
      </c>
      <c r="C21" s="69">
        <f>金融板块工资表!C22</f>
        <v>0</v>
      </c>
      <c r="D21" s="69">
        <f>金融板块工资表!D22</f>
        <v>0</v>
      </c>
      <c r="E21" s="69">
        <f>金融板块工资表!F22</f>
        <v>0</v>
      </c>
      <c r="F21" s="69">
        <f>金融板块工资表!G22</f>
        <v>0</v>
      </c>
      <c r="G21" s="69">
        <f>金融板块工资表!H22</f>
        <v>0</v>
      </c>
      <c r="H21" s="70" t="str">
        <f>金融板块工资表!K22</f>
        <v/>
      </c>
      <c r="I21" s="70" t="str">
        <f>金融板块工资表!L22</f>
        <v/>
      </c>
      <c r="J21" s="76"/>
      <c r="K21" s="76"/>
      <c r="L21" s="76"/>
      <c r="M21" s="77" t="str">
        <f t="shared" si="8"/>
        <v/>
      </c>
      <c r="N21" s="78">
        <f t="shared" si="9"/>
        <v>0</v>
      </c>
      <c r="O21" s="79"/>
      <c r="P21" s="80" t="str">
        <f t="shared" si="10"/>
        <v/>
      </c>
      <c r="Q21" s="78">
        <f t="shared" si="11"/>
        <v>0</v>
      </c>
    </row>
    <row r="22" spans="1:22" ht="20.100000000000001" hidden="1" customHeight="1" x14ac:dyDescent="0.25">
      <c r="A22" s="68">
        <v>20</v>
      </c>
      <c r="B22" s="69">
        <f>金融板块工资表!B23</f>
        <v>0</v>
      </c>
      <c r="C22" s="69">
        <f>金融板块工资表!C23</f>
        <v>0</v>
      </c>
      <c r="D22" s="69">
        <f>金融板块工资表!D23</f>
        <v>0</v>
      </c>
      <c r="E22" s="69">
        <f>金融板块工资表!F23</f>
        <v>0</v>
      </c>
      <c r="F22" s="69">
        <f>金融板块工资表!G23</f>
        <v>0</v>
      </c>
      <c r="G22" s="69">
        <f>金融板块工资表!H23</f>
        <v>0</v>
      </c>
      <c r="H22" s="70" t="str">
        <f>金融板块工资表!K23</f>
        <v/>
      </c>
      <c r="I22" s="70" t="str">
        <f>金融板块工资表!L23</f>
        <v/>
      </c>
      <c r="J22" s="76"/>
      <c r="K22" s="76"/>
      <c r="L22" s="76"/>
      <c r="M22" s="77" t="str">
        <f t="shared" si="8"/>
        <v/>
      </c>
      <c r="N22" s="78">
        <f t="shared" si="9"/>
        <v>0</v>
      </c>
      <c r="O22" s="79"/>
      <c r="P22" s="80" t="str">
        <f t="shared" si="10"/>
        <v/>
      </c>
      <c r="Q22" s="78">
        <f t="shared" si="11"/>
        <v>0</v>
      </c>
    </row>
    <row r="23" spans="1:22" ht="20.100000000000001" hidden="1" customHeight="1" x14ac:dyDescent="0.25">
      <c r="A23" s="68">
        <v>21</v>
      </c>
      <c r="B23" s="69">
        <f>金融板块工资表!B24</f>
        <v>0</v>
      </c>
      <c r="C23" s="69">
        <f>金融板块工资表!C24</f>
        <v>0</v>
      </c>
      <c r="D23" s="69">
        <f>金融板块工资表!D24</f>
        <v>0</v>
      </c>
      <c r="E23" s="69">
        <f>金融板块工资表!F24</f>
        <v>0</v>
      </c>
      <c r="F23" s="69">
        <f>金融板块工资表!G24</f>
        <v>0</v>
      </c>
      <c r="G23" s="69">
        <f>金融板块工资表!H24</f>
        <v>0</v>
      </c>
      <c r="H23" s="70" t="str">
        <f>金融板块工资表!K24</f>
        <v/>
      </c>
      <c r="I23" s="70" t="str">
        <f>金融板块工资表!L24</f>
        <v/>
      </c>
      <c r="J23" s="76"/>
      <c r="K23" s="76"/>
      <c r="L23" s="76"/>
      <c r="M23" s="77" t="str">
        <f t="shared" si="8"/>
        <v/>
      </c>
      <c r="N23" s="78">
        <f t="shared" si="9"/>
        <v>0</v>
      </c>
      <c r="O23" s="79"/>
      <c r="P23" s="80" t="str">
        <f t="shared" si="10"/>
        <v/>
      </c>
      <c r="Q23" s="78">
        <f t="shared" si="11"/>
        <v>0</v>
      </c>
    </row>
    <row r="24" spans="1:22" ht="20.100000000000001" hidden="1" customHeight="1" x14ac:dyDescent="0.25">
      <c r="A24" s="68">
        <v>22</v>
      </c>
      <c r="B24" s="69">
        <f>金融板块工资表!B25</f>
        <v>0</v>
      </c>
      <c r="C24" s="69">
        <f>金融板块工资表!C25</f>
        <v>0</v>
      </c>
      <c r="D24" s="69">
        <f>金融板块工资表!D25</f>
        <v>0</v>
      </c>
      <c r="E24" s="69">
        <f>金融板块工资表!F25</f>
        <v>0</v>
      </c>
      <c r="F24" s="69">
        <f>金融板块工资表!G25</f>
        <v>0</v>
      </c>
      <c r="G24" s="69">
        <f>金融板块工资表!H25</f>
        <v>0</v>
      </c>
      <c r="H24" s="70" t="str">
        <f>金融板块工资表!K25</f>
        <v/>
      </c>
      <c r="I24" s="70" t="str">
        <f>金融板块工资表!L25</f>
        <v/>
      </c>
      <c r="J24" s="76"/>
      <c r="K24" s="76"/>
      <c r="L24" s="76"/>
      <c r="M24" s="77" t="str">
        <f t="shared" si="8"/>
        <v/>
      </c>
      <c r="N24" s="78">
        <f t="shared" si="9"/>
        <v>0</v>
      </c>
      <c r="O24" s="79"/>
      <c r="P24" s="80" t="str">
        <f t="shared" si="10"/>
        <v/>
      </c>
      <c r="Q24" s="78">
        <f t="shared" si="11"/>
        <v>0</v>
      </c>
    </row>
    <row r="25" spans="1:22" ht="20.100000000000001" hidden="1" customHeight="1" x14ac:dyDescent="0.25">
      <c r="A25" s="68">
        <v>23</v>
      </c>
      <c r="B25" s="69">
        <f>金融板块工资表!B26</f>
        <v>0</v>
      </c>
      <c r="C25" s="69">
        <f>金融板块工资表!C26</f>
        <v>0</v>
      </c>
      <c r="D25" s="69">
        <f>金融板块工资表!D26</f>
        <v>0</v>
      </c>
      <c r="E25" s="69">
        <f>金融板块工资表!F26</f>
        <v>0</v>
      </c>
      <c r="F25" s="69">
        <f>金融板块工资表!G26</f>
        <v>0</v>
      </c>
      <c r="G25" s="69">
        <f>金融板块工资表!H26</f>
        <v>0</v>
      </c>
      <c r="H25" s="70" t="str">
        <f>金融板块工资表!K26</f>
        <v/>
      </c>
      <c r="I25" s="70" t="str">
        <f>金融板块工资表!L26</f>
        <v/>
      </c>
      <c r="J25" s="76"/>
      <c r="K25" s="76"/>
      <c r="L25" s="76"/>
      <c r="M25" s="77" t="str">
        <f t="shared" si="8"/>
        <v/>
      </c>
      <c r="N25" s="78">
        <f t="shared" si="9"/>
        <v>0</v>
      </c>
      <c r="O25" s="79"/>
      <c r="P25" s="80" t="str">
        <f t="shared" si="10"/>
        <v/>
      </c>
      <c r="Q25" s="78">
        <f t="shared" si="11"/>
        <v>0</v>
      </c>
    </row>
    <row r="26" spans="1:22" ht="20.100000000000001" hidden="1" customHeight="1" x14ac:dyDescent="0.25">
      <c r="A26" s="68">
        <v>24</v>
      </c>
      <c r="B26" s="69">
        <f>金融板块工资表!B27</f>
        <v>0</v>
      </c>
      <c r="C26" s="69">
        <f>金融板块工资表!C27</f>
        <v>0</v>
      </c>
      <c r="D26" s="69">
        <f>金融板块工资表!D27</f>
        <v>0</v>
      </c>
      <c r="E26" s="69">
        <f>金融板块工资表!F27</f>
        <v>0</v>
      </c>
      <c r="F26" s="69">
        <f>金融板块工资表!G27</f>
        <v>0</v>
      </c>
      <c r="G26" s="69">
        <f>金融板块工资表!H27</f>
        <v>0</v>
      </c>
      <c r="H26" s="70" t="str">
        <f>金融板块工资表!K27</f>
        <v/>
      </c>
      <c r="I26" s="70" t="str">
        <f>金融板块工资表!L27</f>
        <v/>
      </c>
      <c r="J26" s="76"/>
      <c r="K26" s="76"/>
      <c r="L26" s="76"/>
      <c r="M26" s="77" t="str">
        <f t="shared" si="8"/>
        <v/>
      </c>
      <c r="N26" s="78">
        <f t="shared" si="9"/>
        <v>0</v>
      </c>
      <c r="O26" s="79"/>
      <c r="P26" s="80" t="str">
        <f t="shared" si="10"/>
        <v/>
      </c>
      <c r="Q26" s="78">
        <f t="shared" si="11"/>
        <v>0</v>
      </c>
    </row>
    <row r="27" spans="1:22" ht="20.100000000000001" hidden="1" customHeight="1" x14ac:dyDescent="0.25">
      <c r="A27" s="68">
        <v>25</v>
      </c>
      <c r="B27" s="69">
        <f>金融板块工资表!B28</f>
        <v>0</v>
      </c>
      <c r="C27" s="69">
        <f>金融板块工资表!C28</f>
        <v>0</v>
      </c>
      <c r="D27" s="69">
        <f>金融板块工资表!D28</f>
        <v>0</v>
      </c>
      <c r="E27" s="69">
        <f>金融板块工资表!F28</f>
        <v>0</v>
      </c>
      <c r="F27" s="69">
        <f>金融板块工资表!G28</f>
        <v>0</v>
      </c>
      <c r="G27" s="69">
        <f>金融板块工资表!H28</f>
        <v>0</v>
      </c>
      <c r="H27" s="70" t="str">
        <f>金融板块工资表!K28</f>
        <v/>
      </c>
      <c r="I27" s="70" t="str">
        <f>金融板块工资表!L28</f>
        <v/>
      </c>
      <c r="J27" s="76"/>
      <c r="K27" s="76"/>
      <c r="L27" s="76"/>
      <c r="M27" s="77" t="str">
        <f t="shared" si="8"/>
        <v/>
      </c>
      <c r="N27" s="78">
        <f t="shared" si="9"/>
        <v>0</v>
      </c>
      <c r="O27" s="79"/>
      <c r="P27" s="80" t="str">
        <f t="shared" si="10"/>
        <v/>
      </c>
      <c r="Q27" s="78">
        <f t="shared" si="11"/>
        <v>0</v>
      </c>
    </row>
    <row r="28" spans="1:22" ht="20.100000000000001" hidden="1" customHeight="1" x14ac:dyDescent="0.25">
      <c r="A28" s="68">
        <v>26</v>
      </c>
      <c r="B28" s="69">
        <f>金融板块工资表!B29</f>
        <v>0</v>
      </c>
      <c r="C28" s="69">
        <f>金融板块工资表!C29</f>
        <v>0</v>
      </c>
      <c r="D28" s="69">
        <f>金融板块工资表!D29</f>
        <v>0</v>
      </c>
      <c r="E28" s="69">
        <f>金融板块工资表!F29</f>
        <v>0</v>
      </c>
      <c r="F28" s="69">
        <f>金融板块工资表!G29</f>
        <v>0</v>
      </c>
      <c r="G28" s="69">
        <f>金融板块工资表!H29</f>
        <v>0</v>
      </c>
      <c r="H28" s="70" t="str">
        <f>金融板块工资表!K29</f>
        <v/>
      </c>
      <c r="I28" s="70" t="str">
        <f>金融板块工资表!L29</f>
        <v/>
      </c>
      <c r="J28" s="76"/>
      <c r="K28" s="76"/>
      <c r="L28" s="76"/>
      <c r="M28" s="77" t="str">
        <f t="shared" si="8"/>
        <v/>
      </c>
      <c r="N28" s="78">
        <f t="shared" si="9"/>
        <v>0</v>
      </c>
      <c r="O28" s="79"/>
      <c r="P28" s="80" t="str">
        <f t="shared" si="10"/>
        <v/>
      </c>
      <c r="Q28" s="78">
        <f t="shared" si="11"/>
        <v>0</v>
      </c>
    </row>
    <row r="29" spans="1:22" ht="20.100000000000001" hidden="1" customHeight="1" x14ac:dyDescent="0.25">
      <c r="A29" s="68">
        <v>27</v>
      </c>
      <c r="B29" s="69">
        <f>金融板块工资表!B30</f>
        <v>0</v>
      </c>
      <c r="C29" s="69">
        <f>金融板块工资表!C30</f>
        <v>0</v>
      </c>
      <c r="D29" s="69">
        <f>金融板块工资表!D30</f>
        <v>0</v>
      </c>
      <c r="E29" s="69">
        <f>金融板块工资表!F30</f>
        <v>0</v>
      </c>
      <c r="F29" s="69">
        <f>金融板块工资表!G30</f>
        <v>0</v>
      </c>
      <c r="G29" s="69">
        <f>金融板块工资表!H30</f>
        <v>0</v>
      </c>
      <c r="H29" s="70" t="str">
        <f>金融板块工资表!K30</f>
        <v/>
      </c>
      <c r="I29" s="70" t="str">
        <f>金融板块工资表!L30</f>
        <v/>
      </c>
      <c r="J29" s="76"/>
      <c r="K29" s="76"/>
      <c r="L29" s="76"/>
      <c r="M29" s="77" t="str">
        <f t="shared" si="8"/>
        <v/>
      </c>
      <c r="N29" s="78">
        <f t="shared" si="9"/>
        <v>0</v>
      </c>
      <c r="O29" s="79"/>
      <c r="P29" s="80" t="str">
        <f t="shared" si="10"/>
        <v/>
      </c>
      <c r="Q29" s="78">
        <f t="shared" si="11"/>
        <v>0</v>
      </c>
    </row>
    <row r="30" spans="1:22" ht="20.100000000000001" hidden="1" customHeight="1" x14ac:dyDescent="0.25">
      <c r="A30" s="68">
        <v>28</v>
      </c>
      <c r="B30" s="69">
        <f>金融板块工资表!B31</f>
        <v>0</v>
      </c>
      <c r="C30" s="69">
        <f>金融板块工资表!C31</f>
        <v>0</v>
      </c>
      <c r="D30" s="69">
        <f>金融板块工资表!D31</f>
        <v>0</v>
      </c>
      <c r="E30" s="69">
        <f>金融板块工资表!F31</f>
        <v>0</v>
      </c>
      <c r="F30" s="69">
        <f>金融板块工资表!G31</f>
        <v>0</v>
      </c>
      <c r="G30" s="69">
        <f>金融板块工资表!H31</f>
        <v>0</v>
      </c>
      <c r="H30" s="70" t="str">
        <f>金融板块工资表!K31</f>
        <v/>
      </c>
      <c r="I30" s="70" t="str">
        <f>金融板块工资表!L31</f>
        <v/>
      </c>
      <c r="J30" s="76"/>
      <c r="K30" s="76"/>
      <c r="L30" s="76"/>
      <c r="M30" s="77" t="str">
        <f t="shared" si="8"/>
        <v/>
      </c>
      <c r="N30" s="78">
        <f t="shared" si="9"/>
        <v>0</v>
      </c>
      <c r="O30" s="79"/>
      <c r="P30" s="80" t="str">
        <f t="shared" si="10"/>
        <v/>
      </c>
      <c r="Q30" s="78">
        <f t="shared" si="11"/>
        <v>0</v>
      </c>
    </row>
    <row r="31" spans="1:22" ht="20.100000000000001" hidden="1" customHeight="1" x14ac:dyDescent="0.25">
      <c r="A31" s="68">
        <v>29</v>
      </c>
      <c r="B31" s="69">
        <f>金融板块工资表!B32</f>
        <v>0</v>
      </c>
      <c r="C31" s="69">
        <f>金融板块工资表!C32</f>
        <v>0</v>
      </c>
      <c r="D31" s="69">
        <f>金融板块工资表!D32</f>
        <v>0</v>
      </c>
      <c r="E31" s="69">
        <f>金融板块工资表!F32</f>
        <v>0</v>
      </c>
      <c r="F31" s="69">
        <f>金融板块工资表!G32</f>
        <v>0</v>
      </c>
      <c r="G31" s="69">
        <f>金融板块工资表!H32</f>
        <v>0</v>
      </c>
      <c r="H31" s="70" t="str">
        <f>金融板块工资表!K32</f>
        <v/>
      </c>
      <c r="I31" s="70" t="str">
        <f>金融板块工资表!L32</f>
        <v/>
      </c>
      <c r="J31" s="76"/>
      <c r="K31" s="76"/>
      <c r="L31" s="76"/>
      <c r="M31" s="77" t="str">
        <f t="shared" si="8"/>
        <v/>
      </c>
      <c r="N31" s="78">
        <f t="shared" si="9"/>
        <v>0</v>
      </c>
      <c r="O31" s="79"/>
      <c r="P31" s="80" t="str">
        <f t="shared" si="10"/>
        <v/>
      </c>
      <c r="Q31" s="78">
        <f t="shared" si="11"/>
        <v>0</v>
      </c>
    </row>
    <row r="32" spans="1:22" s="61" customFormat="1" ht="20.100000000000001" customHeight="1" x14ac:dyDescent="0.25">
      <c r="A32" s="71"/>
      <c r="B32" s="71" t="s">
        <v>94</v>
      </c>
      <c r="C32" s="71"/>
      <c r="D32" s="71"/>
      <c r="E32" s="71"/>
      <c r="F32" s="71"/>
      <c r="G32" s="71"/>
      <c r="H32" s="72"/>
      <c r="I32" s="72"/>
      <c r="J32" s="81"/>
      <c r="K32" s="81"/>
      <c r="L32" s="81"/>
      <c r="M32" s="82"/>
      <c r="N32" s="83">
        <f>SUM(N4:N31)</f>
        <v>10218.540000000001</v>
      </c>
      <c r="O32" s="83"/>
      <c r="P32" s="84"/>
      <c r="Q32" s="83">
        <f>SUM(Q4:Q31)</f>
        <v>436.66666666666663</v>
      </c>
      <c r="R32" s="88"/>
      <c r="S32" s="88"/>
      <c r="T32" s="88"/>
      <c r="U32" s="88"/>
      <c r="V32" s="88"/>
    </row>
  </sheetData>
  <mergeCells count="12">
    <mergeCell ref="A1:Q1"/>
    <mergeCell ref="J2:N2"/>
    <mergeCell ref="O2:Q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33" type="noConversion"/>
  <pageMargins left="0.75" right="0.75" top="1" bottom="1" header="0.51180555555555596" footer="0.51180555555555596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H26"/>
  <sheetViews>
    <sheetView workbookViewId="0">
      <pane ySplit="2" topLeftCell="A3" activePane="bottomLeft" state="frozen"/>
      <selection pane="bottomLeft" activeCell="H14" sqref="H14"/>
    </sheetView>
  </sheetViews>
  <sheetFormatPr defaultColWidth="9" defaultRowHeight="18.899999999999999" customHeight="1" x14ac:dyDescent="0.25"/>
  <cols>
    <col min="1" max="1" width="4.77734375" style="46" customWidth="1"/>
    <col min="2" max="2" width="12.33203125" style="46" customWidth="1"/>
    <col min="3" max="5" width="15.77734375" style="47" customWidth="1"/>
    <col min="6" max="6" width="21.44140625" style="48" customWidth="1"/>
    <col min="7" max="7" width="9" style="49"/>
    <col min="8" max="8" width="11.77734375" style="46" customWidth="1"/>
    <col min="9" max="16384" width="9" style="46"/>
  </cols>
  <sheetData>
    <row r="1" spans="1:8" ht="26.1" customHeight="1" x14ac:dyDescent="0.25">
      <c r="A1" s="177" t="str">
        <f>金融板块工资表!A1&amp;"-附表2提成汇总表"</f>
        <v>青岛腾聚信诚信息咨询有限公司2021年4月工资表-附表2提成汇总表</v>
      </c>
      <c r="B1" s="177"/>
      <c r="C1" s="177"/>
      <c r="D1" s="177"/>
      <c r="E1" s="177"/>
      <c r="F1" s="177"/>
    </row>
    <row r="2" spans="1:8" s="45" customFormat="1" ht="27" customHeight="1" x14ac:dyDescent="0.25">
      <c r="A2" s="50" t="s">
        <v>2</v>
      </c>
      <c r="B2" s="50" t="s">
        <v>8</v>
      </c>
      <c r="C2" s="51" t="s">
        <v>103</v>
      </c>
      <c r="D2" s="51" t="s">
        <v>104</v>
      </c>
      <c r="E2" s="51" t="s">
        <v>105</v>
      </c>
      <c r="F2" s="52" t="s">
        <v>106</v>
      </c>
      <c r="G2" s="53"/>
    </row>
    <row r="3" spans="1:8" ht="18.899999999999999" customHeight="1" x14ac:dyDescent="0.25">
      <c r="A3" s="54">
        <v>1</v>
      </c>
      <c r="B3" s="31" t="s">
        <v>46</v>
      </c>
      <c r="C3" s="55">
        <f>SUMIF(提成附表1个人对接提成表!B:B,B3,提成附表1个人对接提成表!G:G)</f>
        <v>32</v>
      </c>
      <c r="D3" s="55">
        <f>SUMIF(提成附表2管理干部区域提成表!D:D,B3,提成附表2管理干部区域提成表!I:I)</f>
        <v>0</v>
      </c>
      <c r="E3" s="56">
        <f>SUM(C3:D3)</f>
        <v>32</v>
      </c>
      <c r="F3" s="57"/>
      <c r="G3" s="178" t="s">
        <v>107</v>
      </c>
      <c r="H3" s="179"/>
    </row>
    <row r="4" spans="1:8" ht="18.899999999999999" customHeight="1" x14ac:dyDescent="0.25">
      <c r="A4" s="54">
        <v>2</v>
      </c>
      <c r="B4" s="31" t="s">
        <v>50</v>
      </c>
      <c r="C4" s="55">
        <f>SUMIF(提成附表1个人对接提成表!B:B,B4,提成附表1个人对接提成表!G:G)</f>
        <v>2996</v>
      </c>
      <c r="D4" s="55">
        <f>SUMIF(提成附表2管理干部区域提成表!D:D,B4,提成附表2管理干部区域提成表!I:I)</f>
        <v>0</v>
      </c>
      <c r="E4" s="56">
        <f t="shared" ref="E4:E25" si="0">SUM(C4:D4)</f>
        <v>2996</v>
      </c>
      <c r="F4" s="57"/>
      <c r="G4" s="180"/>
      <c r="H4" s="179"/>
    </row>
    <row r="5" spans="1:8" ht="18.899999999999999" customHeight="1" x14ac:dyDescent="0.25">
      <c r="A5" s="54">
        <v>3</v>
      </c>
      <c r="B5" s="31" t="s">
        <v>54</v>
      </c>
      <c r="C5" s="55">
        <f>SUMIF(提成附表1个人对接提成表!B:B,B5,提成附表1个人对接提成表!G:G)</f>
        <v>5.9999999999999991</v>
      </c>
      <c r="D5" s="55">
        <f>SUMIF(提成附表2管理干部区域提成表!D:D,B5,提成附表2管理干部区域提成表!I:I)</f>
        <v>0</v>
      </c>
      <c r="E5" s="56">
        <f t="shared" si="0"/>
        <v>5.9999999999999991</v>
      </c>
      <c r="F5" s="57"/>
      <c r="G5" s="180"/>
      <c r="H5" s="179"/>
    </row>
    <row r="6" spans="1:8" ht="18.899999999999999" customHeight="1" x14ac:dyDescent="0.25">
      <c r="A6" s="54">
        <v>4</v>
      </c>
      <c r="B6" s="31" t="s">
        <v>57</v>
      </c>
      <c r="C6" s="55">
        <f>SUMIF(提成附表1个人对接提成表!B:B,B6,提成附表1个人对接提成表!G:G)</f>
        <v>1888</v>
      </c>
      <c r="D6" s="55">
        <f>SUMIF(提成附表2管理干部区域提成表!D:D,B6,提成附表2管理干部区域提成表!I:I)</f>
        <v>0</v>
      </c>
      <c r="E6" s="56">
        <f t="shared" si="0"/>
        <v>1888</v>
      </c>
      <c r="F6" s="57"/>
      <c r="G6" s="180"/>
      <c r="H6" s="179"/>
    </row>
    <row r="7" spans="1:8" ht="18.899999999999999" customHeight="1" x14ac:dyDescent="0.25">
      <c r="A7" s="54">
        <v>5</v>
      </c>
      <c r="B7" s="31" t="s">
        <v>61</v>
      </c>
      <c r="C7" s="55">
        <f>SUMIF(提成附表1个人对接提成表!B:B,B7,提成附表1个人对接提成表!G:G)</f>
        <v>10596</v>
      </c>
      <c r="D7" s="55">
        <f>SUMIF(提成附表2管理干部区域提成表!D:D,B7,提成附表2管理干部区域提成表!I:I)</f>
        <v>0</v>
      </c>
      <c r="E7" s="56">
        <f t="shared" si="0"/>
        <v>10596</v>
      </c>
      <c r="F7" s="57"/>
      <c r="G7" s="180"/>
      <c r="H7" s="179"/>
    </row>
    <row r="8" spans="1:8" ht="18.899999999999999" customHeight="1" x14ac:dyDescent="0.25">
      <c r="A8" s="54">
        <v>6</v>
      </c>
      <c r="B8" s="31" t="s">
        <v>64</v>
      </c>
      <c r="C8" s="55">
        <f>SUMIF(提成附表1个人对接提成表!B:B,B8,提成附表1个人对接提成表!G:G)</f>
        <v>1388</v>
      </c>
      <c r="D8" s="55">
        <f>SUMIF(提成附表2管理干部区域提成表!D:D,B8,提成附表2管理干部区域提成表!I:I)</f>
        <v>0</v>
      </c>
      <c r="E8" s="56">
        <f t="shared" si="0"/>
        <v>1388</v>
      </c>
      <c r="F8" s="57"/>
      <c r="G8" s="180"/>
      <c r="H8" s="179"/>
    </row>
    <row r="9" spans="1:8" ht="18.899999999999999" customHeight="1" x14ac:dyDescent="0.25">
      <c r="A9" s="54">
        <v>7</v>
      </c>
      <c r="B9" s="31" t="s">
        <v>68</v>
      </c>
      <c r="C9" s="55">
        <f>SUMIF(提成附表1个人对接提成表!B:B,B9,提成附表1个人对接提成表!G:G)</f>
        <v>9568</v>
      </c>
      <c r="D9" s="55">
        <f>SUMIF(提成附表2管理干部区域提成表!D:D,B9,提成附表2管理干部区域提成表!I:I)</f>
        <v>0</v>
      </c>
      <c r="E9" s="56">
        <f t="shared" si="0"/>
        <v>9568</v>
      </c>
      <c r="F9" s="57"/>
      <c r="G9" s="180"/>
      <c r="H9" s="179"/>
    </row>
    <row r="10" spans="1:8" ht="18.899999999999999" customHeight="1" x14ac:dyDescent="0.25">
      <c r="A10" s="54">
        <v>8</v>
      </c>
      <c r="B10" s="31" t="s">
        <v>70</v>
      </c>
      <c r="C10" s="55">
        <f>SUMIF(提成附表1个人对接提成表!B:B,B10,提成附表1个人对接提成表!G:G)</f>
        <v>2072</v>
      </c>
      <c r="D10" s="55">
        <f>SUMIF(提成附表2管理干部区域提成表!D:D,B10,提成附表2管理干部区域提成表!I:I)</f>
        <v>0</v>
      </c>
      <c r="E10" s="56">
        <f t="shared" si="0"/>
        <v>2072</v>
      </c>
      <c r="F10" s="57"/>
      <c r="G10" s="180"/>
      <c r="H10" s="179"/>
    </row>
    <row r="11" spans="1:8" ht="18.899999999999999" customHeight="1" x14ac:dyDescent="0.25">
      <c r="A11" s="54">
        <v>9</v>
      </c>
      <c r="B11" s="31" t="s">
        <v>74</v>
      </c>
      <c r="C11" s="55">
        <f>SUMIF(提成附表1个人对接提成表!B:B,B11,提成附表1个人对接提成表!G:G)</f>
        <v>12844</v>
      </c>
      <c r="D11" s="55">
        <f>SUMIF(提成附表2管理干部区域提成表!D:D,B11,提成附表2管理干部区域提成表!I:I)</f>
        <v>3564</v>
      </c>
      <c r="E11" s="56">
        <f t="shared" si="0"/>
        <v>16408</v>
      </c>
      <c r="F11" s="57"/>
    </row>
    <row r="12" spans="1:8" ht="18.899999999999999" customHeight="1" x14ac:dyDescent="0.25">
      <c r="A12" s="54">
        <v>10</v>
      </c>
      <c r="B12" s="31" t="s">
        <v>79</v>
      </c>
      <c r="C12" s="55">
        <f>SUMIF(提成附表1个人对接提成表!B:B,B12,提成附表1个人对接提成表!G:G)</f>
        <v>816</v>
      </c>
      <c r="D12" s="55">
        <f>SUMIF(提成附表2管理干部区域提成表!D:D,B12,提成附表2管理干部区域提成表!I:I)</f>
        <v>0</v>
      </c>
      <c r="E12" s="56">
        <f t="shared" si="0"/>
        <v>816</v>
      </c>
      <c r="F12" s="57"/>
    </row>
    <row r="13" spans="1:8" ht="18.899999999999999" customHeight="1" x14ac:dyDescent="0.25">
      <c r="A13" s="54">
        <v>11</v>
      </c>
      <c r="B13" s="31" t="s">
        <v>82</v>
      </c>
      <c r="C13" s="55">
        <f>SUMIF(提成附表1个人对接提成表!B:B,B13,提成附表1个人对接提成表!G:G)</f>
        <v>40</v>
      </c>
      <c r="D13" s="55">
        <f>SUMIF(提成附表2管理干部区域提成表!D:D,B13,提成附表2管理干部区域提成表!I:I)</f>
        <v>0</v>
      </c>
      <c r="E13" s="56">
        <f t="shared" si="0"/>
        <v>40</v>
      </c>
      <c r="F13" s="57"/>
    </row>
    <row r="14" spans="1:8" ht="18.899999999999999" customHeight="1" x14ac:dyDescent="0.25">
      <c r="A14" s="54">
        <v>12</v>
      </c>
      <c r="B14" s="31" t="s">
        <v>84</v>
      </c>
      <c r="C14" s="55">
        <f>SUMIF(提成附表1个人对接提成表!B:B,B14,提成附表1个人对接提成表!G:G)</f>
        <v>16</v>
      </c>
      <c r="D14" s="55">
        <f>SUMIF(提成附表2管理干部区域提成表!D:D,B14,提成附表2管理干部区域提成表!I:I)</f>
        <v>0</v>
      </c>
      <c r="E14" s="56">
        <f t="shared" si="0"/>
        <v>16</v>
      </c>
      <c r="F14" s="57"/>
    </row>
    <row r="15" spans="1:8" ht="18.899999999999999" customHeight="1" x14ac:dyDescent="0.25">
      <c r="A15" s="54">
        <v>13</v>
      </c>
      <c r="B15" s="37" t="s">
        <v>86</v>
      </c>
      <c r="C15" s="55">
        <f>SUMIF(提成附表1个人对接提成表!B:B,B15,提成附表1个人对接提成表!G:G)</f>
        <v>8</v>
      </c>
      <c r="D15" s="55">
        <f>SUMIF(提成附表2管理干部区域提成表!D:D,B15,提成附表2管理干部区域提成表!I:I)</f>
        <v>0</v>
      </c>
      <c r="E15" s="56">
        <f t="shared" si="0"/>
        <v>8</v>
      </c>
      <c r="F15" s="57"/>
    </row>
    <row r="16" spans="1:8" ht="18.899999999999999" customHeight="1" x14ac:dyDescent="0.25">
      <c r="A16" s="54">
        <v>14</v>
      </c>
      <c r="B16" s="13" t="s">
        <v>89</v>
      </c>
      <c r="C16" s="55">
        <f>SUMIF(提成附表1个人对接提成表!B:B,B16,提成附表1个人对接提成表!G:G)</f>
        <v>8</v>
      </c>
      <c r="D16" s="55">
        <f>SUMIF(提成附表2管理干部区域提成表!D:D,B16,提成附表2管理干部区域提成表!I:I)</f>
        <v>0</v>
      </c>
      <c r="E16" s="56">
        <f t="shared" si="0"/>
        <v>8</v>
      </c>
      <c r="F16" s="57"/>
    </row>
    <row r="17" spans="1:6" ht="18.899999999999999" customHeight="1" x14ac:dyDescent="0.25">
      <c r="A17" s="54">
        <v>15</v>
      </c>
      <c r="B17" s="31" t="s">
        <v>91</v>
      </c>
      <c r="C17" s="55">
        <f>SUMIF(提成附表1个人对接提成表!B:B,B17,提成附表1个人对接提成表!G:G)</f>
        <v>24</v>
      </c>
      <c r="D17" s="55">
        <f>SUMIF(提成附表2管理干部区域提成表!D:D,B17,提成附表2管理干部区域提成表!I:I)</f>
        <v>0</v>
      </c>
      <c r="E17" s="56">
        <f t="shared" si="0"/>
        <v>24</v>
      </c>
      <c r="F17" s="57"/>
    </row>
    <row r="18" spans="1:6" ht="18.899999999999999" hidden="1" customHeight="1" x14ac:dyDescent="0.25">
      <c r="A18" s="54">
        <v>17</v>
      </c>
      <c r="B18" s="54"/>
      <c r="C18" s="55">
        <f>SUMIF(提成附表1个人对接提成表!B:B,B18,提成附表1个人对接提成表!G:G)</f>
        <v>0</v>
      </c>
      <c r="D18" s="55">
        <f>SUMIF(提成附表2管理干部区域提成表!D:D,B18,提成附表2管理干部区域提成表!I:I)</f>
        <v>0</v>
      </c>
      <c r="E18" s="56">
        <f t="shared" si="0"/>
        <v>0</v>
      </c>
      <c r="F18" s="57"/>
    </row>
    <row r="19" spans="1:6" ht="18.899999999999999" hidden="1" customHeight="1" x14ac:dyDescent="0.25">
      <c r="A19" s="54">
        <v>18</v>
      </c>
      <c r="B19" s="54"/>
      <c r="C19" s="55">
        <f>SUMIF(提成附表1个人对接提成表!B:B,B19,提成附表1个人对接提成表!G:G)</f>
        <v>0</v>
      </c>
      <c r="D19" s="55">
        <f>SUMIF(提成附表2管理干部区域提成表!D:D,B19,提成附表2管理干部区域提成表!I:I)</f>
        <v>0</v>
      </c>
      <c r="E19" s="56">
        <f t="shared" si="0"/>
        <v>0</v>
      </c>
      <c r="F19" s="57"/>
    </row>
    <row r="20" spans="1:6" ht="18.899999999999999" hidden="1" customHeight="1" x14ac:dyDescent="0.25">
      <c r="A20" s="54">
        <v>19</v>
      </c>
      <c r="B20" s="54"/>
      <c r="C20" s="55">
        <f>SUMIF(提成附表1个人对接提成表!B:B,B20,提成附表1个人对接提成表!G:G)</f>
        <v>0</v>
      </c>
      <c r="D20" s="55">
        <f>SUMIF(提成附表2管理干部区域提成表!D:D,B20,提成附表2管理干部区域提成表!I:I)</f>
        <v>0</v>
      </c>
      <c r="E20" s="56">
        <f t="shared" si="0"/>
        <v>0</v>
      </c>
      <c r="F20" s="57"/>
    </row>
    <row r="21" spans="1:6" ht="18.899999999999999" hidden="1" customHeight="1" x14ac:dyDescent="0.25">
      <c r="A21" s="54">
        <v>20</v>
      </c>
      <c r="B21" s="54"/>
      <c r="C21" s="55">
        <f>SUMIF(提成附表1个人对接提成表!B:B,B21,提成附表1个人对接提成表!G:G)</f>
        <v>0</v>
      </c>
      <c r="D21" s="55">
        <f>SUMIF(提成附表2管理干部区域提成表!D:D,B21,提成附表2管理干部区域提成表!I:I)</f>
        <v>0</v>
      </c>
      <c r="E21" s="56">
        <f t="shared" si="0"/>
        <v>0</v>
      </c>
      <c r="F21" s="57"/>
    </row>
    <row r="22" spans="1:6" ht="18.899999999999999" hidden="1" customHeight="1" x14ac:dyDescent="0.25">
      <c r="A22" s="54">
        <v>21</v>
      </c>
      <c r="B22" s="54"/>
      <c r="C22" s="55">
        <f>SUMIF(提成附表1个人对接提成表!B:B,B22,提成附表1个人对接提成表!G:G)</f>
        <v>0</v>
      </c>
      <c r="D22" s="55">
        <f>SUMIF(提成附表2管理干部区域提成表!D:D,B22,提成附表2管理干部区域提成表!I:I)</f>
        <v>0</v>
      </c>
      <c r="E22" s="56">
        <f t="shared" si="0"/>
        <v>0</v>
      </c>
      <c r="F22" s="57"/>
    </row>
    <row r="23" spans="1:6" ht="18.899999999999999" hidden="1" customHeight="1" x14ac:dyDescent="0.25">
      <c r="A23" s="54">
        <v>22</v>
      </c>
      <c r="B23" s="54"/>
      <c r="C23" s="55">
        <f>SUMIF(提成附表1个人对接提成表!B:B,B23,提成附表1个人对接提成表!G:G)</f>
        <v>0</v>
      </c>
      <c r="D23" s="55">
        <f>SUMIF(提成附表2管理干部区域提成表!D:D,B23,提成附表2管理干部区域提成表!I:I)</f>
        <v>0</v>
      </c>
      <c r="E23" s="56">
        <f t="shared" si="0"/>
        <v>0</v>
      </c>
      <c r="F23" s="57"/>
    </row>
    <row r="24" spans="1:6" ht="18.899999999999999" hidden="1" customHeight="1" x14ac:dyDescent="0.25">
      <c r="A24" s="54">
        <v>23</v>
      </c>
      <c r="B24" s="54"/>
      <c r="C24" s="55">
        <f>SUMIF(提成附表1个人对接提成表!B:B,B24,提成附表1个人对接提成表!G:G)</f>
        <v>0</v>
      </c>
      <c r="D24" s="55">
        <f>SUMIF(提成附表2管理干部区域提成表!D:D,B24,提成附表2管理干部区域提成表!I:I)</f>
        <v>0</v>
      </c>
      <c r="E24" s="56">
        <f t="shared" si="0"/>
        <v>0</v>
      </c>
      <c r="F24" s="57"/>
    </row>
    <row r="25" spans="1:6" ht="18.899999999999999" hidden="1" customHeight="1" x14ac:dyDescent="0.25">
      <c r="A25" s="54">
        <v>24</v>
      </c>
      <c r="B25" s="54"/>
      <c r="C25" s="55">
        <f>SUMIF(提成附表1个人对接提成表!B:B,B25,提成附表1个人对接提成表!G:G)</f>
        <v>0</v>
      </c>
      <c r="D25" s="55">
        <f>SUMIF(提成附表2管理干部区域提成表!D:D,B25,提成附表2管理干部区域提成表!I:I)</f>
        <v>0</v>
      </c>
      <c r="E25" s="56">
        <f t="shared" si="0"/>
        <v>0</v>
      </c>
      <c r="F25" s="57"/>
    </row>
    <row r="26" spans="1:6" ht="18.899999999999999" customHeight="1" x14ac:dyDescent="0.25">
      <c r="A26" s="54"/>
      <c r="B26" s="58" t="s">
        <v>94</v>
      </c>
      <c r="C26" s="59">
        <f>SUM(C3:C25)</f>
        <v>42302</v>
      </c>
      <c r="D26" s="59">
        <f>SUM(D3:D25)</f>
        <v>3564</v>
      </c>
      <c r="E26" s="59">
        <f>SUM(E3:E25)</f>
        <v>45866</v>
      </c>
      <c r="F26" s="57"/>
    </row>
  </sheetData>
  <mergeCells count="2">
    <mergeCell ref="A1:F1"/>
    <mergeCell ref="G3:H10"/>
  </mergeCells>
  <phoneticPr fontId="33" type="noConversion"/>
  <pageMargins left="0.27500000000000002" right="0.235416666666667" top="1" bottom="1" header="0.51180555555555596" footer="0.51180555555555596"/>
  <pageSetup paperSize="9" scale="99" orientation="portrait"/>
  <colBreaks count="1" manualBreakCount="1">
    <brk id="6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28"/>
  <sheetViews>
    <sheetView workbookViewId="0">
      <pane ySplit="2" topLeftCell="A3" activePane="bottomLeft" state="frozen"/>
      <selection pane="bottomLeft" activeCell="L13" sqref="L13"/>
    </sheetView>
  </sheetViews>
  <sheetFormatPr defaultColWidth="9" defaultRowHeight="15" customHeight="1" x14ac:dyDescent="0.25"/>
  <cols>
    <col min="1" max="1" width="7.21875" style="24" customWidth="1"/>
    <col min="2" max="2" width="9" style="25"/>
    <col min="3" max="3" width="13.77734375" style="26" customWidth="1"/>
    <col min="4" max="4" width="12.77734375" style="26" customWidth="1"/>
    <col min="5" max="6" width="14" style="26" customWidth="1"/>
    <col min="7" max="7" width="12.109375" style="27"/>
    <col min="8" max="8" width="16.88671875" style="28" customWidth="1"/>
    <col min="9" max="9" width="3.6640625" style="28" customWidth="1"/>
    <col min="10" max="16384" width="9" style="28"/>
  </cols>
  <sheetData>
    <row r="1" spans="1:12" ht="15" customHeight="1" x14ac:dyDescent="0.25">
      <c r="A1" s="181" t="str">
        <f>金融板块工资表!A1&amp;"-提成附表1个人对接提成"</f>
        <v>青岛腾聚信诚信息咨询有限公司2021年4月工资表-提成附表1个人对接提成</v>
      </c>
      <c r="B1" s="181"/>
      <c r="C1" s="182"/>
      <c r="D1" s="182"/>
      <c r="E1" s="182"/>
      <c r="F1" s="182"/>
      <c r="G1" s="183"/>
      <c r="H1" s="181"/>
    </row>
    <row r="2" spans="1:12" ht="15" customHeight="1" x14ac:dyDescent="0.25">
      <c r="A2" s="8" t="s">
        <v>2</v>
      </c>
      <c r="B2" s="8" t="s">
        <v>108</v>
      </c>
      <c r="C2" s="29" t="s">
        <v>109</v>
      </c>
      <c r="D2" s="29" t="s">
        <v>110</v>
      </c>
      <c r="E2" s="29" t="s">
        <v>111</v>
      </c>
      <c r="F2" s="29" t="s">
        <v>112</v>
      </c>
      <c r="G2" s="30" t="s">
        <v>113</v>
      </c>
      <c r="H2" s="8" t="s">
        <v>106</v>
      </c>
    </row>
    <row r="3" spans="1:12" ht="15" customHeight="1" x14ac:dyDescent="0.25">
      <c r="A3" s="14">
        <v>1</v>
      </c>
      <c r="B3" s="31" t="s">
        <v>46</v>
      </c>
      <c r="C3" s="31">
        <v>0</v>
      </c>
      <c r="D3" s="31">
        <v>1</v>
      </c>
      <c r="E3" s="32">
        <f t="shared" ref="E3:E14" si="0">D3-C3</f>
        <v>1</v>
      </c>
      <c r="F3" s="33">
        <v>2</v>
      </c>
      <c r="G3" s="34">
        <f t="shared" ref="G3:G14" si="1">IF(E3&gt;=0,(C3*10000*0.08%)+(E3*10000*0.2%)+(F3*10000*0.06%),(D3+F3)*10000*0.06%)</f>
        <v>32</v>
      </c>
      <c r="H3" s="12"/>
      <c r="J3" s="184"/>
      <c r="K3" s="184"/>
      <c r="L3" s="184"/>
    </row>
    <row r="4" spans="1:12" ht="15" customHeight="1" x14ac:dyDescent="0.25">
      <c r="A4" s="14">
        <v>2</v>
      </c>
      <c r="B4" s="31" t="s">
        <v>50</v>
      </c>
      <c r="C4" s="31">
        <v>318</v>
      </c>
      <c r="D4" s="31">
        <v>340</v>
      </c>
      <c r="E4" s="32">
        <f t="shared" si="0"/>
        <v>22</v>
      </c>
      <c r="F4" s="35">
        <v>2</v>
      </c>
      <c r="G4" s="34">
        <f t="shared" si="1"/>
        <v>2996</v>
      </c>
      <c r="H4" s="12"/>
      <c r="J4" s="44"/>
      <c r="K4" s="44"/>
      <c r="L4" s="44"/>
    </row>
    <row r="5" spans="1:12" ht="15" customHeight="1" x14ac:dyDescent="0.25">
      <c r="A5" s="14">
        <v>3</v>
      </c>
      <c r="B5" s="31" t="s">
        <v>54</v>
      </c>
      <c r="C5" s="31">
        <v>5</v>
      </c>
      <c r="D5" s="31">
        <v>1</v>
      </c>
      <c r="E5" s="32">
        <f t="shared" si="0"/>
        <v>-4</v>
      </c>
      <c r="F5" s="35"/>
      <c r="G5" s="34">
        <f t="shared" si="1"/>
        <v>5.9999999999999991</v>
      </c>
      <c r="H5" s="12"/>
      <c r="J5" s="44"/>
      <c r="K5" s="44"/>
      <c r="L5" s="44"/>
    </row>
    <row r="6" spans="1:12" ht="15" customHeight="1" x14ac:dyDescent="0.25">
      <c r="A6" s="14">
        <v>4</v>
      </c>
      <c r="B6" s="31" t="s">
        <v>57</v>
      </c>
      <c r="C6" s="31">
        <v>201</v>
      </c>
      <c r="D6" s="31">
        <v>215</v>
      </c>
      <c r="E6" s="32">
        <f t="shared" si="0"/>
        <v>14</v>
      </c>
      <c r="F6" s="31"/>
      <c r="G6" s="34">
        <f t="shared" si="1"/>
        <v>1888</v>
      </c>
      <c r="H6" s="12"/>
      <c r="J6" s="44"/>
      <c r="K6" s="44"/>
      <c r="L6" s="44"/>
    </row>
    <row r="7" spans="1:12" ht="15" customHeight="1" x14ac:dyDescent="0.25">
      <c r="A7" s="14">
        <v>5</v>
      </c>
      <c r="B7" s="31" t="s">
        <v>61</v>
      </c>
      <c r="C7" s="31">
        <v>872</v>
      </c>
      <c r="D7" s="31">
        <v>1053</v>
      </c>
      <c r="E7" s="32">
        <f t="shared" si="0"/>
        <v>181</v>
      </c>
      <c r="F7" s="31"/>
      <c r="G7" s="34">
        <f t="shared" si="1"/>
        <v>10596</v>
      </c>
      <c r="H7" s="12"/>
      <c r="J7" s="44"/>
      <c r="K7" s="44"/>
      <c r="L7" s="44"/>
    </row>
    <row r="8" spans="1:12" ht="15" customHeight="1" x14ac:dyDescent="0.25">
      <c r="A8" s="14">
        <v>6</v>
      </c>
      <c r="B8" s="31" t="s">
        <v>64</v>
      </c>
      <c r="C8" s="31">
        <v>171</v>
      </c>
      <c r="D8" s="31">
        <v>172</v>
      </c>
      <c r="E8" s="32">
        <f t="shared" si="0"/>
        <v>1</v>
      </c>
      <c r="F8" s="31"/>
      <c r="G8" s="34">
        <f t="shared" si="1"/>
        <v>1388</v>
      </c>
      <c r="H8" s="12"/>
      <c r="J8" s="44"/>
      <c r="K8" s="44"/>
      <c r="L8" s="44"/>
    </row>
    <row r="9" spans="1:12" ht="15" customHeight="1" x14ac:dyDescent="0.25">
      <c r="A9" s="14">
        <v>7</v>
      </c>
      <c r="B9" s="31" t="s">
        <v>68</v>
      </c>
      <c r="C9" s="31">
        <v>1021</v>
      </c>
      <c r="D9" s="31">
        <v>1091</v>
      </c>
      <c r="E9" s="32">
        <f t="shared" si="0"/>
        <v>70</v>
      </c>
      <c r="F9" s="31"/>
      <c r="G9" s="34">
        <f t="shared" si="1"/>
        <v>9568</v>
      </c>
      <c r="H9" s="12"/>
    </row>
    <row r="10" spans="1:12" ht="15" customHeight="1" x14ac:dyDescent="0.25">
      <c r="A10" s="14">
        <v>8</v>
      </c>
      <c r="B10" s="31" t="s">
        <v>70</v>
      </c>
      <c r="C10" s="31">
        <v>259</v>
      </c>
      <c r="D10" s="31">
        <v>259</v>
      </c>
      <c r="E10" s="32">
        <f t="shared" si="0"/>
        <v>0</v>
      </c>
      <c r="F10" s="31"/>
      <c r="G10" s="34">
        <f t="shared" si="1"/>
        <v>2072</v>
      </c>
      <c r="H10" s="36"/>
    </row>
    <row r="11" spans="1:12" ht="15" customHeight="1" x14ac:dyDescent="0.25">
      <c r="A11" s="14">
        <v>9</v>
      </c>
      <c r="B11" s="31" t="s">
        <v>74</v>
      </c>
      <c r="C11" s="31">
        <v>1553</v>
      </c>
      <c r="D11" s="31">
        <v>1574</v>
      </c>
      <c r="E11" s="32">
        <f t="shared" si="0"/>
        <v>21</v>
      </c>
      <c r="F11" s="31"/>
      <c r="G11" s="34">
        <f t="shared" si="1"/>
        <v>12844</v>
      </c>
      <c r="H11" s="36"/>
    </row>
    <row r="12" spans="1:12" ht="15" customHeight="1" x14ac:dyDescent="0.25">
      <c r="A12" s="14">
        <v>10</v>
      </c>
      <c r="B12" s="31" t="s">
        <v>79</v>
      </c>
      <c r="C12" s="31">
        <v>102</v>
      </c>
      <c r="D12" s="31">
        <v>102</v>
      </c>
      <c r="E12" s="32">
        <f t="shared" si="0"/>
        <v>0</v>
      </c>
      <c r="F12" s="31"/>
      <c r="G12" s="34">
        <f t="shared" si="1"/>
        <v>816</v>
      </c>
      <c r="H12" s="36"/>
    </row>
    <row r="13" spans="1:12" ht="15" customHeight="1" x14ac:dyDescent="0.25">
      <c r="A13" s="14">
        <v>11</v>
      </c>
      <c r="B13" s="31" t="s">
        <v>82</v>
      </c>
      <c r="C13" s="31">
        <v>5</v>
      </c>
      <c r="D13" s="31">
        <v>5</v>
      </c>
      <c r="E13" s="32">
        <f t="shared" si="0"/>
        <v>0</v>
      </c>
      <c r="F13" s="31"/>
      <c r="G13" s="34">
        <f t="shared" si="1"/>
        <v>40</v>
      </c>
      <c r="H13" s="36"/>
    </row>
    <row r="14" spans="1:12" ht="15" customHeight="1" x14ac:dyDescent="0.25">
      <c r="A14" s="14">
        <v>12</v>
      </c>
      <c r="B14" s="31" t="s">
        <v>84</v>
      </c>
      <c r="C14" s="31">
        <v>2</v>
      </c>
      <c r="D14" s="31">
        <v>2</v>
      </c>
      <c r="E14" s="32">
        <f t="shared" si="0"/>
        <v>0</v>
      </c>
      <c r="F14" s="31"/>
      <c r="G14" s="34">
        <f t="shared" si="1"/>
        <v>16</v>
      </c>
      <c r="H14" s="36"/>
    </row>
    <row r="15" spans="1:12" ht="15" customHeight="1" x14ac:dyDescent="0.25">
      <c r="A15" s="14">
        <v>13</v>
      </c>
      <c r="B15" s="37" t="s">
        <v>86</v>
      </c>
      <c r="C15" s="31">
        <v>1</v>
      </c>
      <c r="D15" s="31">
        <v>1</v>
      </c>
      <c r="E15" s="32">
        <f t="shared" ref="E15:E27" si="2">D15-C15</f>
        <v>0</v>
      </c>
      <c r="F15" s="31"/>
      <c r="G15" s="34">
        <f t="shared" ref="G15:G27" si="3">IF(E15&gt;=0,(C15*10000*0.08%)+(E15*10000*0.2%)+(F15*10000*0.06%),(D15+F15)*10000*0.06%)</f>
        <v>8</v>
      </c>
      <c r="H15" s="36"/>
    </row>
    <row r="16" spans="1:12" ht="15" customHeight="1" x14ac:dyDescent="0.25">
      <c r="A16" s="14">
        <v>14</v>
      </c>
      <c r="B16" s="13" t="s">
        <v>89</v>
      </c>
      <c r="C16" s="31">
        <v>1</v>
      </c>
      <c r="D16" s="31">
        <v>1</v>
      </c>
      <c r="E16" s="32">
        <f t="shared" si="2"/>
        <v>0</v>
      </c>
      <c r="F16" s="31"/>
      <c r="G16" s="34">
        <f t="shared" si="3"/>
        <v>8</v>
      </c>
      <c r="H16" s="36"/>
    </row>
    <row r="17" spans="1:8" ht="15" customHeight="1" x14ac:dyDescent="0.25">
      <c r="A17" s="14">
        <v>15</v>
      </c>
      <c r="B17" s="31" t="s">
        <v>91</v>
      </c>
      <c r="C17" s="31">
        <v>3</v>
      </c>
      <c r="D17" s="31">
        <v>3</v>
      </c>
      <c r="E17" s="32">
        <f t="shared" si="2"/>
        <v>0</v>
      </c>
      <c r="F17" s="31"/>
      <c r="G17" s="34">
        <f t="shared" si="3"/>
        <v>24</v>
      </c>
      <c r="H17" s="36"/>
    </row>
    <row r="18" spans="1:8" ht="15" hidden="1" customHeight="1" x14ac:dyDescent="0.25">
      <c r="A18" s="14">
        <v>17</v>
      </c>
      <c r="B18" s="31"/>
      <c r="C18" s="31"/>
      <c r="D18" s="31"/>
      <c r="E18" s="32">
        <f t="shared" si="2"/>
        <v>0</v>
      </c>
      <c r="F18" s="31"/>
      <c r="G18" s="34">
        <f t="shared" si="3"/>
        <v>0</v>
      </c>
      <c r="H18" s="36"/>
    </row>
    <row r="19" spans="1:8" ht="15" hidden="1" customHeight="1" x14ac:dyDescent="0.25">
      <c r="A19" s="14">
        <v>17</v>
      </c>
      <c r="B19" s="31"/>
      <c r="C19" s="31"/>
      <c r="D19" s="31"/>
      <c r="E19" s="32">
        <f t="shared" si="2"/>
        <v>0</v>
      </c>
      <c r="F19" s="31"/>
      <c r="G19" s="34">
        <f t="shared" si="3"/>
        <v>0</v>
      </c>
      <c r="H19" s="36"/>
    </row>
    <row r="20" spans="1:8" ht="15" hidden="1" customHeight="1" x14ac:dyDescent="0.25">
      <c r="A20" s="14">
        <v>18</v>
      </c>
      <c r="B20" s="31"/>
      <c r="C20" s="31"/>
      <c r="D20" s="31"/>
      <c r="E20" s="32">
        <f t="shared" si="2"/>
        <v>0</v>
      </c>
      <c r="F20" s="31"/>
      <c r="G20" s="34">
        <f t="shared" si="3"/>
        <v>0</v>
      </c>
      <c r="H20" s="36"/>
    </row>
    <row r="21" spans="1:8" ht="15" hidden="1" customHeight="1" x14ac:dyDescent="0.25">
      <c r="A21" s="14">
        <v>19</v>
      </c>
      <c r="B21" s="31"/>
      <c r="C21" s="31"/>
      <c r="D21" s="31"/>
      <c r="E21" s="32">
        <f t="shared" si="2"/>
        <v>0</v>
      </c>
      <c r="F21" s="31"/>
      <c r="G21" s="34">
        <f t="shared" si="3"/>
        <v>0</v>
      </c>
      <c r="H21" s="36"/>
    </row>
    <row r="22" spans="1:8" ht="15" hidden="1" customHeight="1" x14ac:dyDescent="0.25">
      <c r="A22" s="14">
        <v>20</v>
      </c>
      <c r="B22" s="31"/>
      <c r="C22" s="31"/>
      <c r="D22" s="31"/>
      <c r="E22" s="32">
        <f t="shared" si="2"/>
        <v>0</v>
      </c>
      <c r="F22" s="31"/>
      <c r="G22" s="34">
        <f t="shared" si="3"/>
        <v>0</v>
      </c>
      <c r="H22" s="36"/>
    </row>
    <row r="23" spans="1:8" ht="15" hidden="1" customHeight="1" x14ac:dyDescent="0.25">
      <c r="A23" s="14">
        <v>21</v>
      </c>
      <c r="B23" s="31"/>
      <c r="C23" s="31"/>
      <c r="D23" s="31"/>
      <c r="E23" s="32">
        <f t="shared" si="2"/>
        <v>0</v>
      </c>
      <c r="F23" s="31"/>
      <c r="G23" s="34">
        <f t="shared" si="3"/>
        <v>0</v>
      </c>
      <c r="H23" s="36"/>
    </row>
    <row r="24" spans="1:8" ht="15" hidden="1" customHeight="1" x14ac:dyDescent="0.25">
      <c r="A24" s="14">
        <v>22</v>
      </c>
      <c r="B24" s="31"/>
      <c r="C24" s="31"/>
      <c r="D24" s="31"/>
      <c r="E24" s="32">
        <f t="shared" si="2"/>
        <v>0</v>
      </c>
      <c r="F24" s="31"/>
      <c r="G24" s="34">
        <f t="shared" si="3"/>
        <v>0</v>
      </c>
      <c r="H24" s="36"/>
    </row>
    <row r="25" spans="1:8" ht="15" hidden="1" customHeight="1" x14ac:dyDescent="0.25">
      <c r="A25" s="14">
        <v>23</v>
      </c>
      <c r="B25" s="38"/>
      <c r="C25" s="39"/>
      <c r="D25" s="39"/>
      <c r="E25" s="32">
        <f t="shared" si="2"/>
        <v>0</v>
      </c>
      <c r="F25" s="39"/>
      <c r="G25" s="34">
        <f t="shared" si="3"/>
        <v>0</v>
      </c>
      <c r="H25" s="12"/>
    </row>
    <row r="26" spans="1:8" ht="15" hidden="1" customHeight="1" x14ac:dyDescent="0.25">
      <c r="A26" s="14">
        <v>24</v>
      </c>
      <c r="B26" s="38"/>
      <c r="C26" s="39"/>
      <c r="D26" s="39"/>
      <c r="E26" s="32">
        <f t="shared" si="2"/>
        <v>0</v>
      </c>
      <c r="F26" s="39"/>
      <c r="G26" s="34">
        <f t="shared" si="3"/>
        <v>0</v>
      </c>
      <c r="H26" s="12"/>
    </row>
    <row r="27" spans="1:8" ht="15" hidden="1" customHeight="1" x14ac:dyDescent="0.25">
      <c r="A27" s="14">
        <v>25</v>
      </c>
      <c r="B27" s="38"/>
      <c r="C27" s="39"/>
      <c r="D27" s="39"/>
      <c r="E27" s="32">
        <f t="shared" si="2"/>
        <v>0</v>
      </c>
      <c r="F27" s="39"/>
      <c r="G27" s="34">
        <f t="shared" si="3"/>
        <v>0</v>
      </c>
      <c r="H27" s="12"/>
    </row>
    <row r="28" spans="1:8" ht="15" customHeight="1" x14ac:dyDescent="0.25">
      <c r="A28" s="40" t="s">
        <v>94</v>
      </c>
      <c r="B28" s="41"/>
      <c r="C28" s="42">
        <f>SUM(C3:C27)</f>
        <v>4514</v>
      </c>
      <c r="D28" s="42">
        <f>SUM(D3:D27)</f>
        <v>4820</v>
      </c>
      <c r="E28" s="42">
        <f>SUM(E3:E27)</f>
        <v>306</v>
      </c>
      <c r="F28" s="42">
        <f>SUM(F3:F27)</f>
        <v>4</v>
      </c>
      <c r="G28" s="42">
        <f>SUM(G3:G27)</f>
        <v>42302</v>
      </c>
      <c r="H28" s="43"/>
    </row>
  </sheetData>
  <autoFilter ref="A2:H28"/>
  <mergeCells count="2">
    <mergeCell ref="A1:H1"/>
    <mergeCell ref="J3:L3"/>
  </mergeCells>
  <phoneticPr fontId="33" type="noConversion"/>
  <pageMargins left="0.118055555555556" right="0.15625" top="0.75138888888888899" bottom="0.75138888888888899" header="0.297916666666667" footer="0.297916666666667"/>
  <pageSetup paperSize="9" scale="91" orientation="landscape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12"/>
  <sheetViews>
    <sheetView workbookViewId="0">
      <pane ySplit="2" topLeftCell="A3" activePane="bottomLeft" state="frozen"/>
      <selection pane="bottomLeft" activeCell="H10" sqref="H10"/>
    </sheetView>
  </sheetViews>
  <sheetFormatPr defaultColWidth="22" defaultRowHeight="24.9" customHeight="1" x14ac:dyDescent="0.25"/>
  <cols>
    <col min="1" max="1" width="4.88671875" style="2" customWidth="1"/>
    <col min="2" max="2" width="15.77734375" style="3" customWidth="1"/>
    <col min="3" max="4" width="13.109375" style="3" customWidth="1"/>
    <col min="5" max="6" width="13.88671875" style="3" customWidth="1"/>
    <col min="7" max="7" width="12.6640625" style="3" customWidth="1"/>
    <col min="8" max="8" width="10.33203125" style="4" customWidth="1"/>
    <col min="9" max="9" width="11.6640625" style="5" customWidth="1"/>
    <col min="10" max="10" width="13.21875" style="3" customWidth="1"/>
    <col min="11" max="16378" width="22" style="3" customWidth="1"/>
    <col min="16379" max="16384" width="22" style="3"/>
  </cols>
  <sheetData>
    <row r="1" spans="1:11" ht="24.9" customHeight="1" x14ac:dyDescent="0.25">
      <c r="A1" s="185" t="str">
        <f>金融板块工资表!A1&amp;"-提成附表2管理干部区域净新增对接提成表"</f>
        <v>青岛腾聚信诚信息咨询有限公司2021年4月工资表-提成附表2管理干部区域净新增对接提成表</v>
      </c>
      <c r="B1" s="185"/>
      <c r="C1" s="185"/>
      <c r="D1" s="185"/>
      <c r="E1" s="185"/>
      <c r="F1" s="185"/>
      <c r="G1" s="185"/>
      <c r="H1" s="186"/>
      <c r="I1" s="187"/>
      <c r="J1" s="185"/>
    </row>
    <row r="2" spans="1:11" s="1" customFormat="1" ht="41.1" customHeight="1" x14ac:dyDescent="0.25">
      <c r="A2" s="6" t="s">
        <v>2</v>
      </c>
      <c r="B2" s="7" t="s">
        <v>114</v>
      </c>
      <c r="C2" s="8" t="s">
        <v>5</v>
      </c>
      <c r="D2" s="7" t="s">
        <v>8</v>
      </c>
      <c r="E2" s="9" t="s">
        <v>115</v>
      </c>
      <c r="F2" s="9" t="s">
        <v>116</v>
      </c>
      <c r="G2" s="9" t="s">
        <v>117</v>
      </c>
      <c r="H2" s="10" t="s">
        <v>118</v>
      </c>
      <c r="I2" s="19" t="s">
        <v>119</v>
      </c>
      <c r="J2" s="8" t="s">
        <v>106</v>
      </c>
    </row>
    <row r="3" spans="1:11" ht="24.9" customHeight="1" x14ac:dyDescent="0.25">
      <c r="A3" s="11">
        <v>1</v>
      </c>
      <c r="B3" s="11" t="s">
        <v>120</v>
      </c>
      <c r="C3" s="12" t="s">
        <v>72</v>
      </c>
      <c r="D3" s="13" t="s">
        <v>74</v>
      </c>
      <c r="E3" s="12">
        <v>297</v>
      </c>
      <c r="F3" s="12">
        <v>4566</v>
      </c>
      <c r="G3" s="14">
        <v>240</v>
      </c>
      <c r="H3" s="15">
        <f>IF(D3="","",IF(C3="总监",0.015%,IF(C3="团队总经理",0.08%,IF(C3="总经理",0.12%,IF(C3="团队副总经理",0.06%,0)))))</f>
        <v>1.1999999999999999E-3</v>
      </c>
      <c r="I3" s="20">
        <f>IF(D3="","",IF(E3&lt;0,0,E3*H3*10000))</f>
        <v>3564</v>
      </c>
      <c r="J3" s="12"/>
      <c r="K3" s="21"/>
    </row>
    <row r="4" spans="1:11" customFormat="1" ht="24.9" customHeight="1" x14ac:dyDescent="0.25">
      <c r="A4" s="11">
        <v>2</v>
      </c>
      <c r="B4" s="11"/>
      <c r="C4" s="12"/>
      <c r="D4" s="13"/>
      <c r="E4" s="12"/>
      <c r="F4" s="12"/>
      <c r="G4" s="14"/>
      <c r="H4" s="15" t="str">
        <f>IF(D4="","",IF(C4="总监",0.015%,IF(C4="团队总经理",0.08%,IF(C4="总经理",0.12%,IF(C4="团队副总经理",0.06%,0)))))</f>
        <v/>
      </c>
      <c r="I4" s="20" t="str">
        <f>IF(D4="","",IF(E4&lt;0,0,E4*H4*10000))</f>
        <v/>
      </c>
      <c r="J4" s="12"/>
      <c r="K4" s="21"/>
    </row>
    <row r="5" spans="1:11" customFormat="1" ht="24.9" customHeight="1" x14ac:dyDescent="0.25">
      <c r="A5" s="11">
        <v>3</v>
      </c>
      <c r="B5" s="11"/>
      <c r="C5" s="12"/>
      <c r="D5" s="13"/>
      <c r="E5" s="12"/>
      <c r="F5" s="12"/>
      <c r="G5" s="14"/>
      <c r="H5" s="15" t="str">
        <f>IF(D5="","",IF(C5="总监",0.015%,IF(C5="团队总经理",0.08%,IF(C5="总经理",0.12%,IF(C5="团队副总经理",0.06%,0)))))</f>
        <v/>
      </c>
      <c r="I5" s="20" t="str">
        <f>IF(D5="","",IF(E5&lt;0,0,E5*H5*10000))</f>
        <v/>
      </c>
      <c r="J5" s="12"/>
      <c r="K5" s="21"/>
    </row>
    <row r="6" spans="1:11" customFormat="1" ht="24.9" customHeight="1" x14ac:dyDescent="0.25">
      <c r="A6" s="11">
        <v>4</v>
      </c>
      <c r="B6" s="11"/>
      <c r="C6" s="12"/>
      <c r="D6" s="13"/>
      <c r="E6" s="12"/>
      <c r="F6" s="12"/>
      <c r="G6" s="12"/>
      <c r="H6" s="15" t="str">
        <f>IF(D6="","",IF(C6="总监",0.015%,IF(C6="团队总经理",0.08%,IF(C6="总经理",0.12%,IF(C6="团队副总经理",0.06%,0)))))</f>
        <v/>
      </c>
      <c r="I6" s="20" t="str">
        <f>IF(D6="","",IF(E6&lt;0,0,E6*H6*10000))</f>
        <v/>
      </c>
      <c r="J6" s="12"/>
      <c r="K6" s="21"/>
    </row>
    <row r="7" spans="1:11" s="1" customFormat="1" ht="24.9" customHeight="1" x14ac:dyDescent="0.25">
      <c r="A7" s="188" t="s">
        <v>94</v>
      </c>
      <c r="B7" s="189"/>
      <c r="C7" s="190"/>
      <c r="D7" s="16"/>
      <c r="E7" s="16">
        <f>SUM(E3:E6)</f>
        <v>297</v>
      </c>
      <c r="F7" s="16"/>
      <c r="G7" s="16">
        <f>SUM(G3:G6)</f>
        <v>240</v>
      </c>
      <c r="H7" s="17"/>
      <c r="I7" s="22">
        <f>SUM(I3:I6)</f>
        <v>3564</v>
      </c>
      <c r="J7" s="23"/>
    </row>
    <row r="10" spans="1:11" ht="24.9" customHeight="1" x14ac:dyDescent="0.25">
      <c r="F10" s="18"/>
      <c r="G10" s="5"/>
      <c r="I10" s="3"/>
    </row>
    <row r="11" spans="1:11" ht="23.1" customHeight="1" x14ac:dyDescent="0.25">
      <c r="B11" s="191"/>
      <c r="C11" s="192"/>
      <c r="D11" s="192"/>
      <c r="E11" s="192"/>
      <c r="F11" s="192"/>
      <c r="G11" s="192"/>
      <c r="H11" s="193"/>
      <c r="I11" s="194"/>
    </row>
    <row r="12" spans="1:11" ht="21" customHeight="1" x14ac:dyDescent="0.25"/>
  </sheetData>
  <mergeCells count="3">
    <mergeCell ref="A1:J1"/>
    <mergeCell ref="A7:C7"/>
    <mergeCell ref="B11:I11"/>
  </mergeCells>
  <phoneticPr fontId="33" type="noConversion"/>
  <dataValidations count="1">
    <dataValidation type="list" allowBlank="1" showInputMessage="1" showErrorMessage="1" sqref="C3 C4:C6">
      <formula1>"总经理,团队副总经理,团队总经理,总监"</formula1>
    </dataValidation>
  </dataValidations>
  <pageMargins left="0.75" right="0.75" top="1" bottom="1" header="0.51180555555555596" footer="0.51180555555555596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金融板块工资表</vt:lpstr>
      <vt:lpstr>附表1绩效考核工资表</vt:lpstr>
      <vt:lpstr>附表2提成汇总</vt:lpstr>
      <vt:lpstr>提成附表1个人对接提成表</vt:lpstr>
      <vt:lpstr>提成附表2管理干部区域提成表</vt:lpstr>
      <vt:lpstr>提成附表1个人对接提成表!Print_Titles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yanjjie.yuan</dc:creator>
  <cp:lastModifiedBy>Ivan</cp:lastModifiedBy>
  <dcterms:created xsi:type="dcterms:W3CDTF">2017-03-21T07:08:00Z</dcterms:created>
  <dcterms:modified xsi:type="dcterms:W3CDTF">2021-05-09T02:40:17Z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  <property fmtid="{D5CDD505-2E9C-101B-9397-08002B2CF9AE}" pid="3" name="KSOReadingLayout">
    <vt:bool>true</vt:bool>
  </property>
  <property fmtid="{D5CDD505-2E9C-101B-9397-08002B2CF9AE}" pid="4" name="KSORubyTemplateID" linkTarget="0">
    <vt:lpwstr>1</vt:lpwstr>
  </property>
  <property fmtid="{D5CDD505-2E9C-101B-9397-08002B2CF9AE}" pid="5" name="ICV">
    <vt:lpwstr>BE02A4942C44495F81C103929A271D9B</vt:lpwstr>
  </property>
</Properties>
</file>