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735" tabRatio="531"/>
  </bookViews>
  <sheets>
    <sheet name="01.07.2026" sheetId="70" r:id="rId1"/>
    <sheet name="29.06.2026" sheetId="69" r:id="rId2"/>
    <sheet name="25.06.2026" sheetId="68" r:id="rId3"/>
    <sheet name="24.06.2026" sheetId="67" r:id="rId4"/>
    <sheet name="23.06.2026" sheetId="66" r:id="rId5"/>
    <sheet name="19.06.2026" sheetId="65" r:id="rId6"/>
    <sheet name="18.06.2026" sheetId="64" r:id="rId7"/>
    <sheet name="17.06.2026" sheetId="63" r:id="rId8"/>
    <sheet name="16.06.2026" sheetId="62" r:id="rId9"/>
    <sheet name="15.06.2026" sheetId="61" r:id="rId10"/>
    <sheet name="11.06.2026" sheetId="60" r:id="rId11"/>
    <sheet name="10.06.2026" sheetId="59" r:id="rId12"/>
    <sheet name="09.06.2026" sheetId="58" r:id="rId13"/>
    <sheet name="08.06.2026" sheetId="57" r:id="rId14"/>
    <sheet name="05.06.2026" sheetId="56" r:id="rId15"/>
    <sheet name="04.06.2026" sheetId="55" r:id="rId16"/>
    <sheet name="03.06.2026" sheetId="54" r:id="rId17"/>
    <sheet name="02.06.2026" sheetId="53" r:id="rId18"/>
    <sheet name="01.06.2026" sheetId="52" r:id="rId19"/>
    <sheet name="29.05.2026" sheetId="51" r:id="rId20"/>
    <sheet name="28.05.2026" sheetId="50" r:id="rId21"/>
    <sheet name="27.05.2026" sheetId="49" r:id="rId22"/>
    <sheet name="26.05.2026" sheetId="48" r:id="rId23"/>
    <sheet name="25.05.2026" sheetId="47" r:id="rId24"/>
    <sheet name="22.05.2026" sheetId="46" r:id="rId25"/>
    <sheet name="21.05.2026" sheetId="45" r:id="rId26"/>
    <sheet name="20.05.2026" sheetId="44" r:id="rId27"/>
    <sheet name="19.05.2026" sheetId="43" r:id="rId28"/>
    <sheet name="18.05.2026" sheetId="42" r:id="rId29"/>
    <sheet name="15.05.2026" sheetId="41" r:id="rId30"/>
    <sheet name="14.05.2026" sheetId="40" r:id="rId31"/>
    <sheet name="13.05.2026" sheetId="39" r:id="rId32"/>
    <sheet name="12.05.2026" sheetId="38" r:id="rId33"/>
    <sheet name="08.05.2026" sheetId="37" r:id="rId34"/>
    <sheet name="07.05.2026" sheetId="36" r:id="rId35"/>
    <sheet name="06.05.2026" sheetId="35" r:id="rId36"/>
    <sheet name="05.04.2026" sheetId="34" r:id="rId37"/>
    <sheet name="30.04.2026" sheetId="33" r:id="rId38"/>
    <sheet name="29.04.2026" sheetId="32" r:id="rId39"/>
    <sheet name="28.04.2026" sheetId="31" r:id="rId40"/>
    <sheet name="27.04.2026" sheetId="30" r:id="rId41"/>
    <sheet name="24.04.2025" sheetId="28" r:id="rId42"/>
    <sheet name="23.04.2026" sheetId="27" r:id="rId43"/>
    <sheet name="22.04.2026" sheetId="26" r:id="rId44"/>
    <sheet name="21.04.2026" sheetId="25" r:id="rId45"/>
    <sheet name="20.04.2026" sheetId="23" r:id="rId46"/>
    <sheet name="17.04.2026" sheetId="22" r:id="rId47"/>
    <sheet name="16.04.2026" sheetId="21" r:id="rId48"/>
    <sheet name="15.04.2026" sheetId="20" r:id="rId49"/>
    <sheet name="14.04.2026" sheetId="19" r:id="rId50"/>
    <sheet name="13.04.2026" sheetId="18" r:id="rId51"/>
    <sheet name="10.04.2026" sheetId="16" r:id="rId52"/>
    <sheet name="08.04.2026" sheetId="15" r:id="rId53"/>
    <sheet name="07.04.2026" sheetId="14" r:id="rId54"/>
    <sheet name="06.04.2026" sheetId="13" r:id="rId55"/>
    <sheet name="03.04.2026" sheetId="12" r:id="rId56"/>
    <sheet name="02.04.2026" sheetId="11" r:id="rId57"/>
    <sheet name="01.04.2026" sheetId="10" r:id="rId58"/>
    <sheet name="30.03.2026" sheetId="9" r:id="rId59"/>
    <sheet name="27.03.2026" sheetId="8" r:id="rId60"/>
    <sheet name="26.03.2025" sheetId="7" r:id="rId61"/>
    <sheet name="24.03.2026" sheetId="6" r:id="rId62"/>
    <sheet name="23.03.2026" sheetId="5" r:id="rId63"/>
    <sheet name="20.03.26" sheetId="4" r:id="rId64"/>
    <sheet name="19.03.26" sheetId="3" r:id="rId65"/>
    <sheet name="18.03.2026" sheetId="2" r:id="rId66"/>
    <sheet name="1303" sheetId="1" r:id="rId6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70" l="1"/>
  <c r="H3" i="70"/>
  <c r="C2" i="70"/>
  <c r="BB46" i="70"/>
  <c r="BA46" i="70"/>
  <c r="AZ46" i="70"/>
  <c r="AW46" i="70"/>
  <c r="AV46" i="70"/>
  <c r="AU46" i="70"/>
  <c r="AT46" i="70"/>
  <c r="AS46" i="70"/>
  <c r="AH46" i="70"/>
  <c r="AA46" i="70"/>
  <c r="AF42" i="70"/>
  <c r="AG42" i="70"/>
  <c r="AH42" i="70"/>
  <c r="AI42" i="70"/>
  <c r="AE42" i="70"/>
  <c r="X42" i="70"/>
  <c r="BH45" i="70"/>
  <c r="BI45" i="70"/>
  <c r="BG45" i="70"/>
  <c r="U45" i="70"/>
  <c r="BC45" i="70"/>
  <c r="BD45" i="70"/>
  <c r="BB45" i="70"/>
  <c r="T45" i="70"/>
  <c r="X44" i="70"/>
  <c r="R44" i="70"/>
  <c r="S44" i="70"/>
  <c r="T44" i="70"/>
  <c r="Q44" i="70"/>
  <c r="AM46" i="70"/>
  <c r="AN46" i="70"/>
  <c r="AO46" i="70"/>
  <c r="AP46" i="70"/>
  <c r="AL46" i="70"/>
  <c r="R46" i="70"/>
  <c r="AF46" i="70"/>
  <c r="AB46" i="70"/>
  <c r="Y46" i="70"/>
  <c r="Z46" i="70"/>
  <c r="X46" i="70"/>
  <c r="S46" i="70"/>
  <c r="Q46" i="70"/>
  <c r="BA45" i="70"/>
  <c r="AZ45" i="70"/>
  <c r="AT45" i="70"/>
  <c r="AU45" i="70"/>
  <c r="AV45" i="70"/>
  <c r="AW45" i="70"/>
  <c r="AS45" i="70"/>
  <c r="AP45" i="70"/>
  <c r="Q45" i="70"/>
  <c r="M57" i="70"/>
  <c r="K57" i="70"/>
  <c r="F57" i="70"/>
  <c r="U51" i="70" l="1"/>
  <c r="T51" i="70"/>
  <c r="S51" i="70"/>
  <c r="R51" i="70"/>
  <c r="Q51" i="70"/>
  <c r="J51" i="70"/>
  <c r="H7" i="70"/>
  <c r="AN45" i="70"/>
  <c r="AO45" i="70"/>
  <c r="AO26" i="70" s="1"/>
  <c r="AM45" i="70"/>
  <c r="J44" i="70"/>
  <c r="L46" i="70"/>
  <c r="M46" i="70"/>
  <c r="N46" i="70"/>
  <c r="K46" i="70"/>
  <c r="AG44" i="70"/>
  <c r="AF44" i="70"/>
  <c r="AF26" i="70" s="1"/>
  <c r="AL44" i="70"/>
  <c r="T46" i="70"/>
  <c r="F46" i="70"/>
  <c r="Y48" i="70"/>
  <c r="X48" i="70"/>
  <c r="U48" i="70"/>
  <c r="T48" i="70"/>
  <c r="S48" i="70"/>
  <c r="R48" i="70"/>
  <c r="Q48" i="70"/>
  <c r="N48" i="70"/>
  <c r="M48" i="70"/>
  <c r="L48" i="70"/>
  <c r="K48" i="70"/>
  <c r="J48" i="70"/>
  <c r="G48" i="70"/>
  <c r="E48" i="70"/>
  <c r="F48" i="70"/>
  <c r="R49" i="70"/>
  <c r="Q49" i="70"/>
  <c r="N49" i="70"/>
  <c r="M49" i="70"/>
  <c r="L49" i="70"/>
  <c r="K49" i="70"/>
  <c r="J49" i="70"/>
  <c r="F49" i="70"/>
  <c r="G49" i="70"/>
  <c r="E49" i="70"/>
  <c r="E46" i="70"/>
  <c r="E72" i="70"/>
  <c r="K43" i="70"/>
  <c r="L43" i="70"/>
  <c r="M43" i="70"/>
  <c r="N43" i="70"/>
  <c r="J43" i="70"/>
  <c r="F43" i="70"/>
  <c r="G43" i="70"/>
  <c r="E43" i="70"/>
  <c r="F38" i="70"/>
  <c r="G38" i="70"/>
  <c r="E38" i="70"/>
  <c r="C59" i="70"/>
  <c r="C72" i="70"/>
  <c r="E71" i="70"/>
  <c r="E69" i="70"/>
  <c r="G64" i="70"/>
  <c r="C56" i="70"/>
  <c r="C51" i="70"/>
  <c r="AG46" i="70"/>
  <c r="AI46" i="70"/>
  <c r="AE46" i="70"/>
  <c r="AE45" i="70"/>
  <c r="AB45" i="70"/>
  <c r="AA45" i="70"/>
  <c r="AA26" i="70" s="1"/>
  <c r="BJ45" i="70"/>
  <c r="Y45" i="70"/>
  <c r="BK45" i="70"/>
  <c r="S45" i="70"/>
  <c r="R45" i="70"/>
  <c r="AG45" i="70"/>
  <c r="M45" i="70"/>
  <c r="AH45" i="70"/>
  <c r="AL45" i="70"/>
  <c r="J45" i="70"/>
  <c r="AF45" i="70"/>
  <c r="F45" i="70"/>
  <c r="E45" i="70"/>
  <c r="C45" i="70"/>
  <c r="AE44" i="70"/>
  <c r="AB44" i="70"/>
  <c r="Z44" i="70"/>
  <c r="U44" i="70"/>
  <c r="N44" i="70"/>
  <c r="AI44" i="70"/>
  <c r="AH44" i="70"/>
  <c r="G44" i="70"/>
  <c r="C44" i="70"/>
  <c r="Y42" i="70"/>
  <c r="Y26" i="70" s="1"/>
  <c r="AN42" i="70"/>
  <c r="T42" i="70"/>
  <c r="S42" i="70"/>
  <c r="R42" i="70"/>
  <c r="N42" i="70"/>
  <c r="M42" i="70"/>
  <c r="L42" i="70"/>
  <c r="K42" i="70"/>
  <c r="J42" i="70"/>
  <c r="G42" i="70"/>
  <c r="F42" i="70"/>
  <c r="E42" i="70"/>
  <c r="Z42" i="70"/>
  <c r="Z26" i="70" s="1"/>
  <c r="C42" i="70"/>
  <c r="L39" i="70"/>
  <c r="E39" i="70"/>
  <c r="BO26" i="70"/>
  <c r="BN26" i="70"/>
  <c r="BM26" i="70"/>
  <c r="BL26" i="70"/>
  <c r="BK26" i="70"/>
  <c r="BJ26" i="70"/>
  <c r="BI26" i="70"/>
  <c r="BH26" i="70"/>
  <c r="BG26" i="70"/>
  <c r="BF26" i="70"/>
  <c r="BE26" i="70"/>
  <c r="BD26" i="70"/>
  <c r="BC26" i="70"/>
  <c r="BB26" i="70"/>
  <c r="BA26" i="70"/>
  <c r="AZ26" i="70"/>
  <c r="AY26" i="70"/>
  <c r="AX26" i="70"/>
  <c r="AW26" i="70"/>
  <c r="AV26" i="70"/>
  <c r="AU26" i="70"/>
  <c r="AT26" i="70"/>
  <c r="AS26" i="70"/>
  <c r="AR26" i="70"/>
  <c r="AQ26" i="70"/>
  <c r="AP26" i="70"/>
  <c r="AN26" i="70"/>
  <c r="AM26" i="70"/>
  <c r="AL26" i="70"/>
  <c r="AK26" i="70"/>
  <c r="AJ26" i="70"/>
  <c r="AI26" i="70"/>
  <c r="AH26" i="70"/>
  <c r="AD26" i="70"/>
  <c r="AC26" i="70"/>
  <c r="W26" i="70"/>
  <c r="V26" i="70"/>
  <c r="P26" i="70"/>
  <c r="O26" i="70"/>
  <c r="I26" i="70"/>
  <c r="H26" i="70"/>
  <c r="BH24" i="70"/>
  <c r="BH16" i="70" s="1"/>
  <c r="AL24" i="70"/>
  <c r="AL16" i="70" s="1"/>
  <c r="BO16" i="70"/>
  <c r="BN16" i="70"/>
  <c r="BM16" i="70"/>
  <c r="BL16" i="70"/>
  <c r="BK16" i="70"/>
  <c r="BJ16" i="70"/>
  <c r="BI16" i="70"/>
  <c r="BG16" i="70"/>
  <c r="BF16" i="70"/>
  <c r="BE16" i="70"/>
  <c r="BD16" i="70"/>
  <c r="BC16" i="70"/>
  <c r="BB16" i="70"/>
  <c r="BA16" i="70"/>
  <c r="AZ16" i="70"/>
  <c r="AY16" i="70"/>
  <c r="AX16" i="70"/>
  <c r="AW16" i="70"/>
  <c r="AV16" i="70"/>
  <c r="AU16" i="70"/>
  <c r="AT16" i="70"/>
  <c r="AS16" i="70"/>
  <c r="AR16" i="70"/>
  <c r="AQ16" i="70"/>
  <c r="AP16" i="70"/>
  <c r="AO16" i="70"/>
  <c r="AN16" i="70"/>
  <c r="AM16" i="70"/>
  <c r="AK16" i="70"/>
  <c r="AJ16" i="70"/>
  <c r="AI16" i="70"/>
  <c r="AH16" i="70"/>
  <c r="AG16" i="70"/>
  <c r="AF16" i="70"/>
  <c r="AE16" i="70"/>
  <c r="AD16" i="70"/>
  <c r="AC16" i="70"/>
  <c r="AB16" i="70"/>
  <c r="AA16" i="70"/>
  <c r="Z16" i="70"/>
  <c r="Y16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H16" i="70"/>
  <c r="G16" i="70"/>
  <c r="F16" i="70"/>
  <c r="E16" i="70"/>
  <c r="C16" i="70"/>
  <c r="C10" i="70" s="1"/>
  <c r="C5" i="70"/>
  <c r="G3" i="70" l="1"/>
  <c r="G4" i="70" s="1"/>
  <c r="G5" i="70" s="1"/>
  <c r="G6" i="70" s="1"/>
  <c r="F4" i="70"/>
  <c r="K4" i="70" s="1"/>
  <c r="F5" i="70"/>
  <c r="K5" i="70" s="1"/>
  <c r="T26" i="70"/>
  <c r="N26" i="70"/>
  <c r="K26" i="70"/>
  <c r="F6" i="70"/>
  <c r="AE26" i="70"/>
  <c r="AG26" i="70"/>
  <c r="E26" i="70"/>
  <c r="E75" i="70" s="1"/>
  <c r="F3" i="70"/>
  <c r="L3" i="70" s="1"/>
  <c r="X26" i="70"/>
  <c r="R26" i="70"/>
  <c r="G26" i="70"/>
  <c r="M26" i="70"/>
  <c r="J26" i="70"/>
  <c r="U26" i="70"/>
  <c r="AB26" i="70"/>
  <c r="S26" i="70"/>
  <c r="Q26" i="70"/>
  <c r="C26" i="70"/>
  <c r="C11" i="70" s="1"/>
  <c r="L26" i="70"/>
  <c r="F26" i="70"/>
  <c r="C7" i="70"/>
  <c r="C59" i="69"/>
  <c r="C56" i="69"/>
  <c r="C72" i="69"/>
  <c r="E72" i="69" s="1"/>
  <c r="E71" i="69"/>
  <c r="E69" i="69"/>
  <c r="I64" i="69"/>
  <c r="C51" i="69"/>
  <c r="G49" i="69"/>
  <c r="I48" i="69"/>
  <c r="F48" i="69"/>
  <c r="AI46" i="69"/>
  <c r="AI26" i="69" s="1"/>
  <c r="AC46" i="69"/>
  <c r="T46" i="69"/>
  <c r="S46" i="69"/>
  <c r="O46" i="69"/>
  <c r="N46" i="69"/>
  <c r="M46" i="69"/>
  <c r="H46" i="69"/>
  <c r="F46" i="69"/>
  <c r="AG45" i="69"/>
  <c r="AD45" i="69"/>
  <c r="AC45" i="69"/>
  <c r="AB45" i="69"/>
  <c r="AA45" i="69"/>
  <c r="AA26" i="69" s="1"/>
  <c r="Z45" i="69"/>
  <c r="W45" i="69"/>
  <c r="V45" i="69"/>
  <c r="U45" i="69"/>
  <c r="T45" i="69"/>
  <c r="P45" i="69"/>
  <c r="O45" i="69"/>
  <c r="N45" i="69"/>
  <c r="M45" i="69"/>
  <c r="L45" i="69"/>
  <c r="I45" i="69"/>
  <c r="H45" i="69"/>
  <c r="G45" i="69"/>
  <c r="P44" i="69"/>
  <c r="C45" i="69"/>
  <c r="AG44" i="69"/>
  <c r="AD44" i="69"/>
  <c r="AB44" i="69"/>
  <c r="W44" i="69"/>
  <c r="S44" i="69"/>
  <c r="S26" i="69" s="1"/>
  <c r="O44" i="69"/>
  <c r="N44" i="69"/>
  <c r="M44" i="69"/>
  <c r="L44" i="69"/>
  <c r="I44" i="69"/>
  <c r="C44" i="69"/>
  <c r="G43" i="69"/>
  <c r="W42" i="69"/>
  <c r="V42" i="69"/>
  <c r="V26" i="69" s="1"/>
  <c r="U42" i="69"/>
  <c r="U26" i="69" s="1"/>
  <c r="T42" i="69"/>
  <c r="P42" i="69"/>
  <c r="P26" i="69" s="1"/>
  <c r="O42" i="69"/>
  <c r="O26" i="69" s="1"/>
  <c r="N42" i="69"/>
  <c r="M42" i="69"/>
  <c r="L42" i="69"/>
  <c r="L26" i="69" s="1"/>
  <c r="I42" i="69"/>
  <c r="H42" i="69"/>
  <c r="H26" i="69" s="1"/>
  <c r="G42" i="69"/>
  <c r="F42" i="69"/>
  <c r="AA42" i="69"/>
  <c r="C42" i="69"/>
  <c r="M41" i="69"/>
  <c r="M26" i="69" s="1"/>
  <c r="N39" i="69"/>
  <c r="N26" i="69" s="1"/>
  <c r="G39" i="69"/>
  <c r="E31" i="69"/>
  <c r="E30" i="69"/>
  <c r="BQ26" i="69"/>
  <c r="BP26" i="69"/>
  <c r="BO26" i="69"/>
  <c r="BN26" i="69"/>
  <c r="BM26" i="69"/>
  <c r="BL26" i="69"/>
  <c r="BK26" i="69"/>
  <c r="BJ26" i="69"/>
  <c r="BI26" i="69"/>
  <c r="BH26" i="69"/>
  <c r="BG26" i="69"/>
  <c r="BF26" i="69"/>
  <c r="BE26" i="69"/>
  <c r="BD26" i="69"/>
  <c r="BC26" i="69"/>
  <c r="BB26" i="69"/>
  <c r="BA26" i="69"/>
  <c r="AZ26" i="69"/>
  <c r="AY26" i="69"/>
  <c r="AX26" i="69"/>
  <c r="AW26" i="69"/>
  <c r="AV26" i="69"/>
  <c r="AU26" i="69"/>
  <c r="AT26" i="69"/>
  <c r="AS26" i="69"/>
  <c r="AR26" i="69"/>
  <c r="AQ26" i="69"/>
  <c r="AP26" i="69"/>
  <c r="AO26" i="69"/>
  <c r="AN26" i="69"/>
  <c r="AM26" i="69"/>
  <c r="AL26" i="69"/>
  <c r="AK26" i="69"/>
  <c r="AJ26" i="69"/>
  <c r="AH26" i="69"/>
  <c r="AG26" i="69"/>
  <c r="AF26" i="69"/>
  <c r="AE26" i="69"/>
  <c r="AD26" i="69"/>
  <c r="AC26" i="69"/>
  <c r="Z26" i="69"/>
  <c r="Y26" i="69"/>
  <c r="X26" i="69"/>
  <c r="T26" i="69"/>
  <c r="R26" i="69"/>
  <c r="Q26" i="69"/>
  <c r="K26" i="69"/>
  <c r="J26" i="69"/>
  <c r="BJ24" i="69"/>
  <c r="BJ16" i="69" s="1"/>
  <c r="AN24" i="69"/>
  <c r="AN16" i="69" s="1"/>
  <c r="BQ16" i="69"/>
  <c r="BP16" i="69"/>
  <c r="BO16" i="69"/>
  <c r="BN16" i="69"/>
  <c r="BM16" i="69"/>
  <c r="BL16" i="69"/>
  <c r="BK16" i="69"/>
  <c r="BI16" i="69"/>
  <c r="BH16" i="69"/>
  <c r="BG16" i="69"/>
  <c r="BF16" i="69"/>
  <c r="BE16" i="69"/>
  <c r="BD16" i="69"/>
  <c r="BC16" i="69"/>
  <c r="BB16" i="69"/>
  <c r="BA16" i="69"/>
  <c r="AZ16" i="69"/>
  <c r="AY16" i="69"/>
  <c r="AX16" i="69"/>
  <c r="AW16" i="69"/>
  <c r="AV16" i="69"/>
  <c r="AU16" i="69"/>
  <c r="AT16" i="69"/>
  <c r="AS16" i="69"/>
  <c r="AR16" i="69"/>
  <c r="AQ16" i="69"/>
  <c r="AP16" i="69"/>
  <c r="AO16" i="69"/>
  <c r="AM16" i="69"/>
  <c r="AL16" i="69"/>
  <c r="AK16" i="69"/>
  <c r="AJ16" i="69"/>
  <c r="AI16" i="69"/>
  <c r="AH16" i="69"/>
  <c r="AG16" i="69"/>
  <c r="AF16" i="69"/>
  <c r="AE16" i="69"/>
  <c r="AD16" i="69"/>
  <c r="AC16" i="69"/>
  <c r="AB16" i="69"/>
  <c r="AA16" i="69"/>
  <c r="Z16" i="69"/>
  <c r="Y16" i="69"/>
  <c r="X16" i="69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H16" i="69"/>
  <c r="G16" i="69"/>
  <c r="F16" i="69"/>
  <c r="E16" i="69"/>
  <c r="C16" i="69"/>
  <c r="C10" i="69"/>
  <c r="C5" i="69"/>
  <c r="I5" i="70" l="1"/>
  <c r="C6" i="70"/>
  <c r="L4" i="70"/>
  <c r="L5" i="70" s="1"/>
  <c r="L6" i="70" s="1"/>
  <c r="I4" i="70"/>
  <c r="K3" i="70"/>
  <c r="I6" i="70"/>
  <c r="K6" i="70"/>
  <c r="I3" i="70"/>
  <c r="C8" i="70"/>
  <c r="C9" i="70" s="1"/>
  <c r="F75" i="70"/>
  <c r="G75" i="70" s="1"/>
  <c r="H75" i="70" s="1"/>
  <c r="I75" i="70" s="1"/>
  <c r="J75" i="70" s="1"/>
  <c r="K75" i="70" s="1"/>
  <c r="L75" i="70" s="1"/>
  <c r="M75" i="70" s="1"/>
  <c r="N75" i="70" s="1"/>
  <c r="O75" i="70" s="1"/>
  <c r="P75" i="70" s="1"/>
  <c r="Q75" i="70" s="1"/>
  <c r="R75" i="70" s="1"/>
  <c r="S75" i="70" s="1"/>
  <c r="T75" i="70" s="1"/>
  <c r="U75" i="70" s="1"/>
  <c r="V75" i="70" s="1"/>
  <c r="W75" i="70" s="1"/>
  <c r="X75" i="70" s="1"/>
  <c r="Y75" i="70" s="1"/>
  <c r="Z75" i="70" s="1"/>
  <c r="AA75" i="70" s="1"/>
  <c r="AB75" i="70" s="1"/>
  <c r="AC75" i="70" s="1"/>
  <c r="AD75" i="70" s="1"/>
  <c r="AE75" i="70" s="1"/>
  <c r="AF75" i="70" s="1"/>
  <c r="AG75" i="70" s="1"/>
  <c r="AH75" i="70" s="1"/>
  <c r="AI75" i="70" s="1"/>
  <c r="AJ75" i="70" s="1"/>
  <c r="AK75" i="70" s="1"/>
  <c r="AL75" i="70" s="1"/>
  <c r="AM75" i="70" s="1"/>
  <c r="AN75" i="70" s="1"/>
  <c r="AO75" i="70" s="1"/>
  <c r="AP75" i="70" s="1"/>
  <c r="AQ75" i="70" s="1"/>
  <c r="AR75" i="70" s="1"/>
  <c r="AS75" i="70" s="1"/>
  <c r="AT75" i="70" s="1"/>
  <c r="AU75" i="70" s="1"/>
  <c r="AV75" i="70" s="1"/>
  <c r="AW75" i="70" s="1"/>
  <c r="AX75" i="70" s="1"/>
  <c r="AY75" i="70" s="1"/>
  <c r="AZ75" i="70" s="1"/>
  <c r="BA75" i="70" s="1"/>
  <c r="BB75" i="70" s="1"/>
  <c r="BC75" i="70" s="1"/>
  <c r="BD75" i="70" s="1"/>
  <c r="BE75" i="70" s="1"/>
  <c r="BF75" i="70" s="1"/>
  <c r="BG75" i="70" s="1"/>
  <c r="BH75" i="70" s="1"/>
  <c r="BI75" i="70" s="1"/>
  <c r="BJ75" i="70" s="1"/>
  <c r="BK75" i="70" s="1"/>
  <c r="BL75" i="70" s="1"/>
  <c r="BM75" i="70" s="1"/>
  <c r="BN75" i="70" s="1"/>
  <c r="BO75" i="70" s="1"/>
  <c r="F26" i="69"/>
  <c r="C26" i="69"/>
  <c r="C11" i="69" s="1"/>
  <c r="W26" i="69"/>
  <c r="AB26" i="69"/>
  <c r="I26" i="69"/>
  <c r="C7" i="69"/>
  <c r="G26" i="69"/>
  <c r="E26" i="69"/>
  <c r="G52" i="68"/>
  <c r="K7" i="70" l="1"/>
  <c r="I7" i="70"/>
  <c r="C8" i="69"/>
  <c r="C9" i="69" s="1"/>
  <c r="E75" i="69"/>
  <c r="F75" i="69" s="1"/>
  <c r="G75" i="69" s="1"/>
  <c r="H75" i="69" s="1"/>
  <c r="I75" i="69" s="1"/>
  <c r="J75" i="69" s="1"/>
  <c r="K75" i="69" s="1"/>
  <c r="L75" i="69" s="1"/>
  <c r="M75" i="69" s="1"/>
  <c r="N75" i="69" s="1"/>
  <c r="O75" i="69" s="1"/>
  <c r="P75" i="69" s="1"/>
  <c r="Q75" i="69" s="1"/>
  <c r="R75" i="69" s="1"/>
  <c r="S75" i="69" s="1"/>
  <c r="T75" i="69" s="1"/>
  <c r="U75" i="69" s="1"/>
  <c r="V75" i="69" s="1"/>
  <c r="W75" i="69" s="1"/>
  <c r="X75" i="69" s="1"/>
  <c r="Y75" i="69" s="1"/>
  <c r="Z75" i="69" s="1"/>
  <c r="AA75" i="69" s="1"/>
  <c r="AB75" i="69" s="1"/>
  <c r="AC75" i="69" s="1"/>
  <c r="AD75" i="69" s="1"/>
  <c r="AE75" i="69" s="1"/>
  <c r="AF75" i="69" s="1"/>
  <c r="AG75" i="69" s="1"/>
  <c r="AH75" i="69" s="1"/>
  <c r="AI75" i="69" s="1"/>
  <c r="AJ75" i="69" s="1"/>
  <c r="AK75" i="69" s="1"/>
  <c r="AL75" i="69" s="1"/>
  <c r="AM75" i="69" s="1"/>
  <c r="AN75" i="69" s="1"/>
  <c r="AO75" i="69" s="1"/>
  <c r="AP75" i="69" s="1"/>
  <c r="AQ75" i="69" s="1"/>
  <c r="AR75" i="69" s="1"/>
  <c r="AS75" i="69" s="1"/>
  <c r="AT75" i="69" s="1"/>
  <c r="AU75" i="69" s="1"/>
  <c r="AV75" i="69" s="1"/>
  <c r="AW75" i="69" s="1"/>
  <c r="AX75" i="69" s="1"/>
  <c r="AY75" i="69" s="1"/>
  <c r="AZ75" i="69" s="1"/>
  <c r="BA75" i="69" s="1"/>
  <c r="BB75" i="69" s="1"/>
  <c r="BC75" i="69" s="1"/>
  <c r="BD75" i="69" s="1"/>
  <c r="BE75" i="69" s="1"/>
  <c r="BF75" i="69" s="1"/>
  <c r="BG75" i="69" s="1"/>
  <c r="BH75" i="69" s="1"/>
  <c r="BI75" i="69" s="1"/>
  <c r="BJ75" i="69" s="1"/>
  <c r="BK75" i="69" s="1"/>
  <c r="BL75" i="69" s="1"/>
  <c r="BM75" i="69" s="1"/>
  <c r="BN75" i="69" s="1"/>
  <c r="BO75" i="69" s="1"/>
  <c r="BP75" i="69" s="1"/>
  <c r="BQ75" i="69" s="1"/>
  <c r="BM24" i="68"/>
  <c r="P40" i="68"/>
  <c r="C44" i="68" l="1"/>
  <c r="C43" i="68"/>
  <c r="C58" i="68" l="1"/>
  <c r="C55" i="68"/>
  <c r="C41" i="68"/>
  <c r="C71" i="68"/>
  <c r="H71" i="68" s="1"/>
  <c r="H70" i="68"/>
  <c r="H68" i="68"/>
  <c r="L63" i="68"/>
  <c r="C50" i="68"/>
  <c r="J48" i="68"/>
  <c r="I47" i="68"/>
  <c r="L47" i="68"/>
  <c r="W45" i="68"/>
  <c r="V45" i="68"/>
  <c r="R45" i="68"/>
  <c r="Q45" i="68"/>
  <c r="P45" i="68"/>
  <c r="AF45" i="68"/>
  <c r="K45" i="68"/>
  <c r="I45" i="68"/>
  <c r="AL45" i="68"/>
  <c r="AL26" i="68" s="1"/>
  <c r="AG44" i="68"/>
  <c r="AF44" i="68"/>
  <c r="AF26" i="68" s="1"/>
  <c r="AE44" i="68"/>
  <c r="AD44" i="68"/>
  <c r="AD26" i="68" s="1"/>
  <c r="AC44" i="68"/>
  <c r="Z44" i="68"/>
  <c r="Y44" i="68"/>
  <c r="Y26" i="68" s="1"/>
  <c r="X44" i="68"/>
  <c r="W44" i="68"/>
  <c r="S44" i="68"/>
  <c r="R44" i="68"/>
  <c r="Q44" i="68"/>
  <c r="P44" i="68"/>
  <c r="O44" i="68"/>
  <c r="L44" i="68"/>
  <c r="AJ44" i="68"/>
  <c r="J44" i="68"/>
  <c r="H44" i="68"/>
  <c r="K44" i="68"/>
  <c r="V43" i="68"/>
  <c r="V26" i="68" s="1"/>
  <c r="R43" i="68"/>
  <c r="Q43" i="68"/>
  <c r="P43" i="68"/>
  <c r="O43" i="68"/>
  <c r="AG43" i="68"/>
  <c r="AJ43" i="68"/>
  <c r="AJ26" i="68" s="1"/>
  <c r="AE43" i="68"/>
  <c r="Z43" i="68"/>
  <c r="L43" i="68"/>
  <c r="J42" i="68"/>
  <c r="Z41" i="68"/>
  <c r="X41" i="68"/>
  <c r="X26" i="68" s="1"/>
  <c r="W41" i="68"/>
  <c r="S41" i="68"/>
  <c r="S26" i="68" s="1"/>
  <c r="R41" i="68"/>
  <c r="Q41" i="68"/>
  <c r="P41" i="68"/>
  <c r="O41" i="68"/>
  <c r="O26" i="68" s="1"/>
  <c r="L41" i="68"/>
  <c r="K41" i="68"/>
  <c r="J41" i="68"/>
  <c r="I41" i="68"/>
  <c r="H41" i="68"/>
  <c r="Y41" i="68"/>
  <c r="J39" i="68"/>
  <c r="Q39" i="68"/>
  <c r="I31" i="68"/>
  <c r="I30" i="68"/>
  <c r="BT26" i="68"/>
  <c r="BS26" i="68"/>
  <c r="BR26" i="68"/>
  <c r="BQ26" i="68"/>
  <c r="BP26" i="68"/>
  <c r="BO26" i="68"/>
  <c r="BN26" i="68"/>
  <c r="BM26" i="68"/>
  <c r="BL26" i="68"/>
  <c r="BK26" i="68"/>
  <c r="BJ26" i="68"/>
  <c r="BI26" i="68"/>
  <c r="BH26" i="68"/>
  <c r="BG26" i="68"/>
  <c r="BF26" i="68"/>
  <c r="BE26" i="68"/>
  <c r="BD26" i="68"/>
  <c r="BC26" i="68"/>
  <c r="BB26" i="68"/>
  <c r="BA26" i="68"/>
  <c r="AZ26" i="68"/>
  <c r="AY26" i="68"/>
  <c r="AX26" i="68"/>
  <c r="AW26" i="68"/>
  <c r="AV26" i="68"/>
  <c r="AU26" i="68"/>
  <c r="AT26" i="68"/>
  <c r="AS26" i="68"/>
  <c r="AR26" i="68"/>
  <c r="AQ26" i="68"/>
  <c r="AP26" i="68"/>
  <c r="AO26" i="68"/>
  <c r="AN26" i="68"/>
  <c r="AM26" i="68"/>
  <c r="AK26" i="68"/>
  <c r="AI26" i="68"/>
  <c r="AH26" i="68"/>
  <c r="AG26" i="68"/>
  <c r="AE26" i="68"/>
  <c r="AC26" i="68"/>
  <c r="AB26" i="68"/>
  <c r="AA26" i="68"/>
  <c r="U26" i="68"/>
  <c r="T26" i="68"/>
  <c r="N26" i="68"/>
  <c r="M26" i="68"/>
  <c r="K26" i="68"/>
  <c r="G26" i="68"/>
  <c r="F26" i="68"/>
  <c r="AQ24" i="68"/>
  <c r="BT16" i="68"/>
  <c r="BS16" i="68"/>
  <c r="BR16" i="68"/>
  <c r="BQ16" i="68"/>
  <c r="BP16" i="68"/>
  <c r="BO16" i="68"/>
  <c r="BN16" i="68"/>
  <c r="BM16" i="68"/>
  <c r="BL16" i="68"/>
  <c r="BK16" i="68"/>
  <c r="BJ16" i="68"/>
  <c r="BI16" i="68"/>
  <c r="BH16" i="68"/>
  <c r="BG16" i="68"/>
  <c r="BF16" i="68"/>
  <c r="BE16" i="68"/>
  <c r="BD16" i="68"/>
  <c r="BC16" i="68"/>
  <c r="BB16" i="68"/>
  <c r="BA16" i="68"/>
  <c r="AZ16" i="68"/>
  <c r="AY16" i="68"/>
  <c r="AX16" i="68"/>
  <c r="AW16" i="68"/>
  <c r="AV16" i="68"/>
  <c r="AU16" i="68"/>
  <c r="AT16" i="68"/>
  <c r="AS16" i="68"/>
  <c r="AR16" i="68"/>
  <c r="AQ16" i="68"/>
  <c r="AP16" i="68"/>
  <c r="AO16" i="68"/>
  <c r="AN16" i="68"/>
  <c r="AM16" i="68"/>
  <c r="AL16" i="68"/>
  <c r="AK16" i="68"/>
  <c r="AJ16" i="68"/>
  <c r="AI16" i="68"/>
  <c r="AH16" i="68"/>
  <c r="AG16" i="68"/>
  <c r="AF16" i="68"/>
  <c r="AE16" i="68"/>
  <c r="AD16" i="68"/>
  <c r="AC16" i="68"/>
  <c r="AB16" i="68"/>
  <c r="AA16" i="68"/>
  <c r="Z16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H16" i="68"/>
  <c r="G16" i="68"/>
  <c r="F16" i="68"/>
  <c r="E16" i="68"/>
  <c r="C16" i="68"/>
  <c r="C10" i="68" s="1"/>
  <c r="C5" i="68"/>
  <c r="Q26" i="68" l="1"/>
  <c r="C7" i="68"/>
  <c r="R26" i="68"/>
  <c r="H26" i="68"/>
  <c r="L26" i="68"/>
  <c r="P26" i="68"/>
  <c r="Z26" i="68"/>
  <c r="I26" i="68"/>
  <c r="W26" i="68"/>
  <c r="E26" i="68"/>
  <c r="E74" i="68" s="1"/>
  <c r="J26" i="68"/>
  <c r="C26" i="68"/>
  <c r="C11" i="68" s="1"/>
  <c r="BP16" i="67"/>
  <c r="BQ16" i="67"/>
  <c r="BR16" i="67"/>
  <c r="BS16" i="67"/>
  <c r="BT16" i="67"/>
  <c r="BU16" i="67"/>
  <c r="BV16" i="67"/>
  <c r="BP26" i="67"/>
  <c r="BQ26" i="67"/>
  <c r="BR26" i="67"/>
  <c r="BS26" i="67"/>
  <c r="BT26" i="67"/>
  <c r="BU26" i="67"/>
  <c r="BV26" i="67"/>
  <c r="BN16" i="67"/>
  <c r="BO16" i="67"/>
  <c r="BN26" i="67"/>
  <c r="BO26" i="67"/>
  <c r="AZ16" i="67"/>
  <c r="BA16" i="67"/>
  <c r="BB16" i="67"/>
  <c r="BC16" i="67"/>
  <c r="BD16" i="67"/>
  <c r="BE16" i="67"/>
  <c r="BF16" i="67"/>
  <c r="BG16" i="67"/>
  <c r="BH16" i="67"/>
  <c r="BI16" i="67"/>
  <c r="BJ16" i="67"/>
  <c r="BK16" i="67"/>
  <c r="BL16" i="67"/>
  <c r="BM16" i="67"/>
  <c r="AZ26" i="67"/>
  <c r="BA26" i="67"/>
  <c r="BB26" i="67"/>
  <c r="BC26" i="67"/>
  <c r="BD26" i="67"/>
  <c r="BE26" i="67"/>
  <c r="BF26" i="67"/>
  <c r="BG26" i="67"/>
  <c r="BH26" i="67"/>
  <c r="BI26" i="67"/>
  <c r="BJ26" i="67"/>
  <c r="BK26" i="67"/>
  <c r="BL26" i="67"/>
  <c r="BM26" i="67"/>
  <c r="G67" i="67"/>
  <c r="G69" i="67"/>
  <c r="G70" i="67"/>
  <c r="F74" i="68" l="1"/>
  <c r="G74" i="68" s="1"/>
  <c r="H74" i="68" s="1"/>
  <c r="I74" i="68" s="1"/>
  <c r="J74" i="68" s="1"/>
  <c r="K74" i="68" s="1"/>
  <c r="L74" i="68" s="1"/>
  <c r="M74" i="68" s="1"/>
  <c r="N74" i="68" s="1"/>
  <c r="O74" i="68" s="1"/>
  <c r="P74" i="68" s="1"/>
  <c r="Q74" i="68" s="1"/>
  <c r="R74" i="68" s="1"/>
  <c r="S74" i="68" s="1"/>
  <c r="T74" i="68" s="1"/>
  <c r="U74" i="68" s="1"/>
  <c r="V74" i="68" s="1"/>
  <c r="W74" i="68" s="1"/>
  <c r="X74" i="68" s="1"/>
  <c r="Y74" i="68" s="1"/>
  <c r="Z74" i="68" s="1"/>
  <c r="AA74" i="68" s="1"/>
  <c r="AB74" i="68" s="1"/>
  <c r="AC74" i="68" s="1"/>
  <c r="AD74" i="68" s="1"/>
  <c r="AE74" i="68" s="1"/>
  <c r="AF74" i="68" s="1"/>
  <c r="AG74" i="68" s="1"/>
  <c r="AH74" i="68" s="1"/>
  <c r="AI74" i="68" s="1"/>
  <c r="AJ74" i="68" s="1"/>
  <c r="AK74" i="68" s="1"/>
  <c r="AL74" i="68" s="1"/>
  <c r="AM74" i="68" s="1"/>
  <c r="AN74" i="68" s="1"/>
  <c r="AO74" i="68" s="1"/>
  <c r="AP74" i="68" s="1"/>
  <c r="AQ74" i="68" s="1"/>
  <c r="AR74" i="68" s="1"/>
  <c r="AS74" i="68" s="1"/>
  <c r="AT74" i="68" s="1"/>
  <c r="AU74" i="68" s="1"/>
  <c r="AV74" i="68" s="1"/>
  <c r="AW74" i="68" s="1"/>
  <c r="AX74" i="68" s="1"/>
  <c r="AY74" i="68" s="1"/>
  <c r="AZ74" i="68" s="1"/>
  <c r="BA74" i="68" s="1"/>
  <c r="BB74" i="68" s="1"/>
  <c r="BC74" i="68" s="1"/>
  <c r="BD74" i="68" s="1"/>
  <c r="BE74" i="68" s="1"/>
  <c r="BF74" i="68" s="1"/>
  <c r="BG74" i="68" s="1"/>
  <c r="BH74" i="68" s="1"/>
  <c r="BI74" i="68" s="1"/>
  <c r="BJ74" i="68" s="1"/>
  <c r="BK74" i="68" s="1"/>
  <c r="BL74" i="68" s="1"/>
  <c r="BM74" i="68" s="1"/>
  <c r="BN74" i="68" s="1"/>
  <c r="BO74" i="68" s="1"/>
  <c r="BP74" i="68" s="1"/>
  <c r="BQ74" i="68" s="1"/>
  <c r="BR74" i="68" s="1"/>
  <c r="BS74" i="68" s="1"/>
  <c r="BT74" i="68" s="1"/>
  <c r="C8" i="68"/>
  <c r="C9" i="68" s="1"/>
  <c r="C57" i="67"/>
  <c r="C54" i="67"/>
  <c r="C43" i="67"/>
  <c r="C41" i="67"/>
  <c r="C70" i="67"/>
  <c r="N62" i="67"/>
  <c r="F54" i="67"/>
  <c r="C49" i="67"/>
  <c r="L48" i="67"/>
  <c r="G47" i="67"/>
  <c r="K47" i="67"/>
  <c r="Y45" i="67"/>
  <c r="X45" i="67"/>
  <c r="T45" i="67"/>
  <c r="S45" i="67"/>
  <c r="R45" i="67"/>
  <c r="N45" i="67"/>
  <c r="M45" i="67"/>
  <c r="K45" i="67"/>
  <c r="J45" i="67"/>
  <c r="G45" i="67"/>
  <c r="F45" i="67"/>
  <c r="AH44" i="67"/>
  <c r="AH26" i="67" s="1"/>
  <c r="AG44" i="67"/>
  <c r="AG26" i="67" s="1"/>
  <c r="AF44" i="67"/>
  <c r="AE44" i="67"/>
  <c r="AE26" i="67" s="1"/>
  <c r="AB44" i="67"/>
  <c r="AA44" i="67"/>
  <c r="AA26" i="67" s="1"/>
  <c r="Z44" i="67"/>
  <c r="Y44" i="67"/>
  <c r="U44" i="67"/>
  <c r="T44" i="67"/>
  <c r="S44" i="67"/>
  <c r="R44" i="67"/>
  <c r="Q44" i="67"/>
  <c r="N44" i="67"/>
  <c r="M44" i="67"/>
  <c r="L44" i="67"/>
  <c r="J44" i="67"/>
  <c r="G44" i="67"/>
  <c r="F44" i="67"/>
  <c r="C44" i="67"/>
  <c r="X43" i="67"/>
  <c r="X26" i="67" s="1"/>
  <c r="T43" i="67"/>
  <c r="S43" i="67"/>
  <c r="R43" i="67"/>
  <c r="Q43" i="67"/>
  <c r="M43" i="67"/>
  <c r="L43" i="67"/>
  <c r="K43" i="67"/>
  <c r="J43" i="67"/>
  <c r="G43" i="67"/>
  <c r="F43" i="67"/>
  <c r="L42" i="67"/>
  <c r="AB41" i="67"/>
  <c r="AB26" i="67" s="1"/>
  <c r="Z41" i="67"/>
  <c r="Y41" i="67"/>
  <c r="U41" i="67"/>
  <c r="T41" i="67"/>
  <c r="S41" i="67"/>
  <c r="R41" i="67"/>
  <c r="Q41" i="67"/>
  <c r="N41" i="67"/>
  <c r="M41" i="67"/>
  <c r="L41" i="67"/>
  <c r="L26" i="67" s="1"/>
  <c r="K41" i="67"/>
  <c r="J41" i="67"/>
  <c r="G41" i="67"/>
  <c r="F41" i="67"/>
  <c r="E41" i="67"/>
  <c r="R40" i="67"/>
  <c r="L39" i="67"/>
  <c r="G39" i="67"/>
  <c r="E39" i="67"/>
  <c r="K31" i="67"/>
  <c r="K30" i="67"/>
  <c r="AY26" i="67"/>
  <c r="AX26" i="67"/>
  <c r="AW26" i="67"/>
  <c r="AV26" i="67"/>
  <c r="AU26" i="67"/>
  <c r="AT26" i="67"/>
  <c r="AS26" i="67"/>
  <c r="AR26" i="67"/>
  <c r="AQ26" i="67"/>
  <c r="AP26" i="67"/>
  <c r="AO26" i="67"/>
  <c r="AN26" i="67"/>
  <c r="AM26" i="67"/>
  <c r="AL26" i="67"/>
  <c r="AK26" i="67"/>
  <c r="AJ26" i="67"/>
  <c r="AI26" i="67"/>
  <c r="AF26" i="67"/>
  <c r="AD26" i="67"/>
  <c r="AC26" i="67"/>
  <c r="W26" i="67"/>
  <c r="V26" i="67"/>
  <c r="S26" i="67"/>
  <c r="P26" i="67"/>
  <c r="O26" i="67"/>
  <c r="I26" i="67"/>
  <c r="H26" i="67"/>
  <c r="AS24" i="67"/>
  <c r="AS16" i="67" s="1"/>
  <c r="AY16" i="67"/>
  <c r="AX16" i="67"/>
  <c r="AW16" i="67"/>
  <c r="AV16" i="67"/>
  <c r="AU16" i="67"/>
  <c r="AT16" i="67"/>
  <c r="AR16" i="67"/>
  <c r="AQ16" i="67"/>
  <c r="AP16" i="67"/>
  <c r="AO16" i="67"/>
  <c r="AN16" i="67"/>
  <c r="AM16" i="67"/>
  <c r="AL16" i="67"/>
  <c r="AK16" i="67"/>
  <c r="AJ16" i="67"/>
  <c r="AI16" i="67"/>
  <c r="AH16" i="67"/>
  <c r="AG16" i="67"/>
  <c r="AF16" i="67"/>
  <c r="AE16" i="67"/>
  <c r="AD16" i="67"/>
  <c r="AC16" i="67"/>
  <c r="AB16" i="67"/>
  <c r="AA16" i="67"/>
  <c r="Z16" i="67"/>
  <c r="Y16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H16" i="67"/>
  <c r="G16" i="67"/>
  <c r="F16" i="67"/>
  <c r="E16" i="67"/>
  <c r="C16" i="67"/>
  <c r="C10" i="67" s="1"/>
  <c r="C5" i="67"/>
  <c r="Q26" i="67" l="1"/>
  <c r="U26" i="67"/>
  <c r="Z26" i="67"/>
  <c r="C26" i="67"/>
  <c r="C11" i="67" s="1"/>
  <c r="T26" i="67"/>
  <c r="N26" i="67"/>
  <c r="J26" i="67"/>
  <c r="G26" i="67"/>
  <c r="F26" i="67"/>
  <c r="C7" i="67"/>
  <c r="K26" i="67"/>
  <c r="R26" i="67"/>
  <c r="Y26" i="67"/>
  <c r="M26" i="67"/>
  <c r="E26" i="67"/>
  <c r="E73" i="67" s="1"/>
  <c r="C61" i="66"/>
  <c r="C56" i="66"/>
  <c r="C43" i="66"/>
  <c r="C42" i="66"/>
  <c r="C40" i="66"/>
  <c r="C73" i="66"/>
  <c r="F73" i="66" s="1"/>
  <c r="F72" i="66"/>
  <c r="F70" i="66"/>
  <c r="O65" i="66"/>
  <c r="G56" i="66"/>
  <c r="C51" i="66"/>
  <c r="M50" i="66"/>
  <c r="G49" i="66"/>
  <c r="H49" i="66"/>
  <c r="Z47" i="66"/>
  <c r="Y47" i="66"/>
  <c r="U47" i="66"/>
  <c r="T47" i="66"/>
  <c r="S47" i="66"/>
  <c r="O47" i="66"/>
  <c r="N47" i="66"/>
  <c r="L47" i="66"/>
  <c r="H47" i="66"/>
  <c r="F47" i="66"/>
  <c r="K47" i="66"/>
  <c r="AH46" i="66"/>
  <c r="AH26" i="66" s="1"/>
  <c r="AG46" i="66"/>
  <c r="AG26" i="66" s="1"/>
  <c r="AF46" i="66"/>
  <c r="AF26" i="66" s="1"/>
  <c r="AC46" i="66"/>
  <c r="AB46" i="66"/>
  <c r="AB26" i="66" s="1"/>
  <c r="AA46" i="66"/>
  <c r="Z46" i="66"/>
  <c r="V46" i="66"/>
  <c r="U46" i="66"/>
  <c r="T46" i="66"/>
  <c r="S46" i="66"/>
  <c r="R46" i="66"/>
  <c r="O46" i="66"/>
  <c r="N46" i="66"/>
  <c r="M46" i="66"/>
  <c r="K46" i="66"/>
  <c r="H46" i="66"/>
  <c r="F46" i="66"/>
  <c r="AI46" i="66"/>
  <c r="AI26" i="66" s="1"/>
  <c r="C46" i="66"/>
  <c r="Y45" i="66"/>
  <c r="Y26" i="66" s="1"/>
  <c r="U45" i="66"/>
  <c r="T45" i="66"/>
  <c r="S45" i="66"/>
  <c r="R45" i="66"/>
  <c r="N45" i="66"/>
  <c r="M45" i="66"/>
  <c r="L45" i="66"/>
  <c r="K45" i="66"/>
  <c r="H45" i="66"/>
  <c r="G45" i="66"/>
  <c r="G26" i="66" s="1"/>
  <c r="E45" i="66"/>
  <c r="C45" i="66"/>
  <c r="M44" i="66"/>
  <c r="AC43" i="66"/>
  <c r="AA43" i="66"/>
  <c r="AA26" i="66" s="1"/>
  <c r="Z43" i="66"/>
  <c r="V43" i="66"/>
  <c r="V26" i="66" s="1"/>
  <c r="U43" i="66"/>
  <c r="T43" i="66"/>
  <c r="S43" i="66"/>
  <c r="R43" i="66"/>
  <c r="O43" i="66"/>
  <c r="O26" i="66" s="1"/>
  <c r="N43" i="66"/>
  <c r="N26" i="66" s="1"/>
  <c r="M43" i="66"/>
  <c r="L43" i="66"/>
  <c r="H43" i="66"/>
  <c r="G43" i="66"/>
  <c r="F43" i="66"/>
  <c r="E43" i="66"/>
  <c r="K43" i="66"/>
  <c r="S41" i="66"/>
  <c r="H39" i="66"/>
  <c r="F39" i="66"/>
  <c r="M39" i="66"/>
  <c r="L31" i="66"/>
  <c r="L30" i="66"/>
  <c r="AZ26" i="66"/>
  <c r="AY26" i="66"/>
  <c r="AX26" i="66"/>
  <c r="AW26" i="66"/>
  <c r="AV26" i="66"/>
  <c r="AU26" i="66"/>
  <c r="AT26" i="66"/>
  <c r="AS26" i="66"/>
  <c r="AR26" i="66"/>
  <c r="AQ26" i="66"/>
  <c r="AP26" i="66"/>
  <c r="AO26" i="66"/>
  <c r="AN26" i="66"/>
  <c r="AM26" i="66"/>
  <c r="AL26" i="66"/>
  <c r="AK26" i="66"/>
  <c r="AJ26" i="66"/>
  <c r="AE26" i="66"/>
  <c r="AD26" i="66"/>
  <c r="AC26" i="66"/>
  <c r="X26" i="66"/>
  <c r="W26" i="66"/>
  <c r="U26" i="66"/>
  <c r="Q26" i="66"/>
  <c r="P26" i="66"/>
  <c r="M26" i="66"/>
  <c r="J26" i="66"/>
  <c r="I26" i="66"/>
  <c r="AT24" i="66"/>
  <c r="AT16" i="66" s="1"/>
  <c r="AZ16" i="66"/>
  <c r="AY16" i="66"/>
  <c r="AX16" i="66"/>
  <c r="AW16" i="66"/>
  <c r="AV16" i="66"/>
  <c r="AU16" i="66"/>
  <c r="AS16" i="66"/>
  <c r="AR16" i="66"/>
  <c r="AQ16" i="66"/>
  <c r="AP16" i="66"/>
  <c r="AO16" i="66"/>
  <c r="AN16" i="66"/>
  <c r="AM16" i="66"/>
  <c r="AL16" i="66"/>
  <c r="AK16" i="66"/>
  <c r="AJ16" i="66"/>
  <c r="AI16" i="66"/>
  <c r="AH16" i="66"/>
  <c r="AG16" i="66"/>
  <c r="AF16" i="66"/>
  <c r="AE16" i="66"/>
  <c r="AD16" i="66"/>
  <c r="AC16" i="66"/>
  <c r="AB16" i="66"/>
  <c r="AA16" i="66"/>
  <c r="Z16" i="66"/>
  <c r="Y16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H16" i="66"/>
  <c r="G16" i="66"/>
  <c r="F16" i="66"/>
  <c r="E16" i="66"/>
  <c r="C16" i="66"/>
  <c r="C10" i="66" s="1"/>
  <c r="C5" i="66"/>
  <c r="C8" i="67" l="1"/>
  <c r="C9" i="67" s="1"/>
  <c r="F73" i="67"/>
  <c r="G73" i="67" s="1"/>
  <c r="H73" i="67" s="1"/>
  <c r="I73" i="67" s="1"/>
  <c r="J73" i="67" s="1"/>
  <c r="K73" i="67" s="1"/>
  <c r="L73" i="67" s="1"/>
  <c r="M73" i="67" s="1"/>
  <c r="N73" i="67" s="1"/>
  <c r="O73" i="67" s="1"/>
  <c r="P73" i="67" s="1"/>
  <c r="Q73" i="67" s="1"/>
  <c r="R73" i="67" s="1"/>
  <c r="S73" i="67" s="1"/>
  <c r="T73" i="67" s="1"/>
  <c r="U73" i="67" s="1"/>
  <c r="V73" i="67" s="1"/>
  <c r="W73" i="67" s="1"/>
  <c r="X73" i="67" s="1"/>
  <c r="Y73" i="67" s="1"/>
  <c r="Z73" i="67" s="1"/>
  <c r="AA73" i="67" s="1"/>
  <c r="AB73" i="67" s="1"/>
  <c r="AC73" i="67" s="1"/>
  <c r="AD73" i="67" s="1"/>
  <c r="AE73" i="67" s="1"/>
  <c r="AF73" i="67" s="1"/>
  <c r="AG73" i="67" s="1"/>
  <c r="AH73" i="67" s="1"/>
  <c r="AI73" i="67" s="1"/>
  <c r="AJ73" i="67" s="1"/>
  <c r="AK73" i="67" s="1"/>
  <c r="AL73" i="67" s="1"/>
  <c r="AM73" i="67" s="1"/>
  <c r="AN73" i="67" s="1"/>
  <c r="AO73" i="67" s="1"/>
  <c r="AP73" i="67" s="1"/>
  <c r="AQ73" i="67" s="1"/>
  <c r="AR73" i="67" s="1"/>
  <c r="AS73" i="67" s="1"/>
  <c r="AT73" i="67" s="1"/>
  <c r="AU73" i="67" s="1"/>
  <c r="AV73" i="67" s="1"/>
  <c r="AW73" i="67" s="1"/>
  <c r="AX73" i="67" s="1"/>
  <c r="AY73" i="67" s="1"/>
  <c r="AZ73" i="67" s="1"/>
  <c r="BA73" i="67" s="1"/>
  <c r="BB73" i="67" s="1"/>
  <c r="BC73" i="67" s="1"/>
  <c r="BD73" i="67" s="1"/>
  <c r="BE73" i="67" s="1"/>
  <c r="BF73" i="67" s="1"/>
  <c r="BG73" i="67" s="1"/>
  <c r="BH73" i="67" s="1"/>
  <c r="BI73" i="67" s="1"/>
  <c r="BJ73" i="67" s="1"/>
  <c r="BK73" i="67" s="1"/>
  <c r="BL73" i="67" s="1"/>
  <c r="BM73" i="67" s="1"/>
  <c r="BN73" i="67" s="1"/>
  <c r="BO73" i="67" s="1"/>
  <c r="BP73" i="67" s="1"/>
  <c r="BQ73" i="67" s="1"/>
  <c r="BR73" i="67" s="1"/>
  <c r="BS73" i="67" s="1"/>
  <c r="BT73" i="67" s="1"/>
  <c r="BU73" i="67" s="1"/>
  <c r="BV73" i="67" s="1"/>
  <c r="C26" i="66"/>
  <c r="C11" i="66" s="1"/>
  <c r="L26" i="66"/>
  <c r="H26" i="66"/>
  <c r="E26" i="66"/>
  <c r="E76" i="66" s="1"/>
  <c r="S26" i="66"/>
  <c r="K26" i="66"/>
  <c r="F26" i="66"/>
  <c r="Z26" i="66"/>
  <c r="R26" i="66"/>
  <c r="T26" i="66"/>
  <c r="C7" i="66"/>
  <c r="E38" i="65"/>
  <c r="K49" i="65"/>
  <c r="I49" i="65"/>
  <c r="K56" i="65"/>
  <c r="C61" i="65"/>
  <c r="C56" i="65"/>
  <c r="C51" i="65"/>
  <c r="C45" i="65"/>
  <c r="C43" i="65"/>
  <c r="C42" i="65"/>
  <c r="C40" i="65"/>
  <c r="C73" i="65"/>
  <c r="E73" i="65" s="1"/>
  <c r="E72" i="65"/>
  <c r="E70" i="65"/>
  <c r="H65" i="65"/>
  <c r="E61" i="65"/>
  <c r="H57" i="65"/>
  <c r="E57" i="65"/>
  <c r="Q50" i="65"/>
  <c r="E48" i="65"/>
  <c r="AD47" i="65"/>
  <c r="AC47" i="65"/>
  <c r="Y47" i="65"/>
  <c r="X47" i="65"/>
  <c r="W47" i="65"/>
  <c r="S47" i="65"/>
  <c r="R47" i="65"/>
  <c r="P47" i="65"/>
  <c r="L47" i="65"/>
  <c r="J47" i="65"/>
  <c r="H47" i="65"/>
  <c r="AL46" i="65"/>
  <c r="AK46" i="65"/>
  <c r="AK26" i="65" s="1"/>
  <c r="AJ46" i="65"/>
  <c r="AG46" i="65"/>
  <c r="AF46" i="65"/>
  <c r="AE46" i="65"/>
  <c r="AE26" i="65" s="1"/>
  <c r="AD46" i="65"/>
  <c r="Z46" i="65"/>
  <c r="Y46" i="65"/>
  <c r="X46" i="65"/>
  <c r="W46" i="65"/>
  <c r="V46" i="65"/>
  <c r="S46" i="65"/>
  <c r="R46" i="65"/>
  <c r="Q46" i="65"/>
  <c r="O46" i="65"/>
  <c r="L46" i="65"/>
  <c r="J46" i="65"/>
  <c r="H46" i="65"/>
  <c r="C46" i="65"/>
  <c r="AC45" i="65"/>
  <c r="Y45" i="65"/>
  <c r="X45" i="65"/>
  <c r="W45" i="65"/>
  <c r="V45" i="65"/>
  <c r="R45" i="65"/>
  <c r="Q45" i="65"/>
  <c r="P45" i="65"/>
  <c r="O45" i="65"/>
  <c r="L45" i="65"/>
  <c r="K45" i="65"/>
  <c r="I45" i="65"/>
  <c r="Q44" i="65"/>
  <c r="AG43" i="65"/>
  <c r="AG26" i="65" s="1"/>
  <c r="AE43" i="65"/>
  <c r="AD43" i="65"/>
  <c r="Z43" i="65"/>
  <c r="Y43" i="65"/>
  <c r="X43" i="65"/>
  <c r="W43" i="65"/>
  <c r="W26" i="65" s="1"/>
  <c r="V43" i="65"/>
  <c r="S43" i="65"/>
  <c r="R43" i="65"/>
  <c r="Q43" i="65"/>
  <c r="P43" i="65"/>
  <c r="L43" i="65"/>
  <c r="K43" i="65"/>
  <c r="J43" i="65"/>
  <c r="I43" i="65"/>
  <c r="H43" i="65"/>
  <c r="E43" i="65"/>
  <c r="W41" i="65"/>
  <c r="L39" i="65"/>
  <c r="J39" i="65"/>
  <c r="H39" i="65"/>
  <c r="H26" i="65" s="1"/>
  <c r="E39" i="65"/>
  <c r="P31" i="65"/>
  <c r="P30" i="65"/>
  <c r="BD26" i="65"/>
  <c r="BC26" i="65"/>
  <c r="BB26" i="65"/>
  <c r="BA26" i="65"/>
  <c r="AZ26" i="65"/>
  <c r="AY26" i="65"/>
  <c r="AX26" i="65"/>
  <c r="AW26" i="65"/>
  <c r="AV26" i="65"/>
  <c r="AU26" i="65"/>
  <c r="AT26" i="65"/>
  <c r="AS26" i="65"/>
  <c r="AR26" i="65"/>
  <c r="AQ26" i="65"/>
  <c r="AP26" i="65"/>
  <c r="AO26" i="65"/>
  <c r="AN26" i="65"/>
  <c r="AM26" i="65"/>
  <c r="AL26" i="65"/>
  <c r="AJ26" i="65"/>
  <c r="AI26" i="65"/>
  <c r="AH26" i="65"/>
  <c r="AF26" i="65"/>
  <c r="AD26" i="65"/>
  <c r="AC26" i="65"/>
  <c r="AB26" i="65"/>
  <c r="AA26" i="65"/>
  <c r="Y26" i="65"/>
  <c r="U26" i="65"/>
  <c r="T26" i="65"/>
  <c r="S26" i="65"/>
  <c r="O26" i="65"/>
  <c r="N26" i="65"/>
  <c r="M26" i="65"/>
  <c r="K26" i="65"/>
  <c r="I26" i="65"/>
  <c r="G26" i="65"/>
  <c r="F26" i="65"/>
  <c r="C26" i="65"/>
  <c r="C11" i="65" s="1"/>
  <c r="AX24" i="65"/>
  <c r="E23" i="65"/>
  <c r="BD16" i="65"/>
  <c r="BC16" i="65"/>
  <c r="BB16" i="65"/>
  <c r="BA16" i="65"/>
  <c r="AZ16" i="65"/>
  <c r="AY16" i="65"/>
  <c r="AX16" i="65"/>
  <c r="AW16" i="65"/>
  <c r="AV16" i="65"/>
  <c r="AU16" i="65"/>
  <c r="AT16" i="65"/>
  <c r="AS16" i="65"/>
  <c r="AR16" i="65"/>
  <c r="AQ16" i="65"/>
  <c r="AP16" i="65"/>
  <c r="AO16" i="65"/>
  <c r="AN16" i="65"/>
  <c r="AM16" i="65"/>
  <c r="AL16" i="65"/>
  <c r="AK16" i="65"/>
  <c r="AJ16" i="65"/>
  <c r="AI16" i="65"/>
  <c r="AH16" i="65"/>
  <c r="AG16" i="65"/>
  <c r="AF16" i="65"/>
  <c r="AE16" i="65"/>
  <c r="AD16" i="65"/>
  <c r="AC16" i="65"/>
  <c r="AB16" i="65"/>
  <c r="AA16" i="65"/>
  <c r="Z16" i="65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H16" i="65"/>
  <c r="G16" i="65"/>
  <c r="F16" i="65"/>
  <c r="E16" i="65"/>
  <c r="C16" i="65"/>
  <c r="C10" i="65"/>
  <c r="C5" i="65"/>
  <c r="C8" i="66" l="1"/>
  <c r="F76" i="66"/>
  <c r="G76" i="66" s="1"/>
  <c r="H76" i="66" s="1"/>
  <c r="I76" i="66" s="1"/>
  <c r="J76" i="66" s="1"/>
  <c r="K76" i="66" s="1"/>
  <c r="L76" i="66" s="1"/>
  <c r="M76" i="66" s="1"/>
  <c r="N76" i="66" s="1"/>
  <c r="O76" i="66" s="1"/>
  <c r="P76" i="66" s="1"/>
  <c r="Q76" i="66" s="1"/>
  <c r="R76" i="66" s="1"/>
  <c r="S76" i="66" s="1"/>
  <c r="T76" i="66" s="1"/>
  <c r="U76" i="66" s="1"/>
  <c r="V76" i="66" s="1"/>
  <c r="W76" i="66" s="1"/>
  <c r="X76" i="66" s="1"/>
  <c r="Y76" i="66" s="1"/>
  <c r="Z76" i="66" s="1"/>
  <c r="AA76" i="66" s="1"/>
  <c r="AB76" i="66" s="1"/>
  <c r="AC76" i="66" s="1"/>
  <c r="AD76" i="66" s="1"/>
  <c r="AE76" i="66" s="1"/>
  <c r="AF76" i="66" s="1"/>
  <c r="AG76" i="66" s="1"/>
  <c r="AH76" i="66" s="1"/>
  <c r="AI76" i="66" s="1"/>
  <c r="AJ76" i="66" s="1"/>
  <c r="AK76" i="66" s="1"/>
  <c r="AL76" i="66" s="1"/>
  <c r="AM76" i="66" s="1"/>
  <c r="AN76" i="66" s="1"/>
  <c r="AO76" i="66" s="1"/>
  <c r="AP76" i="66" s="1"/>
  <c r="AQ76" i="66" s="1"/>
  <c r="AR76" i="66" s="1"/>
  <c r="AS76" i="66" s="1"/>
  <c r="AT76" i="66" s="1"/>
  <c r="AU76" i="66" s="1"/>
  <c r="AV76" i="66" s="1"/>
  <c r="AW76" i="66" s="1"/>
  <c r="AX76" i="66" s="1"/>
  <c r="AY76" i="66" s="1"/>
  <c r="AZ76" i="66" s="1"/>
  <c r="C9" i="66"/>
  <c r="L26" i="65"/>
  <c r="Q26" i="65"/>
  <c r="E26" i="65"/>
  <c r="E76" i="65" s="1"/>
  <c r="F76" i="65" s="1"/>
  <c r="G76" i="65" s="1"/>
  <c r="H76" i="65" s="1"/>
  <c r="I76" i="65" s="1"/>
  <c r="J26" i="65"/>
  <c r="P26" i="65"/>
  <c r="R26" i="65"/>
  <c r="V26" i="65"/>
  <c r="X26" i="65"/>
  <c r="Z26" i="65"/>
  <c r="C7" i="65"/>
  <c r="E23" i="64"/>
  <c r="C45" i="64"/>
  <c r="J76" i="65" l="1"/>
  <c r="K76" i="65" s="1"/>
  <c r="L76" i="65" s="1"/>
  <c r="M76" i="65" s="1"/>
  <c r="N76" i="65" s="1"/>
  <c r="O76" i="65" s="1"/>
  <c r="C8" i="65"/>
  <c r="P76" i="65"/>
  <c r="Q76" i="65" s="1"/>
  <c r="R76" i="65" s="1"/>
  <c r="S76" i="65" s="1"/>
  <c r="T76" i="65" s="1"/>
  <c r="U76" i="65" s="1"/>
  <c r="V76" i="65" s="1"/>
  <c r="W76" i="65" s="1"/>
  <c r="X76" i="65" s="1"/>
  <c r="Y76" i="65" s="1"/>
  <c r="Z76" i="65" s="1"/>
  <c r="AA76" i="65" s="1"/>
  <c r="AB76" i="65" s="1"/>
  <c r="AC76" i="65" s="1"/>
  <c r="AD76" i="65" s="1"/>
  <c r="AE76" i="65" s="1"/>
  <c r="AF76" i="65" s="1"/>
  <c r="AG76" i="65" s="1"/>
  <c r="AH76" i="65" s="1"/>
  <c r="AI76" i="65" s="1"/>
  <c r="AJ76" i="65" s="1"/>
  <c r="AK76" i="65" s="1"/>
  <c r="AL76" i="65" s="1"/>
  <c r="AM76" i="65" s="1"/>
  <c r="AN76" i="65" s="1"/>
  <c r="AO76" i="65" s="1"/>
  <c r="AP76" i="65" s="1"/>
  <c r="AQ76" i="65" s="1"/>
  <c r="AR76" i="65" s="1"/>
  <c r="AS76" i="65" s="1"/>
  <c r="AT76" i="65" s="1"/>
  <c r="AU76" i="65" s="1"/>
  <c r="AV76" i="65" s="1"/>
  <c r="AW76" i="65" s="1"/>
  <c r="AX76" i="65" s="1"/>
  <c r="AY76" i="65" s="1"/>
  <c r="AZ76" i="65" s="1"/>
  <c r="BA76" i="65" s="1"/>
  <c r="BB76" i="65" s="1"/>
  <c r="BC76" i="65" s="1"/>
  <c r="BD76" i="65" s="1"/>
  <c r="C9" i="65"/>
  <c r="C43" i="64"/>
  <c r="C73" i="64"/>
  <c r="E73" i="64" s="1"/>
  <c r="E72" i="64"/>
  <c r="E70" i="64"/>
  <c r="I65" i="64"/>
  <c r="E65" i="64"/>
  <c r="F61" i="64"/>
  <c r="E61" i="64"/>
  <c r="I57" i="64"/>
  <c r="F57" i="64"/>
  <c r="E57" i="64"/>
  <c r="C56" i="64"/>
  <c r="C51" i="64"/>
  <c r="R50" i="64"/>
  <c r="F48" i="64"/>
  <c r="AE47" i="64"/>
  <c r="AD47" i="64"/>
  <c r="Z47" i="64"/>
  <c r="Y47" i="64"/>
  <c r="X47" i="64"/>
  <c r="T47" i="64"/>
  <c r="S47" i="64"/>
  <c r="Q47" i="64"/>
  <c r="M47" i="64"/>
  <c r="K47" i="64"/>
  <c r="F47" i="64"/>
  <c r="E47" i="64"/>
  <c r="AM46" i="64"/>
  <c r="AL46" i="64"/>
  <c r="AK46" i="64"/>
  <c r="AH46" i="64"/>
  <c r="AG46" i="64"/>
  <c r="AF46" i="64"/>
  <c r="AE46" i="64"/>
  <c r="AA46" i="64"/>
  <c r="Z46" i="64"/>
  <c r="Y46" i="64"/>
  <c r="X46" i="64"/>
  <c r="W46" i="64"/>
  <c r="T46" i="64"/>
  <c r="S46" i="64"/>
  <c r="R46" i="64"/>
  <c r="P46" i="64"/>
  <c r="M46" i="64"/>
  <c r="K46" i="64"/>
  <c r="I46" i="64"/>
  <c r="E46" i="64"/>
  <c r="C46" i="64"/>
  <c r="AD45" i="64"/>
  <c r="Z45" i="64"/>
  <c r="Z26" i="64" s="1"/>
  <c r="Y45" i="64"/>
  <c r="X45" i="64"/>
  <c r="W45" i="64"/>
  <c r="S45" i="64"/>
  <c r="R45" i="64"/>
  <c r="Q45" i="64"/>
  <c r="P45" i="64"/>
  <c r="M45" i="64"/>
  <c r="L45" i="64"/>
  <c r="L26" i="64" s="1"/>
  <c r="J45" i="64"/>
  <c r="E45" i="64"/>
  <c r="R44" i="64"/>
  <c r="AH43" i="64"/>
  <c r="AF43" i="64"/>
  <c r="AF26" i="64" s="1"/>
  <c r="AE43" i="64"/>
  <c r="AA43" i="64"/>
  <c r="Z43" i="64"/>
  <c r="Y43" i="64"/>
  <c r="X43" i="64"/>
  <c r="W43" i="64"/>
  <c r="T43" i="64"/>
  <c r="S43" i="64"/>
  <c r="R43" i="64"/>
  <c r="Q43" i="64"/>
  <c r="M43" i="64"/>
  <c r="L43" i="64"/>
  <c r="K43" i="64"/>
  <c r="J43" i="64"/>
  <c r="J26" i="64" s="1"/>
  <c r="I43" i="64"/>
  <c r="F43" i="64"/>
  <c r="E43" i="64"/>
  <c r="I42" i="64"/>
  <c r="I26" i="64" s="1"/>
  <c r="E42" i="64"/>
  <c r="C42" i="64"/>
  <c r="X41" i="64"/>
  <c r="C40" i="64"/>
  <c r="C26" i="64" s="1"/>
  <c r="M39" i="64"/>
  <c r="K39" i="64"/>
  <c r="I39" i="64"/>
  <c r="F39" i="64"/>
  <c r="E34" i="64"/>
  <c r="Q31" i="64"/>
  <c r="Q30" i="64"/>
  <c r="BE26" i="64"/>
  <c r="BD26" i="64"/>
  <c r="BC26" i="64"/>
  <c r="BB26" i="64"/>
  <c r="BA26" i="64"/>
  <c r="AZ26" i="64"/>
  <c r="AY26" i="64"/>
  <c r="AX26" i="64"/>
  <c r="AW26" i="64"/>
  <c r="AV26" i="64"/>
  <c r="AU26" i="64"/>
  <c r="AT26" i="64"/>
  <c r="AS26" i="64"/>
  <c r="AR26" i="64"/>
  <c r="AQ26" i="64"/>
  <c r="AP26" i="64"/>
  <c r="AO26" i="64"/>
  <c r="AN26" i="64"/>
  <c r="AM26" i="64"/>
  <c r="AL26" i="64"/>
  <c r="AK26" i="64"/>
  <c r="AJ26" i="64"/>
  <c r="AI26" i="64"/>
  <c r="AH26" i="64"/>
  <c r="AG26" i="64"/>
  <c r="AD26" i="64"/>
  <c r="AC26" i="64"/>
  <c r="AB26" i="64"/>
  <c r="X26" i="64"/>
  <c r="V26" i="64"/>
  <c r="U26" i="64"/>
  <c r="P26" i="64"/>
  <c r="O26" i="64"/>
  <c r="N26" i="64"/>
  <c r="H26" i="64"/>
  <c r="G26" i="64"/>
  <c r="F26" i="64"/>
  <c r="AY24" i="64"/>
  <c r="E16" i="64"/>
  <c r="BE16" i="64"/>
  <c r="BD16" i="64"/>
  <c r="BC16" i="64"/>
  <c r="BB16" i="64"/>
  <c r="BA16" i="64"/>
  <c r="AZ16" i="64"/>
  <c r="AY16" i="64"/>
  <c r="AX16" i="64"/>
  <c r="AW16" i="64"/>
  <c r="AV16" i="64"/>
  <c r="AU16" i="64"/>
  <c r="AT16" i="64"/>
  <c r="AS16" i="64"/>
  <c r="AR16" i="64"/>
  <c r="AQ16" i="64"/>
  <c r="AP16" i="64"/>
  <c r="AO16" i="64"/>
  <c r="AN16" i="64"/>
  <c r="AM16" i="64"/>
  <c r="AL16" i="64"/>
  <c r="AK16" i="64"/>
  <c r="AJ16" i="64"/>
  <c r="AI16" i="64"/>
  <c r="AH16" i="64"/>
  <c r="AG16" i="64"/>
  <c r="AF16" i="64"/>
  <c r="AE16" i="64"/>
  <c r="AD16" i="64"/>
  <c r="AC16" i="64"/>
  <c r="AB16" i="64"/>
  <c r="AA16" i="64"/>
  <c r="Z16" i="64"/>
  <c r="Y16" i="64"/>
  <c r="X16" i="64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H16" i="64"/>
  <c r="G16" i="64"/>
  <c r="F16" i="64"/>
  <c r="C16" i="64"/>
  <c r="C5" i="64"/>
  <c r="Y41" i="63"/>
  <c r="F23" i="63"/>
  <c r="K26" i="64" l="1"/>
  <c r="R26" i="64"/>
  <c r="T26" i="64"/>
  <c r="C7" i="64"/>
  <c r="C10" i="64"/>
  <c r="Q26" i="64"/>
  <c r="E26" i="64"/>
  <c r="M26" i="64"/>
  <c r="AE26" i="64"/>
  <c r="W26" i="64"/>
  <c r="Y26" i="64"/>
  <c r="S26" i="64"/>
  <c r="AA26" i="64"/>
  <c r="C11" i="64"/>
  <c r="C51" i="63"/>
  <c r="C46" i="63"/>
  <c r="C43" i="63"/>
  <c r="C42" i="63"/>
  <c r="C73" i="63"/>
  <c r="F73" i="63" s="1"/>
  <c r="F72" i="63"/>
  <c r="F70" i="63"/>
  <c r="J65" i="63"/>
  <c r="F65" i="63"/>
  <c r="G61" i="63"/>
  <c r="F61" i="63"/>
  <c r="J57" i="63"/>
  <c r="G57" i="63"/>
  <c r="F57" i="63"/>
  <c r="C56" i="63"/>
  <c r="S50" i="63"/>
  <c r="G48" i="63"/>
  <c r="AF47" i="63"/>
  <c r="AE47" i="63"/>
  <c r="AA47" i="63"/>
  <c r="Z47" i="63"/>
  <c r="Y47" i="63"/>
  <c r="U47" i="63"/>
  <c r="T47" i="63"/>
  <c r="R47" i="63"/>
  <c r="N47" i="63"/>
  <c r="L47" i="63"/>
  <c r="G47" i="63"/>
  <c r="F47" i="63"/>
  <c r="E47" i="63"/>
  <c r="AN46" i="63"/>
  <c r="AM46" i="63"/>
  <c r="AM26" i="63" s="1"/>
  <c r="AL46" i="63"/>
  <c r="AI46" i="63"/>
  <c r="AI26" i="63" s="1"/>
  <c r="AH46" i="63"/>
  <c r="AG46" i="63"/>
  <c r="AF46" i="63"/>
  <c r="AB46" i="63"/>
  <c r="AA46" i="63"/>
  <c r="Z46" i="63"/>
  <c r="Y46" i="63"/>
  <c r="X46" i="63"/>
  <c r="U46" i="63"/>
  <c r="T46" i="63"/>
  <c r="S46" i="63"/>
  <c r="Q46" i="63"/>
  <c r="Q26" i="63" s="1"/>
  <c r="N46" i="63"/>
  <c r="L46" i="63"/>
  <c r="J46" i="63"/>
  <c r="F46" i="63"/>
  <c r="AE45" i="63"/>
  <c r="AA45" i="63"/>
  <c r="AA26" i="63" s="1"/>
  <c r="Z45" i="63"/>
  <c r="Y45" i="63"/>
  <c r="X45" i="63"/>
  <c r="T45" i="63"/>
  <c r="S45" i="63"/>
  <c r="R45" i="63"/>
  <c r="Q45" i="63"/>
  <c r="N45" i="63"/>
  <c r="M45" i="63"/>
  <c r="K45" i="63"/>
  <c r="F45" i="63"/>
  <c r="E45" i="63"/>
  <c r="C45" i="63"/>
  <c r="S44" i="63"/>
  <c r="AI43" i="63"/>
  <c r="AG43" i="63"/>
  <c r="AG26" i="63" s="1"/>
  <c r="AF43" i="63"/>
  <c r="AB43" i="63"/>
  <c r="AA43" i="63"/>
  <c r="Z43" i="63"/>
  <c r="Y43" i="63"/>
  <c r="X43" i="63"/>
  <c r="U43" i="63"/>
  <c r="T43" i="63"/>
  <c r="S43" i="63"/>
  <c r="R43" i="63"/>
  <c r="N43" i="63"/>
  <c r="M43" i="63"/>
  <c r="L43" i="63"/>
  <c r="K43" i="63"/>
  <c r="K26" i="63" s="1"/>
  <c r="J43" i="63"/>
  <c r="G43" i="63"/>
  <c r="F43" i="63"/>
  <c r="J42" i="63"/>
  <c r="F42" i="63"/>
  <c r="C40" i="63"/>
  <c r="N39" i="63"/>
  <c r="N26" i="63" s="1"/>
  <c r="L39" i="63"/>
  <c r="J39" i="63"/>
  <c r="J26" i="63" s="1"/>
  <c r="G39" i="63"/>
  <c r="E36" i="63"/>
  <c r="E26" i="63" s="1"/>
  <c r="F34" i="63"/>
  <c r="R31" i="63"/>
  <c r="R30" i="63"/>
  <c r="BF26" i="63"/>
  <c r="BE26" i="63"/>
  <c r="BD26" i="63"/>
  <c r="BC26" i="63"/>
  <c r="BB26" i="63"/>
  <c r="BA26" i="63"/>
  <c r="AZ26" i="63"/>
  <c r="AY26" i="63"/>
  <c r="AX26" i="63"/>
  <c r="AW26" i="63"/>
  <c r="AV26" i="63"/>
  <c r="AU26" i="63"/>
  <c r="AT26" i="63"/>
  <c r="AS26" i="63"/>
  <c r="AR26" i="63"/>
  <c r="AQ26" i="63"/>
  <c r="AP26" i="63"/>
  <c r="AO26" i="63"/>
  <c r="AN26" i="63"/>
  <c r="AL26" i="63"/>
  <c r="AK26" i="63"/>
  <c r="AJ26" i="63"/>
  <c r="AH26" i="63"/>
  <c r="AE26" i="63"/>
  <c r="AD26" i="63"/>
  <c r="AC26" i="63"/>
  <c r="Y26" i="63"/>
  <c r="W26" i="63"/>
  <c r="V26" i="63"/>
  <c r="U26" i="63"/>
  <c r="S26" i="63"/>
  <c r="P26" i="63"/>
  <c r="O26" i="63"/>
  <c r="M26" i="63"/>
  <c r="I26" i="63"/>
  <c r="H26" i="63"/>
  <c r="C26" i="63"/>
  <c r="C11" i="63" s="1"/>
  <c r="AZ24" i="63"/>
  <c r="F16" i="63"/>
  <c r="BF16" i="63"/>
  <c r="BE16" i="63"/>
  <c r="BD16" i="63"/>
  <c r="BC16" i="63"/>
  <c r="BB16" i="63"/>
  <c r="BA16" i="63"/>
  <c r="AZ16" i="63"/>
  <c r="AY16" i="63"/>
  <c r="AX16" i="63"/>
  <c r="AW16" i="63"/>
  <c r="AV16" i="63"/>
  <c r="AU16" i="63"/>
  <c r="AT16" i="63"/>
  <c r="AS16" i="63"/>
  <c r="AR16" i="63"/>
  <c r="AQ16" i="63"/>
  <c r="AP16" i="63"/>
  <c r="AO16" i="63"/>
  <c r="AN16" i="63"/>
  <c r="AM16" i="63"/>
  <c r="AL16" i="63"/>
  <c r="AK16" i="63"/>
  <c r="AJ16" i="63"/>
  <c r="AI16" i="63"/>
  <c r="AH16" i="63"/>
  <c r="AG16" i="63"/>
  <c r="AF16" i="63"/>
  <c r="AE16" i="63"/>
  <c r="AD16" i="63"/>
  <c r="AC16" i="63"/>
  <c r="AB16" i="63"/>
  <c r="AA16" i="63"/>
  <c r="Z16" i="63"/>
  <c r="Y16" i="63"/>
  <c r="X16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H16" i="63"/>
  <c r="G16" i="63"/>
  <c r="E16" i="63"/>
  <c r="C16" i="63"/>
  <c r="C10" i="63" s="1"/>
  <c r="C5" i="63"/>
  <c r="E76" i="64" l="1"/>
  <c r="F76" i="64" s="1"/>
  <c r="G76" i="64" s="1"/>
  <c r="H76" i="64" s="1"/>
  <c r="I76" i="64" s="1"/>
  <c r="J76" i="64" s="1"/>
  <c r="K76" i="64" s="1"/>
  <c r="L76" i="64" s="1"/>
  <c r="M76" i="64" s="1"/>
  <c r="N76" i="64" s="1"/>
  <c r="O76" i="64" s="1"/>
  <c r="P76" i="64" s="1"/>
  <c r="Q76" i="64" s="1"/>
  <c r="R76" i="64" s="1"/>
  <c r="S76" i="64" s="1"/>
  <c r="T76" i="64" s="1"/>
  <c r="U76" i="64" s="1"/>
  <c r="V76" i="64" s="1"/>
  <c r="W76" i="64" s="1"/>
  <c r="X76" i="64" s="1"/>
  <c r="Y76" i="64" s="1"/>
  <c r="Z76" i="64" s="1"/>
  <c r="AA76" i="64" s="1"/>
  <c r="AB76" i="64" s="1"/>
  <c r="AC76" i="64" s="1"/>
  <c r="AD76" i="64" s="1"/>
  <c r="AE76" i="64" s="1"/>
  <c r="AF76" i="64" s="1"/>
  <c r="AG76" i="64" s="1"/>
  <c r="AH76" i="64" s="1"/>
  <c r="AI76" i="64" s="1"/>
  <c r="AJ76" i="64" s="1"/>
  <c r="AK76" i="64" s="1"/>
  <c r="AL76" i="64" s="1"/>
  <c r="AM76" i="64" s="1"/>
  <c r="AN76" i="64" s="1"/>
  <c r="AO76" i="64" s="1"/>
  <c r="AP76" i="64" s="1"/>
  <c r="AQ76" i="64" s="1"/>
  <c r="AR76" i="64" s="1"/>
  <c r="AS76" i="64" s="1"/>
  <c r="AT76" i="64" s="1"/>
  <c r="AU76" i="64" s="1"/>
  <c r="AV76" i="64" s="1"/>
  <c r="AW76" i="64" s="1"/>
  <c r="AX76" i="64" s="1"/>
  <c r="AY76" i="64" s="1"/>
  <c r="AZ76" i="64" s="1"/>
  <c r="BA76" i="64" s="1"/>
  <c r="BB76" i="64" s="1"/>
  <c r="BC76" i="64" s="1"/>
  <c r="BD76" i="64" s="1"/>
  <c r="BE76" i="64" s="1"/>
  <c r="C8" i="64"/>
  <c r="C9" i="64" s="1"/>
  <c r="G26" i="63"/>
  <c r="C8" i="63" s="1"/>
  <c r="E76" i="63"/>
  <c r="T26" i="63"/>
  <c r="AB26" i="63"/>
  <c r="R26" i="63"/>
  <c r="F26" i="63"/>
  <c r="L26" i="63"/>
  <c r="AF26" i="63"/>
  <c r="X26" i="63"/>
  <c r="Z26" i="63"/>
  <c r="C7" i="63"/>
  <c r="C56" i="62"/>
  <c r="C43" i="62"/>
  <c r="C40" i="62"/>
  <c r="C73" i="62"/>
  <c r="G73" i="62" s="1"/>
  <c r="G72" i="62"/>
  <c r="G70" i="62"/>
  <c r="K65" i="62"/>
  <c r="G65" i="62"/>
  <c r="H61" i="62"/>
  <c r="G61" i="62"/>
  <c r="K57" i="62"/>
  <c r="H57" i="62"/>
  <c r="G57" i="62"/>
  <c r="E57" i="62"/>
  <c r="C51" i="62"/>
  <c r="T50" i="62"/>
  <c r="H48" i="62"/>
  <c r="AG47" i="62"/>
  <c r="AF47" i="62"/>
  <c r="AB47" i="62"/>
  <c r="AA47" i="62"/>
  <c r="Z47" i="62"/>
  <c r="Z26" i="62" s="1"/>
  <c r="V47" i="62"/>
  <c r="U47" i="62"/>
  <c r="U26" i="62" s="1"/>
  <c r="S47" i="62"/>
  <c r="O47" i="62"/>
  <c r="M47" i="62"/>
  <c r="H47" i="62"/>
  <c r="G47" i="62"/>
  <c r="F47" i="62"/>
  <c r="E47" i="62"/>
  <c r="AO46" i="62"/>
  <c r="AO26" i="62" s="1"/>
  <c r="AN46" i="62"/>
  <c r="AM46" i="62"/>
  <c r="AM26" i="62" s="1"/>
  <c r="AJ46" i="62"/>
  <c r="AI46" i="62"/>
  <c r="AI26" i="62" s="1"/>
  <c r="AH46" i="62"/>
  <c r="AG46" i="62"/>
  <c r="AC46" i="62"/>
  <c r="AB46" i="62"/>
  <c r="AA46" i="62"/>
  <c r="Z46" i="62"/>
  <c r="Y46" i="62"/>
  <c r="V46" i="62"/>
  <c r="U46" i="62"/>
  <c r="T46" i="62"/>
  <c r="R46" i="62"/>
  <c r="O46" i="62"/>
  <c r="M46" i="62"/>
  <c r="K46" i="62"/>
  <c r="G46" i="62"/>
  <c r="C46" i="62"/>
  <c r="AF45" i="62"/>
  <c r="AF26" i="62" s="1"/>
  <c r="AB45" i="62"/>
  <c r="AA45" i="62"/>
  <c r="AA26" i="62" s="1"/>
  <c r="Z45" i="62"/>
  <c r="Y45" i="62"/>
  <c r="Y26" i="62" s="1"/>
  <c r="U45" i="62"/>
  <c r="T45" i="62"/>
  <c r="S45" i="62"/>
  <c r="R45" i="62"/>
  <c r="R26" i="62" s="1"/>
  <c r="O45" i="62"/>
  <c r="N45" i="62"/>
  <c r="L45" i="62"/>
  <c r="G45" i="62"/>
  <c r="F45" i="62"/>
  <c r="C45" i="62"/>
  <c r="T44" i="62"/>
  <c r="AJ43" i="62"/>
  <c r="AJ26" i="62" s="1"/>
  <c r="AH43" i="62"/>
  <c r="AG43" i="62"/>
  <c r="AG26" i="62" s="1"/>
  <c r="AC43" i="62"/>
  <c r="AB43" i="62"/>
  <c r="AB26" i="62" s="1"/>
  <c r="AA43" i="62"/>
  <c r="Z43" i="62"/>
  <c r="Y43" i="62"/>
  <c r="V43" i="62"/>
  <c r="V26" i="62" s="1"/>
  <c r="U43" i="62"/>
  <c r="T43" i="62"/>
  <c r="S43" i="62"/>
  <c r="O43" i="62"/>
  <c r="O26" i="62" s="1"/>
  <c r="N43" i="62"/>
  <c r="M43" i="62"/>
  <c r="L43" i="62"/>
  <c r="K43" i="62"/>
  <c r="H43" i="62"/>
  <c r="G43" i="62"/>
  <c r="F43" i="62"/>
  <c r="K42" i="62"/>
  <c r="G42" i="62"/>
  <c r="E42" i="62"/>
  <c r="C42" i="62"/>
  <c r="O39" i="62"/>
  <c r="M39" i="62"/>
  <c r="M26" i="62" s="1"/>
  <c r="K39" i="62"/>
  <c r="H39" i="62"/>
  <c r="E39" i="62"/>
  <c r="F36" i="62"/>
  <c r="F26" i="62" s="1"/>
  <c r="G34" i="62"/>
  <c r="S31" i="62"/>
  <c r="S30" i="62"/>
  <c r="BG26" i="62"/>
  <c r="BF26" i="62"/>
  <c r="BE26" i="62"/>
  <c r="BD26" i="62"/>
  <c r="BC26" i="62"/>
  <c r="BB26" i="62"/>
  <c r="BA26" i="62"/>
  <c r="AZ26" i="62"/>
  <c r="AY26" i="62"/>
  <c r="AX26" i="62"/>
  <c r="AW26" i="62"/>
  <c r="AV26" i="62"/>
  <c r="AU26" i="62"/>
  <c r="AT26" i="62"/>
  <c r="AS26" i="62"/>
  <c r="AR26" i="62"/>
  <c r="AQ26" i="62"/>
  <c r="AP26" i="62"/>
  <c r="AN26" i="62"/>
  <c r="AL26" i="62"/>
  <c r="AK26" i="62"/>
  <c r="AH26" i="62"/>
  <c r="AE26" i="62"/>
  <c r="AD26" i="62"/>
  <c r="AC26" i="62"/>
  <c r="X26" i="62"/>
  <c r="W26" i="62"/>
  <c r="Q26" i="62"/>
  <c r="P26" i="62"/>
  <c r="N26" i="62"/>
  <c r="L26" i="62"/>
  <c r="J26" i="62"/>
  <c r="I26" i="62"/>
  <c r="H26" i="62"/>
  <c r="BA24" i="62"/>
  <c r="G23" i="62"/>
  <c r="BG16" i="62"/>
  <c r="BF16" i="62"/>
  <c r="BE16" i="62"/>
  <c r="BD16" i="62"/>
  <c r="BC16" i="62"/>
  <c r="BB16" i="62"/>
  <c r="BA16" i="62"/>
  <c r="AZ16" i="62"/>
  <c r="AY16" i="62"/>
  <c r="AX16" i="62"/>
  <c r="AW16" i="62"/>
  <c r="AV16" i="62"/>
  <c r="AU16" i="62"/>
  <c r="AT16" i="62"/>
  <c r="AS16" i="62"/>
  <c r="AR16" i="62"/>
  <c r="AQ16" i="62"/>
  <c r="AP16" i="62"/>
  <c r="AO16" i="62"/>
  <c r="AN16" i="62"/>
  <c r="AM16" i="62"/>
  <c r="AL16" i="62"/>
  <c r="AK16" i="62"/>
  <c r="AJ16" i="62"/>
  <c r="AI16" i="62"/>
  <c r="AH16" i="62"/>
  <c r="AG16" i="62"/>
  <c r="AF16" i="62"/>
  <c r="AE16" i="62"/>
  <c r="AD16" i="62"/>
  <c r="AC16" i="62"/>
  <c r="AB16" i="62"/>
  <c r="AA16" i="62"/>
  <c r="Z16" i="62"/>
  <c r="Y16" i="62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H16" i="62"/>
  <c r="G16" i="62"/>
  <c r="F16" i="62"/>
  <c r="E16" i="62"/>
  <c r="C16" i="62"/>
  <c r="C10" i="62"/>
  <c r="C5" i="62"/>
  <c r="F76" i="63" l="1"/>
  <c r="G76" i="63" s="1"/>
  <c r="H76" i="63" s="1"/>
  <c r="I76" i="63" s="1"/>
  <c r="J76" i="63" s="1"/>
  <c r="K76" i="63" s="1"/>
  <c r="L76" i="63" s="1"/>
  <c r="M76" i="63" s="1"/>
  <c r="N76" i="63" s="1"/>
  <c r="O76" i="63" s="1"/>
  <c r="P76" i="63" s="1"/>
  <c r="Q76" i="63" s="1"/>
  <c r="R76" i="63" s="1"/>
  <c r="S76" i="63" s="1"/>
  <c r="T76" i="63" s="1"/>
  <c r="U76" i="63" s="1"/>
  <c r="V76" i="63" s="1"/>
  <c r="W76" i="63" s="1"/>
  <c r="X76" i="63" s="1"/>
  <c r="Y76" i="63" s="1"/>
  <c r="Z76" i="63" s="1"/>
  <c r="AA76" i="63" s="1"/>
  <c r="AB76" i="63" s="1"/>
  <c r="AC76" i="63" s="1"/>
  <c r="AD76" i="63" s="1"/>
  <c r="AE76" i="63" s="1"/>
  <c r="AF76" i="63" s="1"/>
  <c r="AG76" i="63" s="1"/>
  <c r="AH76" i="63" s="1"/>
  <c r="AI76" i="63" s="1"/>
  <c r="AJ76" i="63" s="1"/>
  <c r="AK76" i="63" s="1"/>
  <c r="AL76" i="63" s="1"/>
  <c r="AM76" i="63" s="1"/>
  <c r="AN76" i="63" s="1"/>
  <c r="AO76" i="63" s="1"/>
  <c r="AP76" i="63" s="1"/>
  <c r="AQ76" i="63" s="1"/>
  <c r="AR76" i="63" s="1"/>
  <c r="AS76" i="63" s="1"/>
  <c r="AT76" i="63" s="1"/>
  <c r="AU76" i="63" s="1"/>
  <c r="AV76" i="63" s="1"/>
  <c r="AW76" i="63" s="1"/>
  <c r="AX76" i="63" s="1"/>
  <c r="AY76" i="63" s="1"/>
  <c r="AZ76" i="63" s="1"/>
  <c r="BA76" i="63" s="1"/>
  <c r="BB76" i="63" s="1"/>
  <c r="BC76" i="63" s="1"/>
  <c r="BD76" i="63" s="1"/>
  <c r="BE76" i="63" s="1"/>
  <c r="BF76" i="63" s="1"/>
  <c r="C9" i="63"/>
  <c r="T26" i="62"/>
  <c r="C26" i="62"/>
  <c r="C7" i="62"/>
  <c r="S26" i="62"/>
  <c r="G26" i="62"/>
  <c r="E26" i="62"/>
  <c r="E76" i="62" s="1"/>
  <c r="F76" i="62" s="1"/>
  <c r="K26" i="62"/>
  <c r="C11" i="62"/>
  <c r="C56" i="61"/>
  <c r="C46" i="61"/>
  <c r="C73" i="61"/>
  <c r="H73" i="61" s="1"/>
  <c r="H72" i="61"/>
  <c r="H70" i="61"/>
  <c r="L65" i="61"/>
  <c r="H65" i="61"/>
  <c r="I61" i="61"/>
  <c r="H61" i="61"/>
  <c r="L57" i="61"/>
  <c r="I57" i="61"/>
  <c r="H57" i="61"/>
  <c r="F57" i="61"/>
  <c r="C51" i="61"/>
  <c r="U50" i="61"/>
  <c r="E50" i="61"/>
  <c r="I48" i="61"/>
  <c r="AH47" i="61"/>
  <c r="AH26" i="61" s="1"/>
  <c r="AG47" i="61"/>
  <c r="AC47" i="61"/>
  <c r="AB47" i="61"/>
  <c r="AA47" i="61"/>
  <c r="W47" i="61"/>
  <c r="V47" i="61"/>
  <c r="T47" i="61"/>
  <c r="P47" i="61"/>
  <c r="N47" i="61"/>
  <c r="I47" i="61"/>
  <c r="H47" i="61"/>
  <c r="G47" i="61"/>
  <c r="F47" i="61"/>
  <c r="AP46" i="61"/>
  <c r="AO46" i="61"/>
  <c r="AN46" i="61"/>
  <c r="AK46" i="61"/>
  <c r="AJ46" i="61"/>
  <c r="AI46" i="61"/>
  <c r="AH46" i="61"/>
  <c r="AD46" i="61"/>
  <c r="AD26" i="61" s="1"/>
  <c r="AC46" i="61"/>
  <c r="AB46" i="61"/>
  <c r="AA46" i="61"/>
  <c r="Z46" i="61"/>
  <c r="W46" i="61"/>
  <c r="V46" i="61"/>
  <c r="U46" i="61"/>
  <c r="S46" i="61"/>
  <c r="P46" i="61"/>
  <c r="N46" i="61"/>
  <c r="L46" i="61"/>
  <c r="H46" i="61"/>
  <c r="F46" i="61"/>
  <c r="AG45" i="61"/>
  <c r="AG26" i="61" s="1"/>
  <c r="AC45" i="61"/>
  <c r="AB45" i="61"/>
  <c r="AB26" i="61" s="1"/>
  <c r="AA45" i="61"/>
  <c r="Z45" i="61"/>
  <c r="V45" i="61"/>
  <c r="U45" i="61"/>
  <c r="T45" i="61"/>
  <c r="S45" i="61"/>
  <c r="S26" i="61" s="1"/>
  <c r="P45" i="61"/>
  <c r="P26" i="61" s="1"/>
  <c r="O45" i="61"/>
  <c r="M45" i="61"/>
  <c r="H45" i="61"/>
  <c r="G45" i="61"/>
  <c r="C45" i="61"/>
  <c r="U44" i="61"/>
  <c r="AK43" i="61"/>
  <c r="AI43" i="61"/>
  <c r="AH43" i="61"/>
  <c r="AD43" i="61"/>
  <c r="AC43" i="61"/>
  <c r="AB43" i="61"/>
  <c r="AA43" i="61"/>
  <c r="Z43" i="61"/>
  <c r="W43" i="61"/>
  <c r="V43" i="61"/>
  <c r="U43" i="61"/>
  <c r="T43" i="61"/>
  <c r="P43" i="61"/>
  <c r="O43" i="61"/>
  <c r="N43" i="61"/>
  <c r="M43" i="61"/>
  <c r="M26" i="61" s="1"/>
  <c r="L43" i="61"/>
  <c r="I43" i="61"/>
  <c r="H43" i="61"/>
  <c r="G43" i="61"/>
  <c r="F43" i="61"/>
  <c r="E43" i="61"/>
  <c r="L42" i="61"/>
  <c r="H42" i="61"/>
  <c r="F42" i="61"/>
  <c r="F26" i="61" s="1"/>
  <c r="C42" i="61"/>
  <c r="E40" i="61"/>
  <c r="P39" i="61"/>
  <c r="N39" i="61"/>
  <c r="N26" i="61" s="1"/>
  <c r="L39" i="61"/>
  <c r="I39" i="61"/>
  <c r="F39" i="61"/>
  <c r="G36" i="61"/>
  <c r="E36" i="61"/>
  <c r="H34" i="61"/>
  <c r="T31" i="61"/>
  <c r="T30" i="61"/>
  <c r="BH26" i="61"/>
  <c r="BG26" i="61"/>
  <c r="BF26" i="61"/>
  <c r="BE26" i="61"/>
  <c r="BD26" i="61"/>
  <c r="BC26" i="61"/>
  <c r="BB26" i="61"/>
  <c r="BA26" i="61"/>
  <c r="AZ26" i="61"/>
  <c r="AY26" i="61"/>
  <c r="AX26" i="61"/>
  <c r="AW26" i="61"/>
  <c r="AV26" i="61"/>
  <c r="AU26" i="61"/>
  <c r="AT26" i="61"/>
  <c r="AS26" i="61"/>
  <c r="AR26" i="61"/>
  <c r="AQ26" i="61"/>
  <c r="AP26" i="61"/>
  <c r="AO26" i="61"/>
  <c r="AN26" i="61"/>
  <c r="AM26" i="61"/>
  <c r="AL26" i="61"/>
  <c r="AK26" i="61"/>
  <c r="AJ26" i="61"/>
  <c r="AF26" i="61"/>
  <c r="AE26" i="61"/>
  <c r="Z26" i="61"/>
  <c r="Y26" i="61"/>
  <c r="X26" i="61"/>
  <c r="R26" i="61"/>
  <c r="Q26" i="61"/>
  <c r="K26" i="61"/>
  <c r="J26" i="61"/>
  <c r="BB24" i="61"/>
  <c r="H23" i="61"/>
  <c r="H16" i="61" s="1"/>
  <c r="BH16" i="61"/>
  <c r="BG16" i="61"/>
  <c r="BF16" i="61"/>
  <c r="BE16" i="61"/>
  <c r="BD16" i="61"/>
  <c r="BC16" i="61"/>
  <c r="BB16" i="61"/>
  <c r="BA16" i="61"/>
  <c r="AZ16" i="61"/>
  <c r="AY16" i="61"/>
  <c r="AX16" i="61"/>
  <c r="AW16" i="61"/>
  <c r="AV16" i="61"/>
  <c r="AU16" i="61"/>
  <c r="AT16" i="61"/>
  <c r="AS16" i="61"/>
  <c r="AR16" i="61"/>
  <c r="AQ16" i="61"/>
  <c r="AP16" i="61"/>
  <c r="AO16" i="61"/>
  <c r="AN16" i="61"/>
  <c r="AM16" i="61"/>
  <c r="AL16" i="61"/>
  <c r="AK16" i="61"/>
  <c r="AJ16" i="61"/>
  <c r="AI16" i="61"/>
  <c r="AH16" i="61"/>
  <c r="AG16" i="61"/>
  <c r="AF16" i="61"/>
  <c r="AE16" i="61"/>
  <c r="AD16" i="61"/>
  <c r="AC16" i="61"/>
  <c r="AB16" i="61"/>
  <c r="AA16" i="6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G16" i="61"/>
  <c r="F16" i="61"/>
  <c r="E16" i="61"/>
  <c r="C16" i="61"/>
  <c r="C10" i="61"/>
  <c r="C5" i="61"/>
  <c r="C8" i="62" l="1"/>
  <c r="G76" i="62"/>
  <c r="H76" i="62" s="1"/>
  <c r="I76" i="62" s="1"/>
  <c r="J76" i="62" s="1"/>
  <c r="K76" i="62" s="1"/>
  <c r="L76" i="62" s="1"/>
  <c r="M76" i="62" s="1"/>
  <c r="N76" i="62" s="1"/>
  <c r="O76" i="62" s="1"/>
  <c r="P76" i="62" s="1"/>
  <c r="Q76" i="62" s="1"/>
  <c r="R76" i="62" s="1"/>
  <c r="S76" i="62" s="1"/>
  <c r="T76" i="62" s="1"/>
  <c r="U76" i="62" s="1"/>
  <c r="V76" i="62" s="1"/>
  <c r="W76" i="62" s="1"/>
  <c r="X76" i="62" s="1"/>
  <c r="Y76" i="62" s="1"/>
  <c r="Z76" i="62" s="1"/>
  <c r="AA76" i="62" s="1"/>
  <c r="AB76" i="62" s="1"/>
  <c r="AC76" i="62" s="1"/>
  <c r="AD76" i="62" s="1"/>
  <c r="AE76" i="62" s="1"/>
  <c r="AF76" i="62" s="1"/>
  <c r="AG76" i="62" s="1"/>
  <c r="AH76" i="62" s="1"/>
  <c r="AI76" i="62" s="1"/>
  <c r="AJ76" i="62" s="1"/>
  <c r="AK76" i="62" s="1"/>
  <c r="AL76" i="62" s="1"/>
  <c r="AM76" i="62" s="1"/>
  <c r="AN76" i="62" s="1"/>
  <c r="AO76" i="62" s="1"/>
  <c r="AP76" i="62" s="1"/>
  <c r="AQ76" i="62" s="1"/>
  <c r="AR76" i="62" s="1"/>
  <c r="AS76" i="62" s="1"/>
  <c r="AT76" i="62" s="1"/>
  <c r="AU76" i="62" s="1"/>
  <c r="AV76" i="62" s="1"/>
  <c r="AW76" i="62" s="1"/>
  <c r="AX76" i="62" s="1"/>
  <c r="AY76" i="62" s="1"/>
  <c r="AZ76" i="62" s="1"/>
  <c r="BA76" i="62" s="1"/>
  <c r="BB76" i="62" s="1"/>
  <c r="BC76" i="62" s="1"/>
  <c r="BD76" i="62" s="1"/>
  <c r="BE76" i="62" s="1"/>
  <c r="BF76" i="62" s="1"/>
  <c r="BG76" i="62" s="1"/>
  <c r="C9" i="62"/>
  <c r="L26" i="61"/>
  <c r="T26" i="61"/>
  <c r="I26" i="61"/>
  <c r="V26" i="61"/>
  <c r="C26" i="61"/>
  <c r="C11" i="61" s="1"/>
  <c r="C7" i="61"/>
  <c r="E26" i="61"/>
  <c r="E76" i="61" s="1"/>
  <c r="G26" i="61"/>
  <c r="O26" i="61"/>
  <c r="AI26" i="61"/>
  <c r="U26" i="61"/>
  <c r="AA26" i="61"/>
  <c r="AC26" i="61"/>
  <c r="W26" i="61"/>
  <c r="H26" i="61"/>
  <c r="C43" i="60"/>
  <c r="C42" i="60"/>
  <c r="C73" i="60"/>
  <c r="L73" i="60" s="1"/>
  <c r="L72" i="60"/>
  <c r="L70" i="60"/>
  <c r="P65" i="60"/>
  <c r="I65" i="60"/>
  <c r="M61" i="60"/>
  <c r="L61" i="60"/>
  <c r="C61" i="60"/>
  <c r="P57" i="60"/>
  <c r="M57" i="60"/>
  <c r="M26" i="60" s="1"/>
  <c r="L57" i="60"/>
  <c r="J57" i="60"/>
  <c r="E57" i="60"/>
  <c r="C56" i="60"/>
  <c r="C51" i="60"/>
  <c r="Y50" i="60"/>
  <c r="I50" i="60"/>
  <c r="M48" i="60"/>
  <c r="AL47" i="60"/>
  <c r="AK47" i="60"/>
  <c r="AG47" i="60"/>
  <c r="AF47" i="60"/>
  <c r="AE47" i="60"/>
  <c r="AA47" i="60"/>
  <c r="Z47" i="60"/>
  <c r="X47" i="60"/>
  <c r="T47" i="60"/>
  <c r="R47" i="60"/>
  <c r="M47" i="60"/>
  <c r="L47" i="60"/>
  <c r="K47" i="60"/>
  <c r="J47" i="60"/>
  <c r="AT46" i="60"/>
  <c r="AS46" i="60"/>
  <c r="AR46" i="60"/>
  <c r="AO46" i="60"/>
  <c r="AN46" i="60"/>
  <c r="AM46" i="60"/>
  <c r="AL46" i="60"/>
  <c r="AH46" i="60"/>
  <c r="AG46" i="60"/>
  <c r="AF46" i="60"/>
  <c r="AE46" i="60"/>
  <c r="AD46" i="60"/>
  <c r="AA46" i="60"/>
  <c r="Z46" i="60"/>
  <c r="Y46" i="60"/>
  <c r="W46" i="60"/>
  <c r="T46" i="60"/>
  <c r="R46" i="60"/>
  <c r="P46" i="60"/>
  <c r="L46" i="60"/>
  <c r="I46" i="60"/>
  <c r="E46" i="60"/>
  <c r="C46" i="60"/>
  <c r="AK45" i="60"/>
  <c r="AG45" i="60"/>
  <c r="AG26" i="60" s="1"/>
  <c r="AF45" i="60"/>
  <c r="AE45" i="60"/>
  <c r="AD45" i="60"/>
  <c r="Z45" i="60"/>
  <c r="Y45" i="60"/>
  <c r="X45" i="60"/>
  <c r="W45" i="60"/>
  <c r="W26" i="60" s="1"/>
  <c r="T45" i="60"/>
  <c r="S45" i="60"/>
  <c r="Q45" i="60"/>
  <c r="L45" i="60"/>
  <c r="K45" i="60"/>
  <c r="C45" i="60"/>
  <c r="Y44" i="60"/>
  <c r="AO43" i="60"/>
  <c r="AM43" i="60"/>
  <c r="AM26" i="60" s="1"/>
  <c r="AL43" i="60"/>
  <c r="AH43" i="60"/>
  <c r="AG43" i="60"/>
  <c r="AF43" i="60"/>
  <c r="AE43" i="60"/>
  <c r="AD43" i="60"/>
  <c r="AA43" i="60"/>
  <c r="Z43" i="60"/>
  <c r="Y43" i="60"/>
  <c r="X43" i="60"/>
  <c r="T43" i="60"/>
  <c r="S43" i="60"/>
  <c r="R43" i="60"/>
  <c r="Q43" i="60"/>
  <c r="Q26" i="60" s="1"/>
  <c r="P43" i="60"/>
  <c r="M43" i="60"/>
  <c r="L43" i="60"/>
  <c r="K43" i="60"/>
  <c r="K26" i="60" s="1"/>
  <c r="J43" i="60"/>
  <c r="I43" i="60"/>
  <c r="E43" i="60"/>
  <c r="P42" i="60"/>
  <c r="L42" i="60"/>
  <c r="J42" i="60"/>
  <c r="M41" i="60"/>
  <c r="I41" i="60"/>
  <c r="I40" i="60"/>
  <c r="C40" i="60"/>
  <c r="T39" i="60"/>
  <c r="R39" i="60"/>
  <c r="P39" i="60"/>
  <c r="M39" i="60"/>
  <c r="J39" i="60"/>
  <c r="E39" i="60"/>
  <c r="K36" i="60"/>
  <c r="I36" i="60"/>
  <c r="I26" i="60" s="1"/>
  <c r="E36" i="60"/>
  <c r="L34" i="60"/>
  <c r="E34" i="60"/>
  <c r="X31" i="60"/>
  <c r="X30" i="60"/>
  <c r="BL26" i="60"/>
  <c r="BK26" i="60"/>
  <c r="BJ26" i="60"/>
  <c r="BI26" i="60"/>
  <c r="BH26" i="60"/>
  <c r="BG26" i="60"/>
  <c r="BF26" i="60"/>
  <c r="BE26" i="60"/>
  <c r="BD26" i="60"/>
  <c r="BC26" i="60"/>
  <c r="BB26" i="60"/>
  <c r="BA26" i="60"/>
  <c r="AZ26" i="60"/>
  <c r="AY26" i="60"/>
  <c r="AX26" i="60"/>
  <c r="AW26" i="60"/>
  <c r="AV26" i="60"/>
  <c r="AU26" i="60"/>
  <c r="AT26" i="60"/>
  <c r="AS26" i="60"/>
  <c r="AR26" i="60"/>
  <c r="AQ26" i="60"/>
  <c r="AP26" i="60"/>
  <c r="AO26" i="60"/>
  <c r="AN26" i="60"/>
  <c r="AK26" i="60"/>
  <c r="AJ26" i="60"/>
  <c r="AI26" i="60"/>
  <c r="AE26" i="60"/>
  <c r="AC26" i="60"/>
  <c r="AB26" i="60"/>
  <c r="Y26" i="60"/>
  <c r="V26" i="60"/>
  <c r="U26" i="60"/>
  <c r="S26" i="60"/>
  <c r="O26" i="60"/>
  <c r="N26" i="60"/>
  <c r="H26" i="60"/>
  <c r="G26" i="60"/>
  <c r="F26" i="60"/>
  <c r="E26" i="60"/>
  <c r="BF24" i="60"/>
  <c r="L23" i="60"/>
  <c r="L16" i="60" s="1"/>
  <c r="BL16" i="60"/>
  <c r="BK16" i="60"/>
  <c r="BJ16" i="60"/>
  <c r="BI16" i="60"/>
  <c r="BH16" i="60"/>
  <c r="BG16" i="60"/>
  <c r="BF16" i="60"/>
  <c r="BE16" i="60"/>
  <c r="BD16" i="60"/>
  <c r="BC16" i="60"/>
  <c r="BB16" i="60"/>
  <c r="BA16" i="60"/>
  <c r="AZ16" i="60"/>
  <c r="AY16" i="60"/>
  <c r="AX16" i="60"/>
  <c r="AW16" i="60"/>
  <c r="AV16" i="60"/>
  <c r="AU16" i="60"/>
  <c r="AT16" i="60"/>
  <c r="AS16" i="60"/>
  <c r="AR16" i="60"/>
  <c r="AQ16" i="60"/>
  <c r="AP16" i="60"/>
  <c r="AO16" i="60"/>
  <c r="AN16" i="60"/>
  <c r="AM16" i="60"/>
  <c r="AL16" i="60"/>
  <c r="AK16" i="60"/>
  <c r="AJ16" i="60"/>
  <c r="AI16" i="60"/>
  <c r="AH16" i="60"/>
  <c r="AG16" i="60"/>
  <c r="AF16" i="60"/>
  <c r="AE16" i="60"/>
  <c r="AD16" i="60"/>
  <c r="AC16" i="60"/>
  <c r="AB16" i="60"/>
  <c r="AA16" i="60"/>
  <c r="Z16" i="60"/>
  <c r="Y16" i="60"/>
  <c r="X16" i="60"/>
  <c r="W16" i="60"/>
  <c r="V16" i="60"/>
  <c r="U16" i="60"/>
  <c r="T16" i="60"/>
  <c r="S16" i="60"/>
  <c r="R16" i="60"/>
  <c r="Q16" i="60"/>
  <c r="P16" i="60"/>
  <c r="O16" i="60"/>
  <c r="N16" i="60"/>
  <c r="M16" i="60"/>
  <c r="K16" i="60"/>
  <c r="J16" i="60"/>
  <c r="I16" i="60"/>
  <c r="H16" i="60"/>
  <c r="G16" i="60"/>
  <c r="F16" i="60"/>
  <c r="E16" i="60"/>
  <c r="C16" i="60"/>
  <c r="C10" i="60"/>
  <c r="C5" i="60"/>
  <c r="C8" i="61" l="1"/>
  <c r="C9" i="61" s="1"/>
  <c r="F76" i="61"/>
  <c r="G76" i="61" s="1"/>
  <c r="H76" i="61" s="1"/>
  <c r="I76" i="61" s="1"/>
  <c r="J76" i="61" s="1"/>
  <c r="K76" i="61" s="1"/>
  <c r="L76" i="61" s="1"/>
  <c r="M76" i="61" s="1"/>
  <c r="N76" i="61" s="1"/>
  <c r="O76" i="61" s="1"/>
  <c r="P76" i="61" s="1"/>
  <c r="Q76" i="61" s="1"/>
  <c r="R76" i="61" s="1"/>
  <c r="S76" i="61" s="1"/>
  <c r="T76" i="61" s="1"/>
  <c r="U76" i="61" s="1"/>
  <c r="V76" i="61" s="1"/>
  <c r="W76" i="61" s="1"/>
  <c r="X76" i="61" s="1"/>
  <c r="Y76" i="61" s="1"/>
  <c r="Z76" i="61" s="1"/>
  <c r="AA76" i="61" s="1"/>
  <c r="AB76" i="61" s="1"/>
  <c r="AC76" i="61" s="1"/>
  <c r="AD76" i="61" s="1"/>
  <c r="AE76" i="61" s="1"/>
  <c r="AF76" i="61" s="1"/>
  <c r="AG76" i="61" s="1"/>
  <c r="AH76" i="61" s="1"/>
  <c r="AI76" i="61" s="1"/>
  <c r="AJ76" i="61" s="1"/>
  <c r="AK76" i="61" s="1"/>
  <c r="AL76" i="61" s="1"/>
  <c r="AM76" i="61" s="1"/>
  <c r="AN76" i="61" s="1"/>
  <c r="AO76" i="61" s="1"/>
  <c r="AP76" i="61" s="1"/>
  <c r="AQ76" i="61" s="1"/>
  <c r="AR76" i="61" s="1"/>
  <c r="AS76" i="61" s="1"/>
  <c r="AT76" i="61" s="1"/>
  <c r="AU76" i="61" s="1"/>
  <c r="AV76" i="61" s="1"/>
  <c r="AW76" i="61" s="1"/>
  <c r="AX76" i="61" s="1"/>
  <c r="AY76" i="61" s="1"/>
  <c r="AZ76" i="61" s="1"/>
  <c r="BA76" i="61" s="1"/>
  <c r="BB76" i="61" s="1"/>
  <c r="BC76" i="61" s="1"/>
  <c r="BD76" i="61" s="1"/>
  <c r="BE76" i="61" s="1"/>
  <c r="BF76" i="61" s="1"/>
  <c r="BG76" i="61" s="1"/>
  <c r="BH76" i="61" s="1"/>
  <c r="R26" i="60"/>
  <c r="C26" i="60"/>
  <c r="C11" i="60" s="1"/>
  <c r="AA26" i="60"/>
  <c r="E76" i="60"/>
  <c r="F76" i="60" s="1"/>
  <c r="G76" i="60" s="1"/>
  <c r="H76" i="60" s="1"/>
  <c r="I76" i="60" s="1"/>
  <c r="C7" i="60"/>
  <c r="X26" i="60"/>
  <c r="J26" i="60"/>
  <c r="P26" i="60"/>
  <c r="L26" i="60"/>
  <c r="T26" i="60"/>
  <c r="AL26" i="60"/>
  <c r="AD26" i="60"/>
  <c r="AF26" i="60"/>
  <c r="Z26" i="60"/>
  <c r="AH26" i="60"/>
  <c r="E26" i="59"/>
  <c r="C72" i="59"/>
  <c r="M72" i="59" s="1"/>
  <c r="M71" i="59"/>
  <c r="M69" i="59"/>
  <c r="Q64" i="59"/>
  <c r="J64" i="59"/>
  <c r="N61" i="59"/>
  <c r="M61" i="59"/>
  <c r="C61" i="59"/>
  <c r="Q57" i="59"/>
  <c r="N57" i="59"/>
  <c r="M57" i="59"/>
  <c r="K57" i="59"/>
  <c r="F57" i="59"/>
  <c r="C56" i="59"/>
  <c r="C51" i="59"/>
  <c r="Z50" i="59"/>
  <c r="J50" i="59"/>
  <c r="N48" i="59"/>
  <c r="AM47" i="59"/>
  <c r="AL47" i="59"/>
  <c r="AH47" i="59"/>
  <c r="AG47" i="59"/>
  <c r="AF47" i="59"/>
  <c r="AB47" i="59"/>
  <c r="AA47" i="59"/>
  <c r="Y47" i="59"/>
  <c r="U47" i="59"/>
  <c r="S47" i="59"/>
  <c r="N47" i="59"/>
  <c r="M47" i="59"/>
  <c r="L47" i="59"/>
  <c r="K47" i="59"/>
  <c r="AU46" i="59"/>
  <c r="AU26" i="59" s="1"/>
  <c r="AT46" i="59"/>
  <c r="AT26" i="59" s="1"/>
  <c r="AS46" i="59"/>
  <c r="AS26" i="59" s="1"/>
  <c r="AP46" i="59"/>
  <c r="AO46" i="59"/>
  <c r="AO26" i="59" s="1"/>
  <c r="AN46" i="59"/>
  <c r="AN26" i="59" s="1"/>
  <c r="AM46" i="59"/>
  <c r="AI46" i="59"/>
  <c r="AH46" i="59"/>
  <c r="AG46" i="59"/>
  <c r="AF46" i="59"/>
  <c r="AE46" i="59"/>
  <c r="AB46" i="59"/>
  <c r="AA46" i="59"/>
  <c r="Z46" i="59"/>
  <c r="X46" i="59"/>
  <c r="U46" i="59"/>
  <c r="S46" i="59"/>
  <c r="Q46" i="59"/>
  <c r="M46" i="59"/>
  <c r="J46" i="59"/>
  <c r="F46" i="59"/>
  <c r="C46" i="59"/>
  <c r="AL45" i="59"/>
  <c r="AH45" i="59"/>
  <c r="AG45" i="59"/>
  <c r="AF45" i="59"/>
  <c r="AE45" i="59"/>
  <c r="AA45" i="59"/>
  <c r="Z45" i="59"/>
  <c r="Y45" i="59"/>
  <c r="X45" i="59"/>
  <c r="X26" i="59" s="1"/>
  <c r="U45" i="59"/>
  <c r="T45" i="59"/>
  <c r="R45" i="59"/>
  <c r="M45" i="59"/>
  <c r="L45" i="59"/>
  <c r="C45" i="59"/>
  <c r="Z44" i="59"/>
  <c r="AP43" i="59"/>
  <c r="AP26" i="59" s="1"/>
  <c r="AN43" i="59"/>
  <c r="AM43" i="59"/>
  <c r="AI43" i="59"/>
  <c r="AH43" i="59"/>
  <c r="AH26" i="59" s="1"/>
  <c r="AG43" i="59"/>
  <c r="AF43" i="59"/>
  <c r="AE43" i="59"/>
  <c r="AB43" i="59"/>
  <c r="AB26" i="59" s="1"/>
  <c r="AA43" i="59"/>
  <c r="Z43" i="59"/>
  <c r="Y43" i="59"/>
  <c r="U43" i="59"/>
  <c r="T43" i="59"/>
  <c r="S43" i="59"/>
  <c r="R43" i="59"/>
  <c r="R26" i="59" s="1"/>
  <c r="Q43" i="59"/>
  <c r="N43" i="59"/>
  <c r="M43" i="59"/>
  <c r="L43" i="59"/>
  <c r="K43" i="59"/>
  <c r="J43" i="59"/>
  <c r="F43" i="59"/>
  <c r="C43" i="59"/>
  <c r="Q42" i="59"/>
  <c r="M42" i="59"/>
  <c r="K42" i="59"/>
  <c r="E42" i="59"/>
  <c r="C42" i="59"/>
  <c r="N41" i="59"/>
  <c r="J41" i="59"/>
  <c r="J40" i="59"/>
  <c r="C40" i="59"/>
  <c r="U39" i="59"/>
  <c r="S39" i="59"/>
  <c r="Q39" i="59"/>
  <c r="N39" i="59"/>
  <c r="N26" i="59" s="1"/>
  <c r="K39" i="59"/>
  <c r="F39" i="59"/>
  <c r="L36" i="59"/>
  <c r="L26" i="59" s="1"/>
  <c r="J36" i="59"/>
  <c r="F36" i="59"/>
  <c r="E36" i="59"/>
  <c r="M34" i="59"/>
  <c r="F34" i="59"/>
  <c r="Y31" i="59"/>
  <c r="Y30" i="59"/>
  <c r="BM26" i="59"/>
  <c r="BL26" i="59"/>
  <c r="BK26" i="59"/>
  <c r="BJ26" i="59"/>
  <c r="BI26" i="59"/>
  <c r="BH26" i="59"/>
  <c r="BG26" i="59"/>
  <c r="BF26" i="59"/>
  <c r="BE26" i="59"/>
  <c r="BD26" i="59"/>
  <c r="BC26" i="59"/>
  <c r="BB26" i="59"/>
  <c r="BA26" i="59"/>
  <c r="AZ26" i="59"/>
  <c r="AY26" i="59"/>
  <c r="AX26" i="59"/>
  <c r="AW26" i="59"/>
  <c r="AV26" i="59"/>
  <c r="AR26" i="59"/>
  <c r="AQ26" i="59"/>
  <c r="AL26" i="59"/>
  <c r="AK26" i="59"/>
  <c r="AJ26" i="59"/>
  <c r="AD26" i="59"/>
  <c r="AC26" i="59"/>
  <c r="W26" i="59"/>
  <c r="V26" i="59"/>
  <c r="S26" i="59"/>
  <c r="P26" i="59"/>
  <c r="O26" i="59"/>
  <c r="I26" i="59"/>
  <c r="H26" i="59"/>
  <c r="G26" i="59"/>
  <c r="BG24" i="59"/>
  <c r="M23" i="59"/>
  <c r="M16" i="59" s="1"/>
  <c r="BM16" i="59"/>
  <c r="BL16" i="59"/>
  <c r="BK16" i="59"/>
  <c r="BJ16" i="59"/>
  <c r="BI16" i="59"/>
  <c r="BH16" i="59"/>
  <c r="BG16" i="59"/>
  <c r="BF16" i="59"/>
  <c r="BE16" i="59"/>
  <c r="BD16" i="59"/>
  <c r="BC16" i="59"/>
  <c r="BB16" i="59"/>
  <c r="BA16" i="59"/>
  <c r="AZ16" i="59"/>
  <c r="AY16" i="59"/>
  <c r="AX16" i="59"/>
  <c r="AW16" i="59"/>
  <c r="AV16" i="59"/>
  <c r="AU16" i="59"/>
  <c r="AT16" i="59"/>
  <c r="AS16" i="59"/>
  <c r="AR16" i="59"/>
  <c r="AQ16" i="59"/>
  <c r="AP16" i="59"/>
  <c r="AO16" i="59"/>
  <c r="AN16" i="59"/>
  <c r="AM16" i="59"/>
  <c r="AL16" i="59"/>
  <c r="AK16" i="59"/>
  <c r="AJ16" i="59"/>
  <c r="AI16" i="59"/>
  <c r="AH16" i="59"/>
  <c r="AG16" i="59"/>
  <c r="AF16" i="59"/>
  <c r="AE16" i="59"/>
  <c r="AD16" i="59"/>
  <c r="AC16" i="59"/>
  <c r="AB16" i="59"/>
  <c r="AA16" i="59"/>
  <c r="Z16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L16" i="59"/>
  <c r="K16" i="59"/>
  <c r="J16" i="59"/>
  <c r="I16" i="59"/>
  <c r="H16" i="59"/>
  <c r="G16" i="59"/>
  <c r="F16" i="59"/>
  <c r="E16" i="59"/>
  <c r="C16" i="59"/>
  <c r="C5" i="59"/>
  <c r="C8" i="60" l="1"/>
  <c r="C9" i="60" s="1"/>
  <c r="J76" i="60"/>
  <c r="K76" i="60" s="1"/>
  <c r="L76" i="60" s="1"/>
  <c r="M76" i="60" s="1"/>
  <c r="N76" i="60" s="1"/>
  <c r="O76" i="60" s="1"/>
  <c r="P76" i="60" s="1"/>
  <c r="Q76" i="60" s="1"/>
  <c r="R76" i="60" s="1"/>
  <c r="S76" i="60" s="1"/>
  <c r="T76" i="60" s="1"/>
  <c r="U76" i="60" s="1"/>
  <c r="V76" i="60" s="1"/>
  <c r="W76" i="60" s="1"/>
  <c r="X76" i="60" s="1"/>
  <c r="Y76" i="60" s="1"/>
  <c r="Z76" i="60" s="1"/>
  <c r="AA76" i="60" s="1"/>
  <c r="AB76" i="60" s="1"/>
  <c r="AC76" i="60" s="1"/>
  <c r="AD76" i="60" s="1"/>
  <c r="AE76" i="60" s="1"/>
  <c r="AF76" i="60" s="1"/>
  <c r="AG76" i="60" s="1"/>
  <c r="AH76" i="60" s="1"/>
  <c r="AI76" i="60" s="1"/>
  <c r="AJ76" i="60" s="1"/>
  <c r="AK76" i="60" s="1"/>
  <c r="AL76" i="60" s="1"/>
  <c r="AM76" i="60" s="1"/>
  <c r="AN76" i="60" s="1"/>
  <c r="AO76" i="60" s="1"/>
  <c r="AP76" i="60" s="1"/>
  <c r="AQ76" i="60" s="1"/>
  <c r="AR76" i="60" s="1"/>
  <c r="AS76" i="60" s="1"/>
  <c r="AT76" i="60" s="1"/>
  <c r="AU76" i="60" s="1"/>
  <c r="AV76" i="60" s="1"/>
  <c r="AW76" i="60" s="1"/>
  <c r="AX76" i="60" s="1"/>
  <c r="AY76" i="60" s="1"/>
  <c r="AZ76" i="60" s="1"/>
  <c r="BA76" i="60" s="1"/>
  <c r="BB76" i="60" s="1"/>
  <c r="BC76" i="60" s="1"/>
  <c r="BD76" i="60" s="1"/>
  <c r="BE76" i="60" s="1"/>
  <c r="BF76" i="60" s="1"/>
  <c r="BG76" i="60" s="1"/>
  <c r="BH76" i="60" s="1"/>
  <c r="BI76" i="60" s="1"/>
  <c r="BJ76" i="60" s="1"/>
  <c r="BK76" i="60" s="1"/>
  <c r="BL76" i="60" s="1"/>
  <c r="F26" i="59"/>
  <c r="K26" i="59"/>
  <c r="Q26" i="59"/>
  <c r="U26" i="59"/>
  <c r="J26" i="59"/>
  <c r="C26" i="59"/>
  <c r="T26" i="59"/>
  <c r="AA26" i="59"/>
  <c r="AE26" i="59"/>
  <c r="AG26" i="59"/>
  <c r="AI26" i="59"/>
  <c r="Z26" i="59"/>
  <c r="AF26" i="59"/>
  <c r="AM26" i="59"/>
  <c r="E75" i="59"/>
  <c r="F75" i="59" s="1"/>
  <c r="G75" i="59" s="1"/>
  <c r="H75" i="59" s="1"/>
  <c r="I75" i="59" s="1"/>
  <c r="J75" i="59" s="1"/>
  <c r="K75" i="59" s="1"/>
  <c r="L75" i="59" s="1"/>
  <c r="C7" i="59"/>
  <c r="M26" i="59"/>
  <c r="C10" i="59"/>
  <c r="Y26" i="59"/>
  <c r="C11" i="59"/>
  <c r="G32" i="53"/>
  <c r="F32" i="54"/>
  <c r="F32" i="55"/>
  <c r="H32" i="56"/>
  <c r="F32" i="57"/>
  <c r="E32" i="58"/>
  <c r="C8" i="59" l="1"/>
  <c r="C9" i="59"/>
  <c r="M75" i="59"/>
  <c r="N75" i="59" s="1"/>
  <c r="O75" i="59" s="1"/>
  <c r="P75" i="59" s="1"/>
  <c r="Q75" i="59" s="1"/>
  <c r="R75" i="59" s="1"/>
  <c r="S75" i="59" s="1"/>
  <c r="T75" i="59" s="1"/>
  <c r="U75" i="59" s="1"/>
  <c r="V75" i="59" s="1"/>
  <c r="W75" i="59" s="1"/>
  <c r="X75" i="59" s="1"/>
  <c r="Y75" i="59" s="1"/>
  <c r="Z75" i="59" s="1"/>
  <c r="AA75" i="59" s="1"/>
  <c r="AB75" i="59" s="1"/>
  <c r="AC75" i="59" s="1"/>
  <c r="AD75" i="59" s="1"/>
  <c r="AE75" i="59" s="1"/>
  <c r="AF75" i="59" s="1"/>
  <c r="AG75" i="59" s="1"/>
  <c r="AH75" i="59" s="1"/>
  <c r="AI75" i="59" s="1"/>
  <c r="AJ75" i="59" s="1"/>
  <c r="AK75" i="59" s="1"/>
  <c r="AL75" i="59" s="1"/>
  <c r="AM75" i="59" s="1"/>
  <c r="AN75" i="59" s="1"/>
  <c r="AO75" i="59" s="1"/>
  <c r="AP75" i="59" s="1"/>
  <c r="AQ75" i="59" s="1"/>
  <c r="AR75" i="59" s="1"/>
  <c r="AS75" i="59" s="1"/>
  <c r="AT75" i="59" s="1"/>
  <c r="AU75" i="59" s="1"/>
  <c r="AV75" i="59" s="1"/>
  <c r="AW75" i="59" s="1"/>
  <c r="AX75" i="59" s="1"/>
  <c r="AY75" i="59" s="1"/>
  <c r="AZ75" i="59" s="1"/>
  <c r="BA75" i="59" s="1"/>
  <c r="BB75" i="59" s="1"/>
  <c r="BC75" i="59" s="1"/>
  <c r="BD75" i="59" s="1"/>
  <c r="BE75" i="59" s="1"/>
  <c r="BF75" i="59" s="1"/>
  <c r="BG75" i="59" s="1"/>
  <c r="BH75" i="59" s="1"/>
  <c r="BI75" i="59" s="1"/>
  <c r="BJ75" i="59" s="1"/>
  <c r="BK75" i="59" s="1"/>
  <c r="BL75" i="59" s="1"/>
  <c r="BM75" i="59" s="1"/>
  <c r="C57" i="58"/>
  <c r="C51" i="58"/>
  <c r="C43" i="58"/>
  <c r="C42" i="58"/>
  <c r="C26" i="58" s="1"/>
  <c r="C11" i="58" s="1"/>
  <c r="C40" i="58"/>
  <c r="N75" i="58"/>
  <c r="C75" i="58"/>
  <c r="N74" i="58"/>
  <c r="N72" i="58"/>
  <c r="R67" i="58"/>
  <c r="K67" i="58"/>
  <c r="O64" i="58"/>
  <c r="N64" i="58"/>
  <c r="E64" i="58"/>
  <c r="C64" i="58"/>
  <c r="O59" i="58"/>
  <c r="N59" i="58"/>
  <c r="L59" i="58"/>
  <c r="G59" i="58"/>
  <c r="R59" i="58"/>
  <c r="AA50" i="58"/>
  <c r="K50" i="58"/>
  <c r="O48" i="58"/>
  <c r="AN47" i="58"/>
  <c r="AM47" i="58"/>
  <c r="AI47" i="58"/>
  <c r="AH47" i="58"/>
  <c r="AG47" i="58"/>
  <c r="AC47" i="58"/>
  <c r="AB47" i="58"/>
  <c r="Z47" i="58"/>
  <c r="V47" i="58"/>
  <c r="T47" i="58"/>
  <c r="O47" i="58"/>
  <c r="N47" i="58"/>
  <c r="M47" i="58"/>
  <c r="L47" i="58"/>
  <c r="AV46" i="58"/>
  <c r="AV26" i="58" s="1"/>
  <c r="AU46" i="58"/>
  <c r="AU26" i="58" s="1"/>
  <c r="AT46" i="58"/>
  <c r="AT26" i="58" s="1"/>
  <c r="AQ46" i="58"/>
  <c r="AP46" i="58"/>
  <c r="AP26" i="58" s="1"/>
  <c r="AO46" i="58"/>
  <c r="AN46" i="58"/>
  <c r="AJ46" i="58"/>
  <c r="AI46" i="58"/>
  <c r="AH46" i="58"/>
  <c r="AG46" i="58"/>
  <c r="AF46" i="58"/>
  <c r="AC46" i="58"/>
  <c r="AB46" i="58"/>
  <c r="AA46" i="58"/>
  <c r="Y46" i="58"/>
  <c r="V46" i="58"/>
  <c r="T46" i="58"/>
  <c r="R46" i="58"/>
  <c r="N46" i="58"/>
  <c r="K46" i="58"/>
  <c r="G46" i="58"/>
  <c r="C46" i="58"/>
  <c r="AI45" i="58"/>
  <c r="AH45" i="58"/>
  <c r="AG45" i="58"/>
  <c r="AF45" i="58"/>
  <c r="AB45" i="58"/>
  <c r="AA45" i="58"/>
  <c r="Z45" i="58"/>
  <c r="Y45" i="58"/>
  <c r="V45" i="58"/>
  <c r="U45" i="58"/>
  <c r="S45" i="58"/>
  <c r="AM45" i="58"/>
  <c r="N45" i="58"/>
  <c r="M45" i="58"/>
  <c r="C45" i="58"/>
  <c r="AA44" i="58"/>
  <c r="AA26" i="58" s="1"/>
  <c r="AQ43" i="58"/>
  <c r="AO43" i="58"/>
  <c r="AO26" i="58" s="1"/>
  <c r="AN43" i="58"/>
  <c r="AN26" i="58" s="1"/>
  <c r="AJ43" i="58"/>
  <c r="AJ26" i="58" s="1"/>
  <c r="AI43" i="58"/>
  <c r="AH43" i="58"/>
  <c r="AH26" i="58" s="1"/>
  <c r="AG43" i="58"/>
  <c r="AF43" i="58"/>
  <c r="AF26" i="58" s="1"/>
  <c r="AC43" i="58"/>
  <c r="AB43" i="58"/>
  <c r="AA43" i="58"/>
  <c r="Z43" i="58"/>
  <c r="V43" i="58"/>
  <c r="U43" i="58"/>
  <c r="U26" i="58" s="1"/>
  <c r="T43" i="58"/>
  <c r="S43" i="58"/>
  <c r="R43" i="58"/>
  <c r="O43" i="58"/>
  <c r="O26" i="58" s="1"/>
  <c r="N43" i="58"/>
  <c r="M43" i="58"/>
  <c r="L43" i="58"/>
  <c r="K43" i="58"/>
  <c r="G43" i="58"/>
  <c r="R42" i="58"/>
  <c r="N42" i="58"/>
  <c r="L42" i="58"/>
  <c r="F42" i="58"/>
  <c r="O41" i="58"/>
  <c r="K41" i="58"/>
  <c r="K26" i="58" s="1"/>
  <c r="K40" i="58"/>
  <c r="V39" i="58"/>
  <c r="T39" i="58"/>
  <c r="R39" i="58"/>
  <c r="O39" i="58"/>
  <c r="L39" i="58"/>
  <c r="G39" i="58"/>
  <c r="M36" i="58"/>
  <c r="K36" i="58"/>
  <c r="G36" i="58"/>
  <c r="G26" i="58" s="1"/>
  <c r="F36" i="58"/>
  <c r="N34" i="58"/>
  <c r="N26" i="58" s="1"/>
  <c r="G34" i="58"/>
  <c r="Z31" i="58"/>
  <c r="Z30" i="58"/>
  <c r="Z26" i="58" s="1"/>
  <c r="BN26" i="58"/>
  <c r="BM26" i="58"/>
  <c r="BL26" i="58"/>
  <c r="BK26" i="58"/>
  <c r="BJ26" i="58"/>
  <c r="BI26" i="58"/>
  <c r="BH26" i="58"/>
  <c r="BG26" i="58"/>
  <c r="BF26" i="58"/>
  <c r="BE26" i="58"/>
  <c r="BD26" i="58"/>
  <c r="BC26" i="58"/>
  <c r="BB26" i="58"/>
  <c r="BA26" i="58"/>
  <c r="AZ26" i="58"/>
  <c r="AY26" i="58"/>
  <c r="AX26" i="58"/>
  <c r="AW26" i="58"/>
  <c r="AS26" i="58"/>
  <c r="AR26" i="58"/>
  <c r="AQ26" i="58"/>
  <c r="AM26" i="58"/>
  <c r="AL26" i="58"/>
  <c r="AK26" i="58"/>
  <c r="AI26" i="58"/>
  <c r="AG26" i="58"/>
  <c r="AE26" i="58"/>
  <c r="AD26" i="58"/>
  <c r="AC26" i="58"/>
  <c r="Y26" i="58"/>
  <c r="X26" i="58"/>
  <c r="W26" i="58"/>
  <c r="S26" i="58"/>
  <c r="Q26" i="58"/>
  <c r="P26" i="58"/>
  <c r="M26" i="58"/>
  <c r="J26" i="58"/>
  <c r="I26" i="58"/>
  <c r="H26" i="58"/>
  <c r="E26" i="58"/>
  <c r="BH24" i="58"/>
  <c r="N23" i="58"/>
  <c r="N16" i="58" s="1"/>
  <c r="BN16" i="58"/>
  <c r="BM16" i="58"/>
  <c r="BL16" i="58"/>
  <c r="BK16" i="58"/>
  <c r="BJ16" i="58"/>
  <c r="BI16" i="58"/>
  <c r="BH16" i="58"/>
  <c r="BG16" i="58"/>
  <c r="BF16" i="58"/>
  <c r="BE16" i="58"/>
  <c r="BD16" i="58"/>
  <c r="BC16" i="58"/>
  <c r="BB16" i="58"/>
  <c r="BA16" i="58"/>
  <c r="AZ16" i="58"/>
  <c r="AY16" i="58"/>
  <c r="AX16" i="58"/>
  <c r="AW16" i="58"/>
  <c r="AV16" i="58"/>
  <c r="AU16" i="58"/>
  <c r="AT16" i="58"/>
  <c r="AS16" i="58"/>
  <c r="AR16" i="58"/>
  <c r="AQ16" i="58"/>
  <c r="AP16" i="58"/>
  <c r="AO16" i="58"/>
  <c r="AN16" i="58"/>
  <c r="AM16" i="58"/>
  <c r="AL16" i="58"/>
  <c r="AK16" i="58"/>
  <c r="AJ16" i="58"/>
  <c r="AI16" i="58"/>
  <c r="AH16" i="58"/>
  <c r="AG16" i="58"/>
  <c r="AF16" i="58"/>
  <c r="AE16" i="58"/>
  <c r="AD16" i="58"/>
  <c r="AC16" i="58"/>
  <c r="AB16" i="58"/>
  <c r="AA16" i="58"/>
  <c r="Z16" i="58"/>
  <c r="Y16" i="58"/>
  <c r="X16" i="58"/>
  <c r="W16" i="58"/>
  <c r="V16" i="58"/>
  <c r="U16" i="58"/>
  <c r="T16" i="58"/>
  <c r="S16" i="58"/>
  <c r="R16" i="58"/>
  <c r="Q16" i="58"/>
  <c r="P16" i="58"/>
  <c r="O16" i="58"/>
  <c r="M16" i="58"/>
  <c r="L16" i="58"/>
  <c r="K16" i="58"/>
  <c r="J16" i="58"/>
  <c r="I16" i="58"/>
  <c r="H16" i="58"/>
  <c r="G16" i="58"/>
  <c r="F16" i="58"/>
  <c r="E16" i="58"/>
  <c r="C16" i="58"/>
  <c r="C10" i="58"/>
  <c r="C5" i="58"/>
  <c r="E78" i="58" l="1"/>
  <c r="C7" i="58"/>
  <c r="F26" i="58"/>
  <c r="T26" i="58"/>
  <c r="L26" i="58"/>
  <c r="R26" i="58"/>
  <c r="V26" i="58"/>
  <c r="AB26" i="58"/>
  <c r="L43" i="57"/>
  <c r="C57" i="57"/>
  <c r="C43" i="57"/>
  <c r="C26" i="57" s="1"/>
  <c r="C40" i="57"/>
  <c r="C75" i="57"/>
  <c r="O75" i="57" s="1"/>
  <c r="O74" i="57"/>
  <c r="O72" i="57"/>
  <c r="S67" i="57"/>
  <c r="L67" i="57"/>
  <c r="P64" i="57"/>
  <c r="O64" i="57"/>
  <c r="F64" i="57"/>
  <c r="C64" i="57"/>
  <c r="C61" i="57"/>
  <c r="P59" i="57"/>
  <c r="O59" i="57"/>
  <c r="M59" i="57"/>
  <c r="H59" i="57"/>
  <c r="F59" i="57"/>
  <c r="C51" i="57"/>
  <c r="AB50" i="57"/>
  <c r="L50" i="57"/>
  <c r="P48" i="57"/>
  <c r="E48" i="57"/>
  <c r="AO47" i="57"/>
  <c r="AN47" i="57"/>
  <c r="AJ47" i="57"/>
  <c r="AI47" i="57"/>
  <c r="AH47" i="57"/>
  <c r="AD47" i="57"/>
  <c r="AC47" i="57"/>
  <c r="AA47" i="57"/>
  <c r="W47" i="57"/>
  <c r="U47" i="57"/>
  <c r="P47" i="57"/>
  <c r="O47" i="57"/>
  <c r="N47" i="57"/>
  <c r="M47" i="57"/>
  <c r="AW46" i="57"/>
  <c r="AV46" i="57"/>
  <c r="AU46" i="57"/>
  <c r="AR46" i="57"/>
  <c r="AQ46" i="57"/>
  <c r="AQ26" i="57" s="1"/>
  <c r="AP46" i="57"/>
  <c r="AO46" i="57"/>
  <c r="AK46" i="57"/>
  <c r="AJ46" i="57"/>
  <c r="AI46" i="57"/>
  <c r="AH46" i="57"/>
  <c r="AG46" i="57"/>
  <c r="AD46" i="57"/>
  <c r="AC46" i="57"/>
  <c r="AB46" i="57"/>
  <c r="Z46" i="57"/>
  <c r="W46" i="57"/>
  <c r="U46" i="57"/>
  <c r="S46" i="57"/>
  <c r="O46" i="57"/>
  <c r="L46" i="57"/>
  <c r="H46" i="57"/>
  <c r="F46" i="57"/>
  <c r="F26" i="57" s="1"/>
  <c r="C46" i="57"/>
  <c r="AJ45" i="57"/>
  <c r="AI45" i="57"/>
  <c r="AH45" i="57"/>
  <c r="AG45" i="57"/>
  <c r="AC45" i="57"/>
  <c r="AB45" i="57"/>
  <c r="AA45" i="57"/>
  <c r="Z45" i="57"/>
  <c r="W45" i="57"/>
  <c r="V45" i="57"/>
  <c r="T45" i="57"/>
  <c r="T26" i="57" s="1"/>
  <c r="S45" i="57"/>
  <c r="O45" i="57"/>
  <c r="N45" i="57"/>
  <c r="C45" i="57"/>
  <c r="AB44" i="57"/>
  <c r="AR43" i="57"/>
  <c r="AR26" i="57" s="1"/>
  <c r="AP43" i="57"/>
  <c r="AO43" i="57"/>
  <c r="AO26" i="57" s="1"/>
  <c r="AK43" i="57"/>
  <c r="AJ43" i="57"/>
  <c r="AJ26" i="57" s="1"/>
  <c r="AI43" i="57"/>
  <c r="AH43" i="57"/>
  <c r="AH26" i="57" s="1"/>
  <c r="AG43" i="57"/>
  <c r="AD43" i="57"/>
  <c r="AD26" i="57" s="1"/>
  <c r="AC43" i="57"/>
  <c r="AB43" i="57"/>
  <c r="AB26" i="57" s="1"/>
  <c r="AA43" i="57"/>
  <c r="W43" i="57"/>
  <c r="V43" i="57"/>
  <c r="U43" i="57"/>
  <c r="U26" i="57" s="1"/>
  <c r="T43" i="57"/>
  <c r="S43" i="57"/>
  <c r="P43" i="57"/>
  <c r="O43" i="57"/>
  <c r="N43" i="57"/>
  <c r="M43" i="57"/>
  <c r="H43" i="57"/>
  <c r="F43" i="57"/>
  <c r="S42" i="57"/>
  <c r="O42" i="57"/>
  <c r="M42" i="57"/>
  <c r="G42" i="57"/>
  <c r="G26" i="57" s="1"/>
  <c r="C42" i="57"/>
  <c r="P41" i="57"/>
  <c r="L41" i="57"/>
  <c r="L40" i="57"/>
  <c r="E40" i="57"/>
  <c r="W39" i="57"/>
  <c r="W26" i="57" s="1"/>
  <c r="U39" i="57"/>
  <c r="S39" i="57"/>
  <c r="P39" i="57"/>
  <c r="M39" i="57"/>
  <c r="M26" i="57" s="1"/>
  <c r="H39" i="57"/>
  <c r="N36" i="57"/>
  <c r="N26" i="57" s="1"/>
  <c r="L36" i="57"/>
  <c r="H36" i="57"/>
  <c r="H26" i="57" s="1"/>
  <c r="G36" i="57"/>
  <c r="E36" i="57"/>
  <c r="O34" i="57"/>
  <c r="H34" i="57"/>
  <c r="AA31" i="57"/>
  <c r="AA26" i="57" s="1"/>
  <c r="AA30" i="57"/>
  <c r="BO26" i="57"/>
  <c r="BN26" i="57"/>
  <c r="BM26" i="57"/>
  <c r="BL26" i="57"/>
  <c r="BK26" i="57"/>
  <c r="BJ26" i="57"/>
  <c r="BI26" i="57"/>
  <c r="BH26" i="57"/>
  <c r="BG26" i="57"/>
  <c r="BF26" i="57"/>
  <c r="BE26" i="57"/>
  <c r="BD26" i="57"/>
  <c r="BC26" i="57"/>
  <c r="BB26" i="57"/>
  <c r="BA26" i="57"/>
  <c r="AZ26" i="57"/>
  <c r="AY26" i="57"/>
  <c r="AX26" i="57"/>
  <c r="AW26" i="57"/>
  <c r="AV26" i="57"/>
  <c r="AU26" i="57"/>
  <c r="AT26" i="57"/>
  <c r="AS26" i="57"/>
  <c r="AP26" i="57"/>
  <c r="AN26" i="57"/>
  <c r="AM26" i="57"/>
  <c r="AL26" i="57"/>
  <c r="AK26" i="57"/>
  <c r="AI26" i="57"/>
  <c r="AG26" i="57"/>
  <c r="AF26" i="57"/>
  <c r="AE26" i="57"/>
  <c r="AC26" i="57"/>
  <c r="Z26" i="57"/>
  <c r="Y26" i="57"/>
  <c r="X26" i="57"/>
  <c r="V26" i="57"/>
  <c r="S26" i="57"/>
  <c r="R26" i="57"/>
  <c r="Q26" i="57"/>
  <c r="K26" i="57"/>
  <c r="J26" i="57"/>
  <c r="I26" i="57"/>
  <c r="E26" i="57"/>
  <c r="BI24" i="57"/>
  <c r="O23" i="57"/>
  <c r="O16" i="57" s="1"/>
  <c r="BO16" i="57"/>
  <c r="BN16" i="57"/>
  <c r="BM16" i="57"/>
  <c r="BL16" i="57"/>
  <c r="BK16" i="57"/>
  <c r="BJ16" i="57"/>
  <c r="BI16" i="57"/>
  <c r="BH16" i="57"/>
  <c r="BG16" i="57"/>
  <c r="BF16" i="57"/>
  <c r="BE16" i="57"/>
  <c r="BD16" i="57"/>
  <c r="BC16" i="57"/>
  <c r="BB16" i="57"/>
  <c r="BA16" i="57"/>
  <c r="AZ16" i="57"/>
  <c r="AY16" i="57"/>
  <c r="AX16" i="57"/>
  <c r="AW16" i="57"/>
  <c r="AV16" i="57"/>
  <c r="AU16" i="57"/>
  <c r="AT16" i="57"/>
  <c r="AS16" i="57"/>
  <c r="AR16" i="57"/>
  <c r="AQ16" i="57"/>
  <c r="AP16" i="57"/>
  <c r="AO16" i="57"/>
  <c r="AN16" i="57"/>
  <c r="AM16" i="57"/>
  <c r="AL16" i="57"/>
  <c r="AK16" i="57"/>
  <c r="AJ16" i="57"/>
  <c r="AI16" i="57"/>
  <c r="AH16" i="57"/>
  <c r="AG16" i="57"/>
  <c r="AF16" i="57"/>
  <c r="AE16" i="57"/>
  <c r="AD16" i="57"/>
  <c r="AC16" i="57"/>
  <c r="AB16" i="57"/>
  <c r="AA16" i="57"/>
  <c r="Z16" i="57"/>
  <c r="Y16" i="57"/>
  <c r="X16" i="57"/>
  <c r="W16" i="57"/>
  <c r="V16" i="57"/>
  <c r="U16" i="57"/>
  <c r="T16" i="57"/>
  <c r="S16" i="57"/>
  <c r="R16" i="57"/>
  <c r="Q16" i="57"/>
  <c r="P16" i="57"/>
  <c r="N16" i="57"/>
  <c r="M16" i="57"/>
  <c r="L16" i="57"/>
  <c r="K16" i="57"/>
  <c r="J16" i="57"/>
  <c r="I16" i="57"/>
  <c r="H16" i="57"/>
  <c r="G16" i="57"/>
  <c r="F16" i="57"/>
  <c r="E16" i="57"/>
  <c r="C16" i="57"/>
  <c r="C10" i="57"/>
  <c r="C5" i="57"/>
  <c r="C8" i="58" l="1"/>
  <c r="C9" i="58" s="1"/>
  <c r="F78" i="58"/>
  <c r="G78" i="58" s="1"/>
  <c r="H78" i="58" s="1"/>
  <c r="I78" i="58" s="1"/>
  <c r="J78" i="58" s="1"/>
  <c r="K78" i="58" s="1"/>
  <c r="L78" i="58" s="1"/>
  <c r="M78" i="58" s="1"/>
  <c r="N78" i="58" s="1"/>
  <c r="O78" i="58" s="1"/>
  <c r="P78" i="58" s="1"/>
  <c r="Q78" i="58" s="1"/>
  <c r="R78" i="58" s="1"/>
  <c r="S78" i="58" s="1"/>
  <c r="T78" i="58" s="1"/>
  <c r="U78" i="58" s="1"/>
  <c r="V78" i="58" s="1"/>
  <c r="W78" i="58" s="1"/>
  <c r="X78" i="58" s="1"/>
  <c r="Y78" i="58" s="1"/>
  <c r="Z78" i="58" s="1"/>
  <c r="AA78" i="58" s="1"/>
  <c r="AB78" i="58" s="1"/>
  <c r="AC78" i="58" s="1"/>
  <c r="AD78" i="58" s="1"/>
  <c r="AE78" i="58" s="1"/>
  <c r="AF78" i="58" s="1"/>
  <c r="AG78" i="58" s="1"/>
  <c r="AH78" i="58" s="1"/>
  <c r="AI78" i="58" s="1"/>
  <c r="AJ78" i="58" s="1"/>
  <c r="AK78" i="58" s="1"/>
  <c r="AL78" i="58" s="1"/>
  <c r="AM78" i="58" s="1"/>
  <c r="AN78" i="58" s="1"/>
  <c r="AO78" i="58" s="1"/>
  <c r="AP78" i="58" s="1"/>
  <c r="AQ78" i="58" s="1"/>
  <c r="AR78" i="58" s="1"/>
  <c r="AS78" i="58" s="1"/>
  <c r="AT78" i="58" s="1"/>
  <c r="AU78" i="58" s="1"/>
  <c r="AV78" i="58" s="1"/>
  <c r="AW78" i="58" s="1"/>
  <c r="AX78" i="58" s="1"/>
  <c r="AY78" i="58" s="1"/>
  <c r="AZ78" i="58" s="1"/>
  <c r="BA78" i="58" s="1"/>
  <c r="BB78" i="58" s="1"/>
  <c r="BC78" i="58" s="1"/>
  <c r="BD78" i="58" s="1"/>
  <c r="BE78" i="58" s="1"/>
  <c r="BF78" i="58" s="1"/>
  <c r="BG78" i="58" s="1"/>
  <c r="BH78" i="58" s="1"/>
  <c r="BI78" i="58" s="1"/>
  <c r="BJ78" i="58" s="1"/>
  <c r="BK78" i="58" s="1"/>
  <c r="BL78" i="58" s="1"/>
  <c r="BM78" i="58" s="1"/>
  <c r="BN78" i="58" s="1"/>
  <c r="E78" i="57"/>
  <c r="F78" i="57" s="1"/>
  <c r="G78" i="57" s="1"/>
  <c r="H78" i="57" s="1"/>
  <c r="I78" i="57" s="1"/>
  <c r="J78" i="57" s="1"/>
  <c r="K78" i="57" s="1"/>
  <c r="C11" i="57"/>
  <c r="P26" i="57"/>
  <c r="O26" i="57"/>
  <c r="C7" i="57"/>
  <c r="L26" i="57"/>
  <c r="E59" i="56"/>
  <c r="C61" i="56"/>
  <c r="C46" i="56"/>
  <c r="C42" i="56"/>
  <c r="C40" i="56"/>
  <c r="C75" i="56"/>
  <c r="R75" i="56" s="1"/>
  <c r="R74" i="56"/>
  <c r="R72" i="56"/>
  <c r="V67" i="56"/>
  <c r="O67" i="56"/>
  <c r="S64" i="56"/>
  <c r="R64" i="56"/>
  <c r="I64" i="56"/>
  <c r="C64" i="56"/>
  <c r="S59" i="56"/>
  <c r="R59" i="56"/>
  <c r="P59" i="56"/>
  <c r="K59" i="56"/>
  <c r="I59" i="56"/>
  <c r="C57" i="56"/>
  <c r="C51" i="56"/>
  <c r="AE50" i="56"/>
  <c r="O50" i="56"/>
  <c r="S49" i="56"/>
  <c r="H48" i="56"/>
  <c r="AR47" i="56"/>
  <c r="AQ47" i="56"/>
  <c r="AQ26" i="56" s="1"/>
  <c r="AM47" i="56"/>
  <c r="AL47" i="56"/>
  <c r="AK47" i="56"/>
  <c r="AG47" i="56"/>
  <c r="AF47" i="56"/>
  <c r="AD47" i="56"/>
  <c r="Z47" i="56"/>
  <c r="X47" i="56"/>
  <c r="S47" i="56"/>
  <c r="R47" i="56"/>
  <c r="Q47" i="56"/>
  <c r="P47" i="56"/>
  <c r="AZ46" i="56"/>
  <c r="AZ26" i="56" s="1"/>
  <c r="AY46" i="56"/>
  <c r="AY26" i="56" s="1"/>
  <c r="AX46" i="56"/>
  <c r="AU46" i="56"/>
  <c r="AT46" i="56"/>
  <c r="AT26" i="56" s="1"/>
  <c r="AS46" i="56"/>
  <c r="AR46" i="56"/>
  <c r="AM46" i="56"/>
  <c r="AL46" i="56"/>
  <c r="AK46" i="56"/>
  <c r="AJ46" i="56"/>
  <c r="AG46" i="56"/>
  <c r="AF46" i="56"/>
  <c r="AE46" i="56"/>
  <c r="AN46" i="56"/>
  <c r="AC46" i="56"/>
  <c r="Z46" i="56"/>
  <c r="X46" i="56"/>
  <c r="V46" i="56"/>
  <c r="R46" i="56"/>
  <c r="O46" i="56"/>
  <c r="K46" i="56"/>
  <c r="I46" i="56"/>
  <c r="AM45" i="56"/>
  <c r="AL45" i="56"/>
  <c r="AJ45" i="56"/>
  <c r="AF45" i="56"/>
  <c r="AE45" i="56"/>
  <c r="AD45" i="56"/>
  <c r="AC45" i="56"/>
  <c r="AC26" i="56" s="1"/>
  <c r="Z45" i="56"/>
  <c r="Y45" i="56"/>
  <c r="AK45" i="56"/>
  <c r="W45" i="56"/>
  <c r="V45" i="56"/>
  <c r="R45" i="56"/>
  <c r="Q45" i="56"/>
  <c r="C45" i="56"/>
  <c r="AE44" i="56"/>
  <c r="AU43" i="56"/>
  <c r="AU26" i="56" s="1"/>
  <c r="AS43" i="56"/>
  <c r="AR43" i="56"/>
  <c r="AR26" i="56" s="1"/>
  <c r="AN43" i="56"/>
  <c r="AN26" i="56" s="1"/>
  <c r="AM43" i="56"/>
  <c r="AL43" i="56"/>
  <c r="AK43" i="56"/>
  <c r="AJ43" i="56"/>
  <c r="AG43" i="56"/>
  <c r="AG26" i="56" s="1"/>
  <c r="AF43" i="56"/>
  <c r="AF26" i="56" s="1"/>
  <c r="AE43" i="56"/>
  <c r="AD43" i="56"/>
  <c r="Z43" i="56"/>
  <c r="Y43" i="56"/>
  <c r="X43" i="56"/>
  <c r="W43" i="56"/>
  <c r="V43" i="56"/>
  <c r="S43" i="56"/>
  <c r="R43" i="56"/>
  <c r="Q43" i="56"/>
  <c r="P43" i="56"/>
  <c r="O43" i="56"/>
  <c r="K43" i="56"/>
  <c r="I43" i="56"/>
  <c r="H43" i="56"/>
  <c r="C43" i="56"/>
  <c r="V42" i="56"/>
  <c r="R42" i="56"/>
  <c r="P42" i="56"/>
  <c r="J42" i="56"/>
  <c r="J26" i="56" s="1"/>
  <c r="S41" i="56"/>
  <c r="O41" i="56"/>
  <c r="O40" i="56"/>
  <c r="H40" i="56"/>
  <c r="Z39" i="56"/>
  <c r="X39" i="56"/>
  <c r="V39" i="56"/>
  <c r="S39" i="56"/>
  <c r="P39" i="56"/>
  <c r="K39" i="56"/>
  <c r="Q36" i="56"/>
  <c r="Q26" i="56" s="1"/>
  <c r="O36" i="56"/>
  <c r="K36" i="56"/>
  <c r="J36" i="56"/>
  <c r="H36" i="56"/>
  <c r="R34" i="56"/>
  <c r="H34" i="56"/>
  <c r="AD31" i="56"/>
  <c r="AD26" i="56" s="1"/>
  <c r="AD30" i="56"/>
  <c r="BR26" i="56"/>
  <c r="BQ26" i="56"/>
  <c r="BP26" i="56"/>
  <c r="BO26" i="56"/>
  <c r="BN26" i="56"/>
  <c r="BM26" i="56"/>
  <c r="BL26" i="56"/>
  <c r="BK26" i="56"/>
  <c r="BJ26" i="56"/>
  <c r="BI26" i="56"/>
  <c r="BH26" i="56"/>
  <c r="BG26" i="56"/>
  <c r="BF26" i="56"/>
  <c r="BE26" i="56"/>
  <c r="BD26" i="56"/>
  <c r="BC26" i="56"/>
  <c r="BB26" i="56"/>
  <c r="BA26" i="56"/>
  <c r="AX26" i="56"/>
  <c r="AW26" i="56"/>
  <c r="AV26" i="56"/>
  <c r="AP26" i="56"/>
  <c r="AO26" i="56"/>
  <c r="AJ26" i="56"/>
  <c r="AI26" i="56"/>
  <c r="AH26" i="56"/>
  <c r="AB26" i="56"/>
  <c r="AA26" i="56"/>
  <c r="X26" i="56"/>
  <c r="U26" i="56"/>
  <c r="T26" i="56"/>
  <c r="N26" i="56"/>
  <c r="M26" i="56"/>
  <c r="L26" i="56"/>
  <c r="H26" i="56"/>
  <c r="G26" i="56"/>
  <c r="F26" i="56"/>
  <c r="BL24" i="56"/>
  <c r="R23" i="56"/>
  <c r="R16" i="56" s="1"/>
  <c r="BR16" i="56"/>
  <c r="BQ16" i="56"/>
  <c r="BP16" i="56"/>
  <c r="BO16" i="56"/>
  <c r="BN16" i="56"/>
  <c r="BM16" i="56"/>
  <c r="BL16" i="56"/>
  <c r="BK16" i="56"/>
  <c r="BJ16" i="56"/>
  <c r="BI16" i="56"/>
  <c r="BH16" i="56"/>
  <c r="BG16" i="56"/>
  <c r="BF16" i="56"/>
  <c r="BE16" i="56"/>
  <c r="BD16" i="56"/>
  <c r="BC16" i="56"/>
  <c r="BB16" i="56"/>
  <c r="BA16" i="56"/>
  <c r="AZ16" i="56"/>
  <c r="AY16" i="56"/>
  <c r="AX16" i="56"/>
  <c r="AW16" i="56"/>
  <c r="AV16" i="56"/>
  <c r="AU16" i="56"/>
  <c r="AT16" i="56"/>
  <c r="AS16" i="56"/>
  <c r="AR16" i="56"/>
  <c r="AQ16" i="56"/>
  <c r="AP16" i="56"/>
  <c r="AO16" i="56"/>
  <c r="AN16" i="56"/>
  <c r="AM16" i="56"/>
  <c r="AL16" i="56"/>
  <c r="AK16" i="56"/>
  <c r="AJ16" i="56"/>
  <c r="AI16" i="56"/>
  <c r="AH16" i="56"/>
  <c r="AG16" i="56"/>
  <c r="AF16" i="56"/>
  <c r="AE16" i="56"/>
  <c r="AD16" i="56"/>
  <c r="AC16" i="56"/>
  <c r="AB16" i="56"/>
  <c r="AA16" i="56"/>
  <c r="Z16" i="56"/>
  <c r="Y16" i="56"/>
  <c r="X16" i="56"/>
  <c r="W16" i="56"/>
  <c r="V16" i="56"/>
  <c r="U16" i="56"/>
  <c r="T16" i="56"/>
  <c r="S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C16" i="56"/>
  <c r="C7" i="56" s="1"/>
  <c r="C5" i="56"/>
  <c r="C8" i="57" l="1"/>
  <c r="C9" i="57" s="1"/>
  <c r="L78" i="57"/>
  <c r="M78" i="57" s="1"/>
  <c r="N78" i="57" s="1"/>
  <c r="O78" i="57" s="1"/>
  <c r="P78" i="57" s="1"/>
  <c r="Q78" i="57" s="1"/>
  <c r="R78" i="57" s="1"/>
  <c r="S78" i="57" s="1"/>
  <c r="T78" i="57" s="1"/>
  <c r="U78" i="57" s="1"/>
  <c r="V78" i="57" s="1"/>
  <c r="W78" i="57" s="1"/>
  <c r="X78" i="57" s="1"/>
  <c r="Y78" i="57" s="1"/>
  <c r="Z78" i="57" s="1"/>
  <c r="AA78" i="57" s="1"/>
  <c r="AB78" i="57" s="1"/>
  <c r="AC78" i="57" s="1"/>
  <c r="AD78" i="57" s="1"/>
  <c r="AE78" i="57" s="1"/>
  <c r="AF78" i="57" s="1"/>
  <c r="AG78" i="57" s="1"/>
  <c r="AH78" i="57" s="1"/>
  <c r="AI78" i="57" s="1"/>
  <c r="AJ78" i="57" s="1"/>
  <c r="AK78" i="57" s="1"/>
  <c r="AL78" i="57" s="1"/>
  <c r="AM78" i="57" s="1"/>
  <c r="AN78" i="57" s="1"/>
  <c r="AO78" i="57" s="1"/>
  <c r="AP78" i="57" s="1"/>
  <c r="AQ78" i="57" s="1"/>
  <c r="AR78" i="57" s="1"/>
  <c r="AS78" i="57" s="1"/>
  <c r="AT78" i="57" s="1"/>
  <c r="AU78" i="57" s="1"/>
  <c r="AV78" i="57" s="1"/>
  <c r="AW78" i="57" s="1"/>
  <c r="AX78" i="57" s="1"/>
  <c r="AY78" i="57" s="1"/>
  <c r="AZ78" i="57" s="1"/>
  <c r="BA78" i="57" s="1"/>
  <c r="BB78" i="57" s="1"/>
  <c r="BC78" i="57" s="1"/>
  <c r="BD78" i="57" s="1"/>
  <c r="BE78" i="57" s="1"/>
  <c r="BF78" i="57" s="1"/>
  <c r="BG78" i="57" s="1"/>
  <c r="BH78" i="57" s="1"/>
  <c r="BI78" i="57" s="1"/>
  <c r="BJ78" i="57" s="1"/>
  <c r="BK78" i="57" s="1"/>
  <c r="BL78" i="57" s="1"/>
  <c r="BM78" i="57" s="1"/>
  <c r="BN78" i="57" s="1"/>
  <c r="BO78" i="57" s="1"/>
  <c r="C10" i="56"/>
  <c r="O26" i="56"/>
  <c r="V26" i="56"/>
  <c r="Z26" i="56"/>
  <c r="E26" i="56"/>
  <c r="E78" i="56" s="1"/>
  <c r="F78" i="56" s="1"/>
  <c r="G78" i="56" s="1"/>
  <c r="H78" i="56" s="1"/>
  <c r="K26" i="56"/>
  <c r="AK26" i="56"/>
  <c r="AM26" i="56"/>
  <c r="W26" i="56"/>
  <c r="Y26" i="56"/>
  <c r="AS26" i="56"/>
  <c r="P26" i="56"/>
  <c r="AL26" i="56"/>
  <c r="R26" i="56"/>
  <c r="S26" i="56"/>
  <c r="C26" i="56"/>
  <c r="C11" i="56" s="1"/>
  <c r="AE26" i="56"/>
  <c r="I26" i="56"/>
  <c r="S73" i="55"/>
  <c r="I78" i="56" l="1"/>
  <c r="J78" i="56" s="1"/>
  <c r="K78" i="56" s="1"/>
  <c r="L78" i="56" s="1"/>
  <c r="M78" i="56" s="1"/>
  <c r="N78" i="56" s="1"/>
  <c r="O78" i="56" s="1"/>
  <c r="P78" i="56" s="1"/>
  <c r="Q78" i="56" s="1"/>
  <c r="R78" i="56" s="1"/>
  <c r="C8" i="56"/>
  <c r="C9" i="56" s="1"/>
  <c r="S78" i="56"/>
  <c r="T78" i="56" s="1"/>
  <c r="U78" i="56" s="1"/>
  <c r="V78" i="56" s="1"/>
  <c r="W78" i="56" s="1"/>
  <c r="X78" i="56" s="1"/>
  <c r="Y78" i="56" s="1"/>
  <c r="Z78" i="56" s="1"/>
  <c r="AA78" i="56" s="1"/>
  <c r="AB78" i="56" s="1"/>
  <c r="AC78" i="56" s="1"/>
  <c r="AD78" i="56" s="1"/>
  <c r="AE78" i="56" s="1"/>
  <c r="AF78" i="56" s="1"/>
  <c r="AG78" i="56" s="1"/>
  <c r="AH78" i="56" s="1"/>
  <c r="AI78" i="56" s="1"/>
  <c r="AJ78" i="56" s="1"/>
  <c r="AK78" i="56" s="1"/>
  <c r="AL78" i="56" s="1"/>
  <c r="AM78" i="56" s="1"/>
  <c r="AN78" i="56" s="1"/>
  <c r="AO78" i="56" s="1"/>
  <c r="AP78" i="56" s="1"/>
  <c r="AQ78" i="56" s="1"/>
  <c r="AR78" i="56" s="1"/>
  <c r="AS78" i="56" s="1"/>
  <c r="AT78" i="56" s="1"/>
  <c r="AU78" i="56" s="1"/>
  <c r="AV78" i="56" s="1"/>
  <c r="AW78" i="56" s="1"/>
  <c r="AX78" i="56" s="1"/>
  <c r="AY78" i="56" s="1"/>
  <c r="AZ78" i="56" s="1"/>
  <c r="BA78" i="56" s="1"/>
  <c r="BB78" i="56" s="1"/>
  <c r="BC78" i="56" s="1"/>
  <c r="BD78" i="56" s="1"/>
  <c r="BE78" i="56" s="1"/>
  <c r="BF78" i="56" s="1"/>
  <c r="BG78" i="56" s="1"/>
  <c r="BH78" i="56" s="1"/>
  <c r="BI78" i="56" s="1"/>
  <c r="BJ78" i="56" s="1"/>
  <c r="BK78" i="56" s="1"/>
  <c r="BL78" i="56" s="1"/>
  <c r="BM78" i="56" s="1"/>
  <c r="BN78" i="56" s="1"/>
  <c r="BO78" i="56" s="1"/>
  <c r="BP78" i="56" s="1"/>
  <c r="BQ78" i="56" s="1"/>
  <c r="BR78" i="56" s="1"/>
  <c r="S76" i="55"/>
  <c r="T16" i="55"/>
  <c r="U16" i="55"/>
  <c r="V16" i="55"/>
  <c r="W16" i="55"/>
  <c r="X16" i="55"/>
  <c r="Y16" i="55"/>
  <c r="Z16" i="55"/>
  <c r="AA16" i="55"/>
  <c r="AB16" i="55"/>
  <c r="AC16" i="55"/>
  <c r="AD16" i="55"/>
  <c r="AE16" i="55"/>
  <c r="AF16" i="55"/>
  <c r="AG16" i="55"/>
  <c r="AH16" i="55"/>
  <c r="AI16" i="55"/>
  <c r="AJ16" i="55"/>
  <c r="AK16" i="55"/>
  <c r="AL16" i="55"/>
  <c r="AM16" i="55"/>
  <c r="AN16" i="55"/>
  <c r="AO16" i="55"/>
  <c r="AP16" i="55"/>
  <c r="AQ16" i="55"/>
  <c r="AR16" i="55"/>
  <c r="AS16" i="55"/>
  <c r="AT16" i="55"/>
  <c r="AU16" i="55"/>
  <c r="AV16" i="55"/>
  <c r="AW16" i="55"/>
  <c r="AX16" i="55"/>
  <c r="AY16" i="55"/>
  <c r="AZ16" i="55"/>
  <c r="BA16" i="55"/>
  <c r="BB16" i="55"/>
  <c r="BC16" i="55"/>
  <c r="BD16" i="55"/>
  <c r="BE16" i="55"/>
  <c r="BF16" i="55"/>
  <c r="BG16" i="55"/>
  <c r="BH16" i="55"/>
  <c r="BI16" i="55"/>
  <c r="BJ16" i="55"/>
  <c r="BK16" i="55"/>
  <c r="BL16" i="55"/>
  <c r="BM16" i="55"/>
  <c r="BN16" i="55"/>
  <c r="BO16" i="55"/>
  <c r="BP16" i="55"/>
  <c r="BQ16" i="55"/>
  <c r="BR16" i="55"/>
  <c r="BS16" i="55"/>
  <c r="C58" i="55"/>
  <c r="C52" i="55"/>
  <c r="C43" i="55"/>
  <c r="C40" i="55"/>
  <c r="C26" i="55" s="1"/>
  <c r="C76" i="55"/>
  <c r="S75" i="55"/>
  <c r="W68" i="55"/>
  <c r="P68" i="55"/>
  <c r="T65" i="55"/>
  <c r="S65" i="55"/>
  <c r="J65" i="55"/>
  <c r="C65" i="55"/>
  <c r="S62" i="55"/>
  <c r="K62" i="55"/>
  <c r="C62" i="55"/>
  <c r="T60" i="55"/>
  <c r="S60" i="55"/>
  <c r="Q60" i="55"/>
  <c r="Q26" i="55" s="1"/>
  <c r="L60" i="55"/>
  <c r="J60" i="55"/>
  <c r="F60" i="55"/>
  <c r="AF51" i="55"/>
  <c r="P51" i="55"/>
  <c r="T50" i="55"/>
  <c r="I49" i="55"/>
  <c r="AS48" i="55"/>
  <c r="AR48" i="55"/>
  <c r="AN48" i="55"/>
  <c r="AN26" i="55" s="1"/>
  <c r="AM48" i="55"/>
  <c r="AL48" i="55"/>
  <c r="AL26" i="55" s="1"/>
  <c r="AH48" i="55"/>
  <c r="AG48" i="55"/>
  <c r="AE48" i="55"/>
  <c r="AA48" i="55"/>
  <c r="Y48" i="55"/>
  <c r="T48" i="55"/>
  <c r="S48" i="55"/>
  <c r="R48" i="55"/>
  <c r="Q48" i="55"/>
  <c r="BA47" i="55"/>
  <c r="BA26" i="55" s="1"/>
  <c r="AZ47" i="55"/>
  <c r="AY47" i="55"/>
  <c r="AY26" i="55" s="1"/>
  <c r="AV47" i="55"/>
  <c r="AU47" i="55"/>
  <c r="AU26" i="55" s="1"/>
  <c r="AT47" i="55"/>
  <c r="AS47" i="55"/>
  <c r="AN47" i="55"/>
  <c r="AM47" i="55"/>
  <c r="AL47" i="55"/>
  <c r="AK47" i="55"/>
  <c r="AH47" i="55"/>
  <c r="AG47" i="55"/>
  <c r="AF47" i="55"/>
  <c r="AE47" i="55"/>
  <c r="AD47" i="55"/>
  <c r="AA47" i="55"/>
  <c r="Y47" i="55"/>
  <c r="W47" i="55"/>
  <c r="S47" i="55"/>
  <c r="P47" i="55"/>
  <c r="L47" i="55"/>
  <c r="J47" i="55"/>
  <c r="E47" i="55"/>
  <c r="C47" i="55"/>
  <c r="AN46" i="55"/>
  <c r="AM46" i="55"/>
  <c r="AK46" i="55"/>
  <c r="AG46" i="55"/>
  <c r="AF46" i="55"/>
  <c r="AE46" i="55"/>
  <c r="AD46" i="55"/>
  <c r="AA46" i="55"/>
  <c r="AA26" i="55" s="1"/>
  <c r="Z46" i="55"/>
  <c r="Y46" i="55"/>
  <c r="X46" i="55"/>
  <c r="W46" i="55"/>
  <c r="W26" i="55" s="1"/>
  <c r="S46" i="55"/>
  <c r="R46" i="55"/>
  <c r="C46" i="55"/>
  <c r="AF45" i="55"/>
  <c r="AF26" i="55" s="1"/>
  <c r="AV43" i="55"/>
  <c r="AT43" i="55"/>
  <c r="AT26" i="55" s="1"/>
  <c r="AS43" i="55"/>
  <c r="AO43" i="55"/>
  <c r="AN43" i="55"/>
  <c r="AM43" i="55"/>
  <c r="AM26" i="55" s="1"/>
  <c r="AL43" i="55"/>
  <c r="AK43" i="55"/>
  <c r="AH43" i="55"/>
  <c r="AG43" i="55"/>
  <c r="AF43" i="55"/>
  <c r="AE43" i="55"/>
  <c r="AA43" i="55"/>
  <c r="Z43" i="55"/>
  <c r="Z26" i="55" s="1"/>
  <c r="Y43" i="55"/>
  <c r="X43" i="55"/>
  <c r="X26" i="55" s="1"/>
  <c r="W43" i="55"/>
  <c r="T43" i="55"/>
  <c r="S43" i="55"/>
  <c r="R43" i="55"/>
  <c r="Q43" i="55"/>
  <c r="P43" i="55"/>
  <c r="L43" i="55"/>
  <c r="J43" i="55"/>
  <c r="J26" i="55" s="1"/>
  <c r="I43" i="55"/>
  <c r="F43" i="55"/>
  <c r="W42" i="55"/>
  <c r="S42" i="55"/>
  <c r="Q42" i="55"/>
  <c r="K42" i="55"/>
  <c r="C42" i="55"/>
  <c r="T41" i="55"/>
  <c r="P41" i="55"/>
  <c r="P40" i="55"/>
  <c r="I40" i="55"/>
  <c r="E40" i="55"/>
  <c r="AA39" i="55"/>
  <c r="Y39" i="55"/>
  <c r="W39" i="55"/>
  <c r="T39" i="55"/>
  <c r="Q39" i="55"/>
  <c r="L39" i="55"/>
  <c r="L26" i="55" s="1"/>
  <c r="F39" i="55"/>
  <c r="L36" i="55"/>
  <c r="R36" i="55"/>
  <c r="P36" i="55"/>
  <c r="K36" i="55"/>
  <c r="I36" i="55"/>
  <c r="I26" i="55" s="1"/>
  <c r="E36" i="55"/>
  <c r="S34" i="55"/>
  <c r="I34" i="55"/>
  <c r="AE31" i="55"/>
  <c r="AE30" i="55"/>
  <c r="AE26" i="55" s="1"/>
  <c r="BS26" i="55"/>
  <c r="BR26" i="55"/>
  <c r="BQ26" i="55"/>
  <c r="BP26" i="55"/>
  <c r="BO26" i="55"/>
  <c r="BN26" i="55"/>
  <c r="BM26" i="55"/>
  <c r="BL26" i="55"/>
  <c r="BK26" i="55"/>
  <c r="BJ26" i="55"/>
  <c r="BI26" i="55"/>
  <c r="BH26" i="55"/>
  <c r="BG26" i="55"/>
  <c r="BF26" i="55"/>
  <c r="BE26" i="55"/>
  <c r="BD26" i="55"/>
  <c r="BC26" i="55"/>
  <c r="BB26" i="55"/>
  <c r="AZ26" i="55"/>
  <c r="AX26" i="55"/>
  <c r="AW26" i="55"/>
  <c r="AV26" i="55"/>
  <c r="AS26" i="55"/>
  <c r="AR26" i="55"/>
  <c r="AQ26" i="55"/>
  <c r="AP26" i="55"/>
  <c r="AO26" i="55"/>
  <c r="AK26" i="55"/>
  <c r="AJ26" i="55"/>
  <c r="AI26" i="55"/>
  <c r="AH26" i="55"/>
  <c r="AG26" i="55"/>
  <c r="AD26" i="55"/>
  <c r="AC26" i="55"/>
  <c r="AB26" i="55"/>
  <c r="Y26" i="55"/>
  <c r="V26" i="55"/>
  <c r="U26" i="55"/>
  <c r="S26" i="55"/>
  <c r="O26" i="55"/>
  <c r="N26" i="55"/>
  <c r="M26" i="55"/>
  <c r="K26" i="55"/>
  <c r="H26" i="55"/>
  <c r="G26" i="55"/>
  <c r="E26" i="55"/>
  <c r="BM24" i="55"/>
  <c r="S23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G16" i="55"/>
  <c r="F16" i="55"/>
  <c r="E16" i="55"/>
  <c r="C16" i="55"/>
  <c r="C5" i="55"/>
  <c r="T76" i="54"/>
  <c r="E79" i="55" l="1"/>
  <c r="C11" i="55"/>
  <c r="P26" i="55"/>
  <c r="T26" i="55"/>
  <c r="C7" i="55"/>
  <c r="F26" i="55"/>
  <c r="R26" i="55"/>
  <c r="C10" i="55"/>
  <c r="R43" i="54"/>
  <c r="M43" i="54"/>
  <c r="AL47" i="54"/>
  <c r="F47" i="54"/>
  <c r="X42" i="54"/>
  <c r="L42" i="54"/>
  <c r="U65" i="54"/>
  <c r="K65" i="54"/>
  <c r="T34" i="54"/>
  <c r="J34" i="54"/>
  <c r="U50" i="54"/>
  <c r="J49" i="54"/>
  <c r="T62" i="54"/>
  <c r="L62" i="54"/>
  <c r="S48" i="54"/>
  <c r="K47" i="54"/>
  <c r="AT48" i="54"/>
  <c r="AS48" i="54"/>
  <c r="AN48" i="54"/>
  <c r="AO48" i="54"/>
  <c r="AM48" i="54"/>
  <c r="BB47" i="54"/>
  <c r="BA47" i="54"/>
  <c r="AZ47" i="54"/>
  <c r="AW47" i="54"/>
  <c r="AV47" i="54"/>
  <c r="AN47" i="54"/>
  <c r="AH47" i="54"/>
  <c r="AI48" i="54"/>
  <c r="T75" i="54"/>
  <c r="AO51" i="53"/>
  <c r="AH51" i="53"/>
  <c r="AO48" i="53"/>
  <c r="AP48" i="53"/>
  <c r="AQ48" i="53"/>
  <c r="AN48" i="53"/>
  <c r="AM48" i="53"/>
  <c r="AN45" i="53"/>
  <c r="AH45" i="53"/>
  <c r="AA68" i="53"/>
  <c r="K68" i="53"/>
  <c r="Y42" i="53"/>
  <c r="K42" i="53"/>
  <c r="AB47" i="53"/>
  <c r="K47" i="53"/>
  <c r="U75" i="53"/>
  <c r="C75" i="53"/>
  <c r="C8" i="55" l="1"/>
  <c r="C9" i="55" s="1"/>
  <c r="F79" i="55"/>
  <c r="G79" i="55" s="1"/>
  <c r="H79" i="55" s="1"/>
  <c r="I79" i="55" s="1"/>
  <c r="J79" i="55" s="1"/>
  <c r="K79" i="55" s="1"/>
  <c r="L79" i="55" s="1"/>
  <c r="M79" i="55" s="1"/>
  <c r="N79" i="55" s="1"/>
  <c r="O79" i="55" s="1"/>
  <c r="P79" i="55" s="1"/>
  <c r="Q79" i="55" s="1"/>
  <c r="R79" i="55" s="1"/>
  <c r="S79" i="55" s="1"/>
  <c r="T79" i="55" s="1"/>
  <c r="U79" i="55" s="1"/>
  <c r="V79" i="55" s="1"/>
  <c r="W79" i="55" s="1"/>
  <c r="X79" i="55" s="1"/>
  <c r="Y79" i="55" s="1"/>
  <c r="Z79" i="55" s="1"/>
  <c r="AA79" i="55" s="1"/>
  <c r="AB79" i="55" s="1"/>
  <c r="AC79" i="55" s="1"/>
  <c r="AD79" i="55" s="1"/>
  <c r="AE79" i="55" s="1"/>
  <c r="AF79" i="55" s="1"/>
  <c r="AG79" i="55" s="1"/>
  <c r="AH79" i="55" s="1"/>
  <c r="AI79" i="55" s="1"/>
  <c r="AJ79" i="55" s="1"/>
  <c r="AK79" i="55" s="1"/>
  <c r="AL79" i="55" s="1"/>
  <c r="AM79" i="55" s="1"/>
  <c r="AN79" i="55" s="1"/>
  <c r="AO79" i="55" s="1"/>
  <c r="AP79" i="55" s="1"/>
  <c r="AQ79" i="55" s="1"/>
  <c r="AR79" i="55" s="1"/>
  <c r="AS79" i="55" s="1"/>
  <c r="AT79" i="55" s="1"/>
  <c r="AU79" i="55" s="1"/>
  <c r="AV79" i="55" s="1"/>
  <c r="AW79" i="55" s="1"/>
  <c r="AX79" i="55" s="1"/>
  <c r="AY79" i="55" s="1"/>
  <c r="AZ79" i="55" s="1"/>
  <c r="BA79" i="55" s="1"/>
  <c r="BB79" i="55" s="1"/>
  <c r="BC79" i="55" s="1"/>
  <c r="BD79" i="55" s="1"/>
  <c r="BE79" i="55" s="1"/>
  <c r="BF79" i="55" s="1"/>
  <c r="BG79" i="55" s="1"/>
  <c r="BH79" i="55" s="1"/>
  <c r="BI79" i="55" s="1"/>
  <c r="BJ79" i="55" s="1"/>
  <c r="BK79" i="55" s="1"/>
  <c r="BL79" i="55" s="1"/>
  <c r="BM79" i="55" s="1"/>
  <c r="BN79" i="55" s="1"/>
  <c r="BO79" i="55" s="1"/>
  <c r="BP79" i="55" s="1"/>
  <c r="BQ79" i="55" s="1"/>
  <c r="BR79" i="55" s="1"/>
  <c r="BS79" i="55" s="1"/>
  <c r="E44" i="54"/>
  <c r="Q40" i="54"/>
  <c r="C62" i="54"/>
  <c r="C44" i="54"/>
  <c r="C43" i="54"/>
  <c r="C40" i="54"/>
  <c r="C76" i="54"/>
  <c r="J74" i="54"/>
  <c r="G74" i="54"/>
  <c r="X68" i="54"/>
  <c r="Q68" i="54"/>
  <c r="E68" i="54"/>
  <c r="T65" i="54"/>
  <c r="C65" i="54"/>
  <c r="U60" i="54"/>
  <c r="M60" i="54"/>
  <c r="R60" i="54"/>
  <c r="K60" i="54"/>
  <c r="T60" i="54"/>
  <c r="G60" i="54"/>
  <c r="C58" i="54"/>
  <c r="C52" i="54"/>
  <c r="AG51" i="54"/>
  <c r="Q51" i="54"/>
  <c r="AH48" i="54"/>
  <c r="AF48" i="54"/>
  <c r="AB48" i="54"/>
  <c r="Z48" i="54"/>
  <c r="U48" i="54"/>
  <c r="T48" i="54"/>
  <c r="R48" i="54"/>
  <c r="R26" i="54" s="1"/>
  <c r="AT47" i="54"/>
  <c r="AO47" i="54"/>
  <c r="AM47" i="54"/>
  <c r="AI47" i="54"/>
  <c r="AG47" i="54"/>
  <c r="AE47" i="54"/>
  <c r="AB47" i="54"/>
  <c r="Z47" i="54"/>
  <c r="X47" i="54"/>
  <c r="AF47" i="54"/>
  <c r="T47" i="54"/>
  <c r="Q47" i="54"/>
  <c r="M47" i="54"/>
  <c r="AU47" i="54"/>
  <c r="C47" i="54"/>
  <c r="AO46" i="54"/>
  <c r="AN46" i="54"/>
  <c r="AN26" i="54" s="1"/>
  <c r="AL46" i="54"/>
  <c r="AH46" i="54"/>
  <c r="AH26" i="54" s="1"/>
  <c r="AG46" i="54"/>
  <c r="AF46" i="54"/>
  <c r="AF26" i="54" s="1"/>
  <c r="AE46" i="54"/>
  <c r="AB46" i="54"/>
  <c r="AA46" i="54"/>
  <c r="Z46" i="54"/>
  <c r="Z26" i="54" s="1"/>
  <c r="Y46" i="54"/>
  <c r="X46" i="54"/>
  <c r="T46" i="54"/>
  <c r="T26" i="54" s="1"/>
  <c r="S46" i="54"/>
  <c r="C46" i="54"/>
  <c r="AG45" i="54"/>
  <c r="AU43" i="54"/>
  <c r="AU26" i="54" s="1"/>
  <c r="AT43" i="54"/>
  <c r="AT26" i="54" s="1"/>
  <c r="AP43" i="54"/>
  <c r="AO43" i="54"/>
  <c r="AN43" i="54"/>
  <c r="AM43" i="54"/>
  <c r="AM26" i="54" s="1"/>
  <c r="AL43" i="54"/>
  <c r="AI43" i="54"/>
  <c r="AH43" i="54"/>
  <c r="AG43" i="54"/>
  <c r="AF43" i="54"/>
  <c r="AW43" i="54"/>
  <c r="AE26" i="54" s="1"/>
  <c r="AB43" i="54"/>
  <c r="AA43" i="54"/>
  <c r="AA26" i="54" s="1"/>
  <c r="Z43" i="54"/>
  <c r="Y43" i="54"/>
  <c r="Y26" i="54" s="1"/>
  <c r="X43" i="54"/>
  <c r="U43" i="54"/>
  <c r="T43" i="54"/>
  <c r="S43" i="54"/>
  <c r="Q43" i="54"/>
  <c r="K43" i="54"/>
  <c r="J43" i="54"/>
  <c r="G43" i="54"/>
  <c r="E43" i="54"/>
  <c r="T42" i="54"/>
  <c r="R42" i="54"/>
  <c r="C42" i="54"/>
  <c r="Q41" i="54"/>
  <c r="U41" i="54"/>
  <c r="J40" i="54"/>
  <c r="J26" i="54" s="1"/>
  <c r="F40" i="54"/>
  <c r="AB39" i="54"/>
  <c r="Z39" i="54"/>
  <c r="X39" i="54"/>
  <c r="U39" i="54"/>
  <c r="R39" i="54"/>
  <c r="M39" i="54"/>
  <c r="G39" i="54"/>
  <c r="Q36" i="54"/>
  <c r="U36" i="54"/>
  <c r="L36" i="54"/>
  <c r="S36" i="54"/>
  <c r="J36" i="54"/>
  <c r="G36" i="54"/>
  <c r="AF31" i="54"/>
  <c r="AF30" i="54"/>
  <c r="BT26" i="54"/>
  <c r="BS26" i="54"/>
  <c r="BR26" i="54"/>
  <c r="BQ26" i="54"/>
  <c r="BP26" i="54"/>
  <c r="BO26" i="54"/>
  <c r="BN26" i="54"/>
  <c r="BM26" i="54"/>
  <c r="BL26" i="54"/>
  <c r="BK26" i="54"/>
  <c r="BJ26" i="54"/>
  <c r="BI26" i="54"/>
  <c r="BH26" i="54"/>
  <c r="BG26" i="54"/>
  <c r="BF26" i="54"/>
  <c r="BE26" i="54"/>
  <c r="BD26" i="54"/>
  <c r="BC26" i="54"/>
  <c r="BB26" i="54"/>
  <c r="BA26" i="54"/>
  <c r="AZ26" i="54"/>
  <c r="AY26" i="54"/>
  <c r="AX26" i="54"/>
  <c r="AW26" i="54"/>
  <c r="AV26" i="54"/>
  <c r="AS26" i="54"/>
  <c r="AR26" i="54"/>
  <c r="AQ26" i="54"/>
  <c r="AP26" i="54"/>
  <c r="AL26" i="54"/>
  <c r="AK26" i="54"/>
  <c r="AJ26" i="54"/>
  <c r="AD26" i="54"/>
  <c r="AC26" i="54"/>
  <c r="AB26" i="54"/>
  <c r="X26" i="54"/>
  <c r="W26" i="54"/>
  <c r="V26" i="54"/>
  <c r="P26" i="54"/>
  <c r="O26" i="54"/>
  <c r="N26" i="54"/>
  <c r="L26" i="54"/>
  <c r="I26" i="54"/>
  <c r="H26" i="54"/>
  <c r="F26" i="54"/>
  <c r="BN24" i="54"/>
  <c r="BN16" i="54" s="1"/>
  <c r="AM24" i="54"/>
  <c r="AF24" i="54"/>
  <c r="AF16" i="54" s="1"/>
  <c r="J24" i="54"/>
  <c r="J16" i="54" s="1"/>
  <c r="T23" i="54"/>
  <c r="T16" i="54" s="1"/>
  <c r="BT16" i="54"/>
  <c r="BS16" i="54"/>
  <c r="BR16" i="54"/>
  <c r="BQ16" i="54"/>
  <c r="BP16" i="54"/>
  <c r="BO16" i="54"/>
  <c r="BM16" i="54"/>
  <c r="BL16" i="54"/>
  <c r="BK16" i="54"/>
  <c r="BJ16" i="54"/>
  <c r="BI16" i="54"/>
  <c r="BH16" i="54"/>
  <c r="BG16" i="54"/>
  <c r="BF16" i="54"/>
  <c r="BE16" i="54"/>
  <c r="BD16" i="54"/>
  <c r="BC16" i="54"/>
  <c r="BB16" i="54"/>
  <c r="BA16" i="54"/>
  <c r="AZ16" i="54"/>
  <c r="AY16" i="54"/>
  <c r="AX16" i="54"/>
  <c r="AW16" i="54"/>
  <c r="AV16" i="54"/>
  <c r="AU16" i="54"/>
  <c r="AT16" i="54"/>
  <c r="AS16" i="54"/>
  <c r="AR16" i="54"/>
  <c r="AQ16" i="54"/>
  <c r="AP16" i="54"/>
  <c r="AO16" i="54"/>
  <c r="AN16" i="54"/>
  <c r="AM16" i="54"/>
  <c r="AL16" i="54"/>
  <c r="AK16" i="54"/>
  <c r="AJ16" i="54"/>
  <c r="AI16" i="54"/>
  <c r="AH16" i="54"/>
  <c r="AG16" i="54"/>
  <c r="AE16" i="54"/>
  <c r="AD16" i="54"/>
  <c r="AC16" i="54"/>
  <c r="AB16" i="54"/>
  <c r="AA16" i="54"/>
  <c r="Z16" i="54"/>
  <c r="Y16" i="54"/>
  <c r="X16" i="54"/>
  <c r="W16" i="54"/>
  <c r="V16" i="54"/>
  <c r="U16" i="54"/>
  <c r="S16" i="54"/>
  <c r="R16" i="54"/>
  <c r="Q16" i="54"/>
  <c r="P16" i="54"/>
  <c r="O16" i="54"/>
  <c r="N16" i="54"/>
  <c r="M16" i="54"/>
  <c r="L16" i="54"/>
  <c r="K16" i="54"/>
  <c r="I16" i="54"/>
  <c r="H16" i="54"/>
  <c r="G16" i="54"/>
  <c r="F16" i="54"/>
  <c r="E16" i="54"/>
  <c r="C16" i="54"/>
  <c r="C5" i="54"/>
  <c r="G26" i="54" l="1"/>
  <c r="K26" i="54"/>
  <c r="M26" i="54"/>
  <c r="C7" i="54"/>
  <c r="U26" i="54"/>
  <c r="E26" i="54"/>
  <c r="E79" i="54" s="1"/>
  <c r="F79" i="54" s="1"/>
  <c r="C26" i="54"/>
  <c r="Q26" i="54"/>
  <c r="AG26" i="54"/>
  <c r="S26" i="54"/>
  <c r="AI26" i="54"/>
  <c r="AO26" i="54"/>
  <c r="C10" i="54"/>
  <c r="E50" i="53"/>
  <c r="G79" i="54" l="1"/>
  <c r="H79" i="54" s="1"/>
  <c r="I79" i="54" s="1"/>
  <c r="J79" i="54" s="1"/>
  <c r="K79" i="54" s="1"/>
  <c r="L79" i="54" s="1"/>
  <c r="M79" i="54" s="1"/>
  <c r="N79" i="54" s="1"/>
  <c r="O79" i="54" s="1"/>
  <c r="P79" i="54" s="1"/>
  <c r="Q79" i="54" s="1"/>
  <c r="R79" i="54" s="1"/>
  <c r="S79" i="54" s="1"/>
  <c r="T79" i="54" s="1"/>
  <c r="U79" i="54" s="1"/>
  <c r="V79" i="54" s="1"/>
  <c r="W79" i="54" s="1"/>
  <c r="X79" i="54" s="1"/>
  <c r="Y79" i="54" s="1"/>
  <c r="Z79" i="54" s="1"/>
  <c r="AA79" i="54" s="1"/>
  <c r="AB79" i="54" s="1"/>
  <c r="AC79" i="54" s="1"/>
  <c r="AD79" i="54" s="1"/>
  <c r="AE79" i="54" s="1"/>
  <c r="AF79" i="54" s="1"/>
  <c r="AG79" i="54" s="1"/>
  <c r="AH79" i="54" s="1"/>
  <c r="AI79" i="54" s="1"/>
  <c r="AJ79" i="54" s="1"/>
  <c r="AK79" i="54" s="1"/>
  <c r="AL79" i="54" s="1"/>
  <c r="AM79" i="54" s="1"/>
  <c r="AN79" i="54" s="1"/>
  <c r="AO79" i="54" s="1"/>
  <c r="AP79" i="54" s="1"/>
  <c r="AQ79" i="54" s="1"/>
  <c r="AR79" i="54" s="1"/>
  <c r="AS79" i="54" s="1"/>
  <c r="AT79" i="54" s="1"/>
  <c r="AU79" i="54" s="1"/>
  <c r="AV79" i="54" s="1"/>
  <c r="AW79" i="54" s="1"/>
  <c r="AX79" i="54" s="1"/>
  <c r="AY79" i="54" s="1"/>
  <c r="AZ79" i="54" s="1"/>
  <c r="BA79" i="54" s="1"/>
  <c r="BB79" i="54" s="1"/>
  <c r="BC79" i="54" s="1"/>
  <c r="BD79" i="54" s="1"/>
  <c r="BE79" i="54" s="1"/>
  <c r="BF79" i="54" s="1"/>
  <c r="BG79" i="54" s="1"/>
  <c r="BH79" i="54" s="1"/>
  <c r="BI79" i="54" s="1"/>
  <c r="BJ79" i="54" s="1"/>
  <c r="BK79" i="54" s="1"/>
  <c r="BL79" i="54" s="1"/>
  <c r="BM79" i="54" s="1"/>
  <c r="BN79" i="54" s="1"/>
  <c r="BO79" i="54" s="1"/>
  <c r="BP79" i="54" s="1"/>
  <c r="BQ79" i="54" s="1"/>
  <c r="BR79" i="54" s="1"/>
  <c r="BS79" i="54" s="1"/>
  <c r="BT79" i="54" s="1"/>
  <c r="C11" i="54"/>
  <c r="C8" i="54"/>
  <c r="C47" i="53"/>
  <c r="C76" i="53"/>
  <c r="K74" i="53"/>
  <c r="H74" i="53"/>
  <c r="R68" i="53"/>
  <c r="Y68" i="53"/>
  <c r="F68" i="53"/>
  <c r="U65" i="53"/>
  <c r="C65" i="53"/>
  <c r="C62" i="53"/>
  <c r="V60" i="53"/>
  <c r="N60" i="53"/>
  <c r="U60" i="53"/>
  <c r="T60" i="53"/>
  <c r="K60" i="53"/>
  <c r="H60" i="53"/>
  <c r="C58" i="53"/>
  <c r="V53" i="53"/>
  <c r="C52" i="53"/>
  <c r="R51" i="53"/>
  <c r="AJ48" i="53"/>
  <c r="AG48" i="53"/>
  <c r="AC48" i="53"/>
  <c r="AA48" i="53"/>
  <c r="V48" i="53"/>
  <c r="U48" i="53"/>
  <c r="S48" i="53"/>
  <c r="AU47" i="53"/>
  <c r="AP47" i="53"/>
  <c r="AN47" i="53"/>
  <c r="AJ47" i="53"/>
  <c r="AH47" i="53"/>
  <c r="AF47" i="53"/>
  <c r="AC47" i="53"/>
  <c r="AA47" i="53"/>
  <c r="Y47" i="53"/>
  <c r="V47" i="53"/>
  <c r="U47" i="53"/>
  <c r="R47" i="53"/>
  <c r="N47" i="53"/>
  <c r="AI47" i="53"/>
  <c r="G47" i="53"/>
  <c r="F47" i="53"/>
  <c r="AP46" i="53"/>
  <c r="AO46" i="53"/>
  <c r="AM46" i="53"/>
  <c r="AM26" i="53" s="1"/>
  <c r="AQ46" i="53"/>
  <c r="AH46" i="53"/>
  <c r="AT46" i="53"/>
  <c r="AF46" i="53"/>
  <c r="AC46" i="53"/>
  <c r="AB46" i="53"/>
  <c r="AA46" i="53"/>
  <c r="Z46" i="53"/>
  <c r="Y46" i="53"/>
  <c r="U46" i="53"/>
  <c r="T46" i="53"/>
  <c r="C46" i="53"/>
  <c r="Z44" i="53"/>
  <c r="U44" i="53"/>
  <c r="G44" i="53"/>
  <c r="E44" i="53"/>
  <c r="C44" i="53"/>
  <c r="AV43" i="53"/>
  <c r="AV26" i="53" s="1"/>
  <c r="AU43" i="53"/>
  <c r="AQ43" i="53"/>
  <c r="AP43" i="53"/>
  <c r="AP26" i="53" s="1"/>
  <c r="AO43" i="53"/>
  <c r="AN43" i="53"/>
  <c r="AM43" i="53"/>
  <c r="AJ43" i="53"/>
  <c r="AI43" i="53"/>
  <c r="AH43" i="53"/>
  <c r="AG43" i="53"/>
  <c r="AF43" i="53"/>
  <c r="AF26" i="53" s="1"/>
  <c r="AC43" i="53"/>
  <c r="AB43" i="53"/>
  <c r="AB26" i="53" s="1"/>
  <c r="Z43" i="53"/>
  <c r="Y43" i="53"/>
  <c r="Y26" i="53" s="1"/>
  <c r="V43" i="53"/>
  <c r="U43" i="53"/>
  <c r="T43" i="53"/>
  <c r="T26" i="53" s="1"/>
  <c r="R43" i="53"/>
  <c r="N43" i="53"/>
  <c r="AA43" i="53"/>
  <c r="L43" i="53"/>
  <c r="K43" i="53"/>
  <c r="H43" i="53"/>
  <c r="F43" i="53"/>
  <c r="E43" i="53"/>
  <c r="C43" i="53"/>
  <c r="C26" i="53" s="1"/>
  <c r="C11" i="53" s="1"/>
  <c r="U42" i="53"/>
  <c r="S42" i="53"/>
  <c r="S26" i="53" s="1"/>
  <c r="C42" i="53"/>
  <c r="R41" i="53"/>
  <c r="V41" i="53"/>
  <c r="K40" i="53"/>
  <c r="H40" i="53"/>
  <c r="G40" i="53"/>
  <c r="G26" i="53" s="1"/>
  <c r="F40" i="53"/>
  <c r="AC39" i="53"/>
  <c r="AA39" i="53"/>
  <c r="Y39" i="53"/>
  <c r="V39" i="53"/>
  <c r="S39" i="53"/>
  <c r="N39" i="53"/>
  <c r="H39" i="53"/>
  <c r="E39" i="53"/>
  <c r="R36" i="53"/>
  <c r="N36" i="53"/>
  <c r="M36" i="53"/>
  <c r="L36" i="53"/>
  <c r="K36" i="53"/>
  <c r="H36" i="53"/>
  <c r="AG31" i="53"/>
  <c r="AG30" i="53"/>
  <c r="BU26" i="53"/>
  <c r="BT26" i="53"/>
  <c r="BS26" i="53"/>
  <c r="BR26" i="53"/>
  <c r="BQ26" i="53"/>
  <c r="BP26" i="53"/>
  <c r="BO26" i="53"/>
  <c r="BN26" i="53"/>
  <c r="BM26" i="53"/>
  <c r="BL26" i="53"/>
  <c r="BK26" i="53"/>
  <c r="BJ26" i="53"/>
  <c r="BI26" i="53"/>
  <c r="BH26" i="53"/>
  <c r="BG26" i="53"/>
  <c r="BF26" i="53"/>
  <c r="BE26" i="53"/>
  <c r="BD26" i="53"/>
  <c r="BC26" i="53"/>
  <c r="BB26" i="53"/>
  <c r="BA26" i="53"/>
  <c r="AZ26" i="53"/>
  <c r="AY26" i="53"/>
  <c r="AX26" i="53"/>
  <c r="AW26" i="53"/>
  <c r="AU26" i="53"/>
  <c r="AT26" i="53"/>
  <c r="AS26" i="53"/>
  <c r="AR26" i="53"/>
  <c r="AQ26" i="53"/>
  <c r="AO26" i="53"/>
  <c r="AL26" i="53"/>
  <c r="AK26" i="53"/>
  <c r="AJ26" i="53"/>
  <c r="AI26" i="53"/>
  <c r="AE26" i="53"/>
  <c r="AD26" i="53"/>
  <c r="AC26" i="53"/>
  <c r="AA26" i="53"/>
  <c r="X26" i="53"/>
  <c r="W26" i="53"/>
  <c r="U26" i="53"/>
  <c r="Q26" i="53"/>
  <c r="P26" i="53"/>
  <c r="O26" i="53"/>
  <c r="K26" i="53"/>
  <c r="J26" i="53"/>
  <c r="I26" i="53"/>
  <c r="E26" i="53"/>
  <c r="E79" i="53" s="1"/>
  <c r="BO24" i="53"/>
  <c r="BO16" i="53" s="1"/>
  <c r="AN24" i="53"/>
  <c r="AG24" i="53"/>
  <c r="AG16" i="53" s="1"/>
  <c r="K24" i="53"/>
  <c r="K16" i="53" s="1"/>
  <c r="U23" i="53"/>
  <c r="U16" i="53" s="1"/>
  <c r="BU16" i="53"/>
  <c r="BT16" i="53"/>
  <c r="BS16" i="53"/>
  <c r="BR16" i="53"/>
  <c r="BQ16" i="53"/>
  <c r="BP16" i="53"/>
  <c r="BN16" i="53"/>
  <c r="BM16" i="53"/>
  <c r="BL16" i="53"/>
  <c r="BK16" i="53"/>
  <c r="BJ16" i="53"/>
  <c r="BI16" i="53"/>
  <c r="BH16" i="53"/>
  <c r="BG16" i="53"/>
  <c r="BF16" i="53"/>
  <c r="BE16" i="53"/>
  <c r="BD16" i="53"/>
  <c r="BC16" i="53"/>
  <c r="BB16" i="53"/>
  <c r="BA16" i="53"/>
  <c r="AZ16" i="53"/>
  <c r="AY16" i="53"/>
  <c r="AX16" i="53"/>
  <c r="AW16" i="53"/>
  <c r="AV16" i="53"/>
  <c r="AU16" i="53"/>
  <c r="AT16" i="53"/>
  <c r="AS16" i="53"/>
  <c r="AR16" i="53"/>
  <c r="AQ16" i="53"/>
  <c r="AP16" i="53"/>
  <c r="AO16" i="53"/>
  <c r="AN16" i="53"/>
  <c r="AM16" i="53"/>
  <c r="AL16" i="53"/>
  <c r="AK16" i="53"/>
  <c r="AJ16" i="53"/>
  <c r="AI16" i="53"/>
  <c r="AH16" i="53"/>
  <c r="AF16" i="53"/>
  <c r="AE16" i="53"/>
  <c r="AD16" i="53"/>
  <c r="AC16" i="53"/>
  <c r="AB16" i="53"/>
  <c r="AA16" i="53"/>
  <c r="Z16" i="53"/>
  <c r="Y16" i="53"/>
  <c r="X16" i="53"/>
  <c r="W16" i="53"/>
  <c r="V16" i="53"/>
  <c r="T16" i="53"/>
  <c r="S16" i="53"/>
  <c r="R16" i="53"/>
  <c r="Q16" i="53"/>
  <c r="P16" i="53"/>
  <c r="O16" i="53"/>
  <c r="N16" i="53"/>
  <c r="M16" i="53"/>
  <c r="L16" i="53"/>
  <c r="J16" i="53"/>
  <c r="I16" i="53"/>
  <c r="H16" i="53"/>
  <c r="G16" i="53"/>
  <c r="F16" i="53"/>
  <c r="E16" i="53"/>
  <c r="C16" i="53"/>
  <c r="C10" i="53"/>
  <c r="C5" i="53"/>
  <c r="C9" i="54" l="1"/>
  <c r="AG26" i="53"/>
  <c r="M26" i="53"/>
  <c r="C7" i="53"/>
  <c r="R26" i="53"/>
  <c r="H26" i="53"/>
  <c r="F26" i="53"/>
  <c r="N26" i="53"/>
  <c r="L26" i="53"/>
  <c r="V26" i="53"/>
  <c r="Z26" i="53"/>
  <c r="AH26" i="53"/>
  <c r="AN26" i="53"/>
  <c r="AI45" i="52"/>
  <c r="AI51" i="52"/>
  <c r="C76" i="52"/>
  <c r="L74" i="52"/>
  <c r="E74" i="52"/>
  <c r="S68" i="52"/>
  <c r="M68" i="52"/>
  <c r="G68" i="52"/>
  <c r="V65" i="52"/>
  <c r="C65" i="52"/>
  <c r="C62" i="52"/>
  <c r="W60" i="52"/>
  <c r="O60" i="52"/>
  <c r="N60" i="52"/>
  <c r="M60" i="52"/>
  <c r="L60" i="52"/>
  <c r="I60" i="52"/>
  <c r="C58" i="52"/>
  <c r="W53" i="52"/>
  <c r="C52" i="52"/>
  <c r="O51" i="52"/>
  <c r="F50" i="52"/>
  <c r="AK48" i="52"/>
  <c r="AN48" i="52"/>
  <c r="AH48" i="52"/>
  <c r="AD48" i="52"/>
  <c r="AB48" i="52"/>
  <c r="W48" i="52"/>
  <c r="V48" i="52"/>
  <c r="T48" i="52"/>
  <c r="AV47" i="52"/>
  <c r="AQ47" i="52"/>
  <c r="AO47" i="52"/>
  <c r="AK47" i="52"/>
  <c r="AI47" i="52"/>
  <c r="AG47" i="52"/>
  <c r="AD47" i="52"/>
  <c r="AB47" i="52"/>
  <c r="Z47" i="52"/>
  <c r="W47" i="52"/>
  <c r="V47" i="52"/>
  <c r="S47" i="52"/>
  <c r="O47" i="52"/>
  <c r="N47" i="52"/>
  <c r="L47" i="52"/>
  <c r="I47" i="52"/>
  <c r="G47" i="52"/>
  <c r="E47" i="52"/>
  <c r="C47" i="52"/>
  <c r="AQ46" i="52"/>
  <c r="AP46" i="52"/>
  <c r="AN46" i="52"/>
  <c r="AJ46" i="52"/>
  <c r="AJ26" i="52" s="1"/>
  <c r="AI46" i="52"/>
  <c r="AH46" i="52"/>
  <c r="AG46" i="52"/>
  <c r="AD46" i="52"/>
  <c r="AC46" i="52"/>
  <c r="AB46" i="52"/>
  <c r="AA46" i="52"/>
  <c r="Z46" i="52"/>
  <c r="V46" i="52"/>
  <c r="U46" i="52"/>
  <c r="C46" i="52"/>
  <c r="AA44" i="52"/>
  <c r="V44" i="52"/>
  <c r="H44" i="52"/>
  <c r="F44" i="52"/>
  <c r="C44" i="52"/>
  <c r="AW43" i="52"/>
  <c r="AV43" i="52"/>
  <c r="AV26" i="52" s="1"/>
  <c r="AR43" i="52"/>
  <c r="AQ43" i="52"/>
  <c r="AQ26" i="52" s="1"/>
  <c r="AP43" i="52"/>
  <c r="AO43" i="52"/>
  <c r="AN43" i="52"/>
  <c r="AK43" i="52"/>
  <c r="AJ43" i="52"/>
  <c r="AI43" i="52"/>
  <c r="AH43" i="52"/>
  <c r="AG43" i="52"/>
  <c r="AD43" i="52"/>
  <c r="AC43" i="52"/>
  <c r="AC26" i="52" s="1"/>
  <c r="AA43" i="52"/>
  <c r="Z43" i="52"/>
  <c r="Z26" i="52" s="1"/>
  <c r="W43" i="52"/>
  <c r="V43" i="52"/>
  <c r="V26" i="52" s="1"/>
  <c r="U43" i="52"/>
  <c r="S43" i="52"/>
  <c r="O43" i="52"/>
  <c r="N43" i="52"/>
  <c r="N26" i="52" s="1"/>
  <c r="M43" i="52"/>
  <c r="L43" i="52"/>
  <c r="I43" i="52"/>
  <c r="G43" i="52"/>
  <c r="G26" i="52" s="1"/>
  <c r="F43" i="52"/>
  <c r="C43" i="52"/>
  <c r="T42" i="52"/>
  <c r="S41" i="52"/>
  <c r="V42" i="52"/>
  <c r="C42" i="52"/>
  <c r="C26" i="52" s="1"/>
  <c r="O41" i="52"/>
  <c r="L40" i="52"/>
  <c r="I40" i="52"/>
  <c r="H40" i="52"/>
  <c r="G40" i="52"/>
  <c r="F40" i="52"/>
  <c r="AD39" i="52"/>
  <c r="AB39" i="52"/>
  <c r="AB26" i="52" s="1"/>
  <c r="Z39" i="52"/>
  <c r="W39" i="52"/>
  <c r="W26" i="52" s="1"/>
  <c r="T39" i="52"/>
  <c r="O39" i="52"/>
  <c r="I39" i="52"/>
  <c r="F39" i="52"/>
  <c r="F26" i="52" s="1"/>
  <c r="L26" i="52"/>
  <c r="H26" i="52"/>
  <c r="S36" i="52"/>
  <c r="O36" i="52"/>
  <c r="N36" i="52"/>
  <c r="M36" i="52"/>
  <c r="M26" i="52" s="1"/>
  <c r="L36" i="52"/>
  <c r="I36" i="52"/>
  <c r="AH31" i="52"/>
  <c r="AH30" i="52"/>
  <c r="AH26" i="52" s="1"/>
  <c r="BV26" i="52"/>
  <c r="BU26" i="52"/>
  <c r="BT26" i="52"/>
  <c r="BS26" i="52"/>
  <c r="BR26" i="52"/>
  <c r="BQ26" i="52"/>
  <c r="BP26" i="52"/>
  <c r="BO26" i="52"/>
  <c r="BN26" i="52"/>
  <c r="BM26" i="52"/>
  <c r="BL26" i="52"/>
  <c r="BK26" i="52"/>
  <c r="BJ26" i="52"/>
  <c r="BI26" i="52"/>
  <c r="BH26" i="52"/>
  <c r="BG26" i="52"/>
  <c r="BF26" i="52"/>
  <c r="BE26" i="52"/>
  <c r="BD26" i="52"/>
  <c r="BC26" i="52"/>
  <c r="BB26" i="52"/>
  <c r="BA26" i="52"/>
  <c r="AZ26" i="52"/>
  <c r="AY26" i="52"/>
  <c r="AX26" i="52"/>
  <c r="AW26" i="52"/>
  <c r="AU26" i="52"/>
  <c r="AT26" i="52"/>
  <c r="AS26" i="52"/>
  <c r="AR26" i="52"/>
  <c r="AO26" i="52"/>
  <c r="AN26" i="52"/>
  <c r="AM26" i="52"/>
  <c r="AL26" i="52"/>
  <c r="AK26" i="52"/>
  <c r="AG26" i="52"/>
  <c r="AF26" i="52"/>
  <c r="AE26" i="52"/>
  <c r="AA26" i="52"/>
  <c r="Y26" i="52"/>
  <c r="X26" i="52"/>
  <c r="U26" i="52"/>
  <c r="T26" i="52"/>
  <c r="S26" i="52"/>
  <c r="R26" i="52"/>
  <c r="Q26" i="52"/>
  <c r="P26" i="52"/>
  <c r="O26" i="52"/>
  <c r="K26" i="52"/>
  <c r="J26" i="52"/>
  <c r="I26" i="52"/>
  <c r="E26" i="52"/>
  <c r="BP24" i="52"/>
  <c r="AO24" i="52"/>
  <c r="AH24" i="52"/>
  <c r="L24" i="52"/>
  <c r="L16" i="52" s="1"/>
  <c r="V23" i="52"/>
  <c r="E18" i="52"/>
  <c r="E16" i="52" s="1"/>
  <c r="BV16" i="52"/>
  <c r="BU16" i="52"/>
  <c r="BT16" i="52"/>
  <c r="BS16" i="52"/>
  <c r="BR16" i="52"/>
  <c r="BQ16" i="52"/>
  <c r="BP16" i="52"/>
  <c r="BO16" i="52"/>
  <c r="BN16" i="52"/>
  <c r="BM16" i="52"/>
  <c r="BL16" i="52"/>
  <c r="BK16" i="52"/>
  <c r="BJ16" i="52"/>
  <c r="BI16" i="52"/>
  <c r="BH16" i="52"/>
  <c r="BG16" i="52"/>
  <c r="BF16" i="52"/>
  <c r="BE16" i="52"/>
  <c r="BD16" i="52"/>
  <c r="BC16" i="52"/>
  <c r="BB16" i="52"/>
  <c r="BA16" i="52"/>
  <c r="AZ16" i="52"/>
  <c r="AY16" i="52"/>
  <c r="AX16" i="52"/>
  <c r="AW16" i="52"/>
  <c r="AV16" i="52"/>
  <c r="AU16" i="52"/>
  <c r="AT16" i="52"/>
  <c r="AS16" i="52"/>
  <c r="AR16" i="52"/>
  <c r="AQ16" i="52"/>
  <c r="AP16" i="52"/>
  <c r="AO16" i="52"/>
  <c r="AN16" i="52"/>
  <c r="AM16" i="52"/>
  <c r="AL16" i="52"/>
  <c r="AK16" i="52"/>
  <c r="AJ16" i="52"/>
  <c r="AI16" i="52"/>
  <c r="AH16" i="52"/>
  <c r="AG16" i="52"/>
  <c r="AF16" i="52"/>
  <c r="AE16" i="52"/>
  <c r="AD16" i="52"/>
  <c r="AC16" i="52"/>
  <c r="AB16" i="52"/>
  <c r="AA16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K16" i="52"/>
  <c r="J16" i="52"/>
  <c r="I16" i="52"/>
  <c r="H16" i="52"/>
  <c r="G16" i="52"/>
  <c r="F16" i="52"/>
  <c r="C16" i="52"/>
  <c r="C5" i="52"/>
  <c r="AL48" i="51"/>
  <c r="C8" i="53" l="1"/>
  <c r="C9" i="53" s="1"/>
  <c r="F79" i="53"/>
  <c r="G79" i="53" s="1"/>
  <c r="H79" i="53" s="1"/>
  <c r="I79" i="53" s="1"/>
  <c r="J79" i="53" s="1"/>
  <c r="K79" i="53" s="1"/>
  <c r="L79" i="53" s="1"/>
  <c r="M79" i="53" s="1"/>
  <c r="N79" i="53" s="1"/>
  <c r="O79" i="53" s="1"/>
  <c r="P79" i="53" s="1"/>
  <c r="Q79" i="53" s="1"/>
  <c r="R79" i="53" s="1"/>
  <c r="S79" i="53" s="1"/>
  <c r="T79" i="53" s="1"/>
  <c r="U79" i="53" s="1"/>
  <c r="V79" i="53" s="1"/>
  <c r="W79" i="53" s="1"/>
  <c r="X79" i="53" s="1"/>
  <c r="Y79" i="53" s="1"/>
  <c r="Z79" i="53" s="1"/>
  <c r="AA79" i="53" s="1"/>
  <c r="AB79" i="53" s="1"/>
  <c r="AC79" i="53" s="1"/>
  <c r="AD79" i="53" s="1"/>
  <c r="AE79" i="53" s="1"/>
  <c r="AF79" i="53" s="1"/>
  <c r="AG79" i="53" s="1"/>
  <c r="AH79" i="53" s="1"/>
  <c r="AI79" i="53" s="1"/>
  <c r="AJ79" i="53" s="1"/>
  <c r="AK79" i="53" s="1"/>
  <c r="AL79" i="53" s="1"/>
  <c r="AM79" i="53" s="1"/>
  <c r="AN79" i="53" s="1"/>
  <c r="AO79" i="53" s="1"/>
  <c r="AP79" i="53" s="1"/>
  <c r="AQ79" i="53" s="1"/>
  <c r="AR79" i="53" s="1"/>
  <c r="AS79" i="53" s="1"/>
  <c r="AT79" i="53" s="1"/>
  <c r="AU79" i="53" s="1"/>
  <c r="AV79" i="53" s="1"/>
  <c r="AW79" i="53" s="1"/>
  <c r="AX79" i="53" s="1"/>
  <c r="AY79" i="53" s="1"/>
  <c r="AZ79" i="53" s="1"/>
  <c r="BA79" i="53" s="1"/>
  <c r="BB79" i="53" s="1"/>
  <c r="BC79" i="53" s="1"/>
  <c r="BD79" i="53" s="1"/>
  <c r="BE79" i="53" s="1"/>
  <c r="BF79" i="53" s="1"/>
  <c r="BG79" i="53" s="1"/>
  <c r="BH79" i="53" s="1"/>
  <c r="BI79" i="53" s="1"/>
  <c r="BJ79" i="53" s="1"/>
  <c r="BK79" i="53" s="1"/>
  <c r="BL79" i="53" s="1"/>
  <c r="BM79" i="53" s="1"/>
  <c r="BN79" i="53" s="1"/>
  <c r="BO79" i="53" s="1"/>
  <c r="BP79" i="53" s="1"/>
  <c r="BQ79" i="53" s="1"/>
  <c r="BR79" i="53" s="1"/>
  <c r="BS79" i="53" s="1"/>
  <c r="BT79" i="53" s="1"/>
  <c r="BU79" i="53" s="1"/>
  <c r="E79" i="52"/>
  <c r="AI26" i="52"/>
  <c r="C7" i="52"/>
  <c r="AD26" i="52"/>
  <c r="AP26" i="52"/>
  <c r="C11" i="52"/>
  <c r="F79" i="52"/>
  <c r="G79" i="52" s="1"/>
  <c r="H79" i="52" s="1"/>
  <c r="I79" i="52" s="1"/>
  <c r="J79" i="52" s="1"/>
  <c r="K79" i="52" s="1"/>
  <c r="L79" i="52" s="1"/>
  <c r="M79" i="52" s="1"/>
  <c r="N79" i="52" s="1"/>
  <c r="O79" i="52" s="1"/>
  <c r="P79" i="52" s="1"/>
  <c r="Q79" i="52" s="1"/>
  <c r="R79" i="52" s="1"/>
  <c r="S79" i="52" s="1"/>
  <c r="T79" i="52" s="1"/>
  <c r="U79" i="52" s="1"/>
  <c r="V79" i="52" s="1"/>
  <c r="W79" i="52" s="1"/>
  <c r="X79" i="52" s="1"/>
  <c r="Y79" i="52" s="1"/>
  <c r="Z79" i="52" s="1"/>
  <c r="AA79" i="52" s="1"/>
  <c r="AB79" i="52" s="1"/>
  <c r="AC79" i="52" s="1"/>
  <c r="C10" i="52"/>
  <c r="E48" i="51"/>
  <c r="C48" i="51"/>
  <c r="C63" i="51"/>
  <c r="C58" i="51"/>
  <c r="C44" i="51"/>
  <c r="C42" i="51"/>
  <c r="C76" i="51"/>
  <c r="O74" i="51"/>
  <c r="H74" i="51"/>
  <c r="V68" i="51"/>
  <c r="P68" i="51"/>
  <c r="J68" i="51"/>
  <c r="Y65" i="51"/>
  <c r="C65" i="51"/>
  <c r="E63" i="51"/>
  <c r="C62" i="51"/>
  <c r="Z60" i="51"/>
  <c r="R60" i="51"/>
  <c r="Q60" i="51"/>
  <c r="P60" i="51"/>
  <c r="O60" i="51"/>
  <c r="L60" i="51"/>
  <c r="Z53" i="51"/>
  <c r="C52" i="51"/>
  <c r="R51" i="51"/>
  <c r="I50" i="51"/>
  <c r="AN48" i="51"/>
  <c r="AK48" i="51"/>
  <c r="AG48" i="51"/>
  <c r="AE48" i="51"/>
  <c r="Z48" i="51"/>
  <c r="Y48" i="51"/>
  <c r="W48" i="51"/>
  <c r="E26" i="51"/>
  <c r="E79" i="51" s="1"/>
  <c r="AY47" i="51"/>
  <c r="AT47" i="51"/>
  <c r="AR47" i="51"/>
  <c r="AN47" i="51"/>
  <c r="AL47" i="51"/>
  <c r="AJ47" i="51"/>
  <c r="AG47" i="51"/>
  <c r="AE47" i="51"/>
  <c r="AE26" i="51" s="1"/>
  <c r="AC47" i="51"/>
  <c r="Z47" i="51"/>
  <c r="Y47" i="51"/>
  <c r="V47" i="51"/>
  <c r="R47" i="51"/>
  <c r="Q47" i="51"/>
  <c r="O47" i="51"/>
  <c r="L47" i="51"/>
  <c r="J47" i="51"/>
  <c r="H47" i="51"/>
  <c r="C47" i="51"/>
  <c r="AT46" i="51"/>
  <c r="AS46" i="51"/>
  <c r="AQ46" i="51"/>
  <c r="AQ26" i="51" s="1"/>
  <c r="AM46" i="51"/>
  <c r="AL46" i="51"/>
  <c r="AK46" i="51"/>
  <c r="AJ46" i="51"/>
  <c r="AG46" i="51"/>
  <c r="AF46" i="51"/>
  <c r="AE46" i="51"/>
  <c r="AD46" i="51"/>
  <c r="AC46" i="51"/>
  <c r="Y46" i="51"/>
  <c r="X46" i="51"/>
  <c r="C46" i="51"/>
  <c r="C26" i="51" s="1"/>
  <c r="C11" i="51" s="1"/>
  <c r="AD44" i="51"/>
  <c r="Y44" i="51"/>
  <c r="K44" i="51"/>
  <c r="I44" i="51"/>
  <c r="I26" i="51" s="1"/>
  <c r="AZ43" i="51"/>
  <c r="AZ26" i="51" s="1"/>
  <c r="AY43" i="51"/>
  <c r="AY26" i="51" s="1"/>
  <c r="AU43" i="51"/>
  <c r="AU26" i="51" s="1"/>
  <c r="AT43" i="51"/>
  <c r="AS43" i="51"/>
  <c r="AR43" i="51"/>
  <c r="AQ43" i="51"/>
  <c r="AN43" i="51"/>
  <c r="AM43" i="51"/>
  <c r="AM26" i="51" s="1"/>
  <c r="AL43" i="51"/>
  <c r="AK43" i="51"/>
  <c r="AJ43" i="51"/>
  <c r="AG43" i="51"/>
  <c r="AF43" i="51"/>
  <c r="AD43" i="51"/>
  <c r="AC43" i="51"/>
  <c r="Z43" i="51"/>
  <c r="Y43" i="51"/>
  <c r="X43" i="51"/>
  <c r="X26" i="51" s="1"/>
  <c r="V43" i="51"/>
  <c r="R43" i="51"/>
  <c r="Q43" i="51"/>
  <c r="P43" i="51"/>
  <c r="O43" i="51"/>
  <c r="L43" i="51"/>
  <c r="J43" i="51"/>
  <c r="H43" i="51"/>
  <c r="C43" i="51"/>
  <c r="W42" i="51"/>
  <c r="V42" i="51"/>
  <c r="H42" i="51"/>
  <c r="R41" i="51"/>
  <c r="R26" i="51" s="1"/>
  <c r="O40" i="51"/>
  <c r="L40" i="51"/>
  <c r="J40" i="51"/>
  <c r="H40" i="51"/>
  <c r="K40" i="51"/>
  <c r="AG39" i="51"/>
  <c r="AG26" i="51" s="1"/>
  <c r="AE39" i="51"/>
  <c r="AC39" i="51"/>
  <c r="AC26" i="51" s="1"/>
  <c r="Z39" i="51"/>
  <c r="W39" i="51"/>
  <c r="W26" i="51" s="1"/>
  <c r="R39" i="51"/>
  <c r="L39" i="51"/>
  <c r="L26" i="51" s="1"/>
  <c r="I39" i="51"/>
  <c r="V38" i="51"/>
  <c r="Q38" i="51"/>
  <c r="O38" i="51"/>
  <c r="L38" i="51"/>
  <c r="K38" i="51"/>
  <c r="K26" i="51" s="1"/>
  <c r="J38" i="51"/>
  <c r="H38" i="51"/>
  <c r="H26" i="51" s="1"/>
  <c r="R38" i="51"/>
  <c r="V36" i="51"/>
  <c r="V26" i="51" s="1"/>
  <c r="R36" i="51"/>
  <c r="Q36" i="51"/>
  <c r="Q26" i="51" s="1"/>
  <c r="P36" i="51"/>
  <c r="O36" i="51"/>
  <c r="L36" i="51"/>
  <c r="AK31" i="51"/>
  <c r="AK30" i="51"/>
  <c r="BY26" i="51"/>
  <c r="BX26" i="51"/>
  <c r="BW26" i="51"/>
  <c r="BV26" i="51"/>
  <c r="BU26" i="51"/>
  <c r="BT26" i="51"/>
  <c r="BS26" i="51"/>
  <c r="BR26" i="51"/>
  <c r="BQ26" i="51"/>
  <c r="BP26" i="51"/>
  <c r="BO26" i="51"/>
  <c r="BN26" i="51"/>
  <c r="BM26" i="51"/>
  <c r="BL26" i="51"/>
  <c r="BK26" i="51"/>
  <c r="BJ26" i="51"/>
  <c r="BI26" i="51"/>
  <c r="BH26" i="51"/>
  <c r="BG26" i="51"/>
  <c r="BF26" i="51"/>
  <c r="BE26" i="51"/>
  <c r="BD26" i="51"/>
  <c r="BC26" i="51"/>
  <c r="BB26" i="51"/>
  <c r="BA26" i="51"/>
  <c r="AX26" i="51"/>
  <c r="AW26" i="51"/>
  <c r="AV26" i="51"/>
  <c r="AS26" i="51"/>
  <c r="AR26" i="51"/>
  <c r="AP26" i="51"/>
  <c r="AO26" i="51"/>
  <c r="AK26" i="51"/>
  <c r="AI26" i="51"/>
  <c r="AH26" i="51"/>
  <c r="AB26" i="51"/>
  <c r="AA26" i="51"/>
  <c r="U26" i="51"/>
  <c r="T26" i="51"/>
  <c r="S26" i="51"/>
  <c r="O26" i="51"/>
  <c r="N26" i="51"/>
  <c r="M26" i="51"/>
  <c r="G26" i="51"/>
  <c r="F26" i="51"/>
  <c r="BS24" i="51"/>
  <c r="AR24" i="51"/>
  <c r="AR16" i="51" s="1"/>
  <c r="AK24" i="51"/>
  <c r="O24" i="51"/>
  <c r="O16" i="51" s="1"/>
  <c r="Y23" i="51"/>
  <c r="H18" i="51"/>
  <c r="BY16" i="51"/>
  <c r="BX16" i="51"/>
  <c r="BW16" i="51"/>
  <c r="BV16" i="51"/>
  <c r="BU16" i="51"/>
  <c r="BT16" i="51"/>
  <c r="BS16" i="51"/>
  <c r="BR16" i="51"/>
  <c r="BQ16" i="51"/>
  <c r="BP16" i="51"/>
  <c r="BO16" i="51"/>
  <c r="BN16" i="51"/>
  <c r="BM16" i="51"/>
  <c r="BL16" i="51"/>
  <c r="BK16" i="51"/>
  <c r="BJ16" i="51"/>
  <c r="BI16" i="51"/>
  <c r="BH16" i="51"/>
  <c r="BG16" i="51"/>
  <c r="BF16" i="51"/>
  <c r="BE16" i="51"/>
  <c r="BD16" i="51"/>
  <c r="BC16" i="51"/>
  <c r="BB16" i="51"/>
  <c r="BA16" i="51"/>
  <c r="AZ16" i="51"/>
  <c r="AY16" i="51"/>
  <c r="AX16" i="51"/>
  <c r="AW16" i="51"/>
  <c r="AV16" i="51"/>
  <c r="AU16" i="51"/>
  <c r="AT16" i="51"/>
  <c r="AS16" i="51"/>
  <c r="AQ16" i="51"/>
  <c r="AP16" i="51"/>
  <c r="AO16" i="51"/>
  <c r="AN16" i="51"/>
  <c r="AM16" i="51"/>
  <c r="AL16" i="51"/>
  <c r="AK16" i="51"/>
  <c r="AJ16" i="51"/>
  <c r="AI16" i="51"/>
  <c r="AH16" i="51"/>
  <c r="AG16" i="51"/>
  <c r="AF16" i="51"/>
  <c r="AE16" i="51"/>
  <c r="AD16" i="51"/>
  <c r="AC16" i="51"/>
  <c r="AB16" i="51"/>
  <c r="AA16" i="51"/>
  <c r="Z16" i="51"/>
  <c r="Y16" i="51"/>
  <c r="X16" i="51"/>
  <c r="W16" i="51"/>
  <c r="V16" i="51"/>
  <c r="U16" i="51"/>
  <c r="T16" i="51"/>
  <c r="S16" i="51"/>
  <c r="R16" i="51"/>
  <c r="Q16" i="51"/>
  <c r="P16" i="51"/>
  <c r="N16" i="51"/>
  <c r="M16" i="51"/>
  <c r="L16" i="51"/>
  <c r="K16" i="51"/>
  <c r="J16" i="51"/>
  <c r="I16" i="51"/>
  <c r="H16" i="51"/>
  <c r="G16" i="51"/>
  <c r="F16" i="51"/>
  <c r="E16" i="51"/>
  <c r="C16" i="51"/>
  <c r="C5" i="51"/>
  <c r="AD79" i="52" l="1"/>
  <c r="AE79" i="52" s="1"/>
  <c r="AF79" i="52" s="1"/>
  <c r="AG79" i="52" s="1"/>
  <c r="AH79" i="52" s="1"/>
  <c r="AI79" i="52" s="1"/>
  <c r="AJ79" i="52" s="1"/>
  <c r="AK79" i="52" s="1"/>
  <c r="AL79" i="52" s="1"/>
  <c r="AM79" i="52" s="1"/>
  <c r="AN79" i="52" s="1"/>
  <c r="AO79" i="52" s="1"/>
  <c r="AP79" i="52" s="1"/>
  <c r="AQ79" i="52" s="1"/>
  <c r="AR79" i="52" s="1"/>
  <c r="AS79" i="52" s="1"/>
  <c r="AT79" i="52" s="1"/>
  <c r="AU79" i="52" s="1"/>
  <c r="AV79" i="52" s="1"/>
  <c r="AW79" i="52" s="1"/>
  <c r="AX79" i="52" s="1"/>
  <c r="AY79" i="52" s="1"/>
  <c r="AZ79" i="52" s="1"/>
  <c r="BA79" i="52" s="1"/>
  <c r="BB79" i="52" s="1"/>
  <c r="BC79" i="52" s="1"/>
  <c r="BD79" i="52" s="1"/>
  <c r="BE79" i="52" s="1"/>
  <c r="BF79" i="52" s="1"/>
  <c r="BG79" i="52" s="1"/>
  <c r="BH79" i="52" s="1"/>
  <c r="BI79" i="52" s="1"/>
  <c r="BJ79" i="52" s="1"/>
  <c r="BK79" i="52" s="1"/>
  <c r="BL79" i="52" s="1"/>
  <c r="BM79" i="52" s="1"/>
  <c r="BN79" i="52" s="1"/>
  <c r="BO79" i="52" s="1"/>
  <c r="BP79" i="52" s="1"/>
  <c r="BQ79" i="52" s="1"/>
  <c r="BR79" i="52" s="1"/>
  <c r="BS79" i="52" s="1"/>
  <c r="BT79" i="52" s="1"/>
  <c r="BU79" i="52" s="1"/>
  <c r="BV79" i="52" s="1"/>
  <c r="C8" i="52"/>
  <c r="C9" i="52" s="1"/>
  <c r="Y26" i="51"/>
  <c r="F79" i="51"/>
  <c r="G79" i="51" s="1"/>
  <c r="H79" i="51" s="1"/>
  <c r="I79" i="51" s="1"/>
  <c r="AF26" i="51"/>
  <c r="AJ26" i="51"/>
  <c r="AL26" i="51"/>
  <c r="AT26" i="51"/>
  <c r="AN26" i="51"/>
  <c r="P26" i="51"/>
  <c r="Z26" i="51"/>
  <c r="AD26" i="51"/>
  <c r="J26" i="51"/>
  <c r="C7" i="51"/>
  <c r="C10" i="51"/>
  <c r="E48" i="50"/>
  <c r="Z44" i="50"/>
  <c r="C8" i="51" l="1"/>
  <c r="J79" i="51"/>
  <c r="K79" i="51" s="1"/>
  <c r="L79" i="51" s="1"/>
  <c r="M79" i="51" s="1"/>
  <c r="N79" i="51" s="1"/>
  <c r="O79" i="51" s="1"/>
  <c r="P79" i="51" s="1"/>
  <c r="Q79" i="51" s="1"/>
  <c r="R79" i="51" s="1"/>
  <c r="S79" i="51" s="1"/>
  <c r="T79" i="51" s="1"/>
  <c r="U79" i="51" s="1"/>
  <c r="V79" i="51" s="1"/>
  <c r="W79" i="51" s="1"/>
  <c r="X79" i="51" s="1"/>
  <c r="Y79" i="51" s="1"/>
  <c r="Z79" i="51" s="1"/>
  <c r="AA79" i="51" s="1"/>
  <c r="AB79" i="51" s="1"/>
  <c r="AC79" i="51" s="1"/>
  <c r="AD79" i="51" s="1"/>
  <c r="AE79" i="51" s="1"/>
  <c r="AF79" i="51" s="1"/>
  <c r="AG79" i="51" s="1"/>
  <c r="AH79" i="51" s="1"/>
  <c r="AI79" i="51" s="1"/>
  <c r="AJ79" i="51" s="1"/>
  <c r="AK79" i="51" s="1"/>
  <c r="AL79" i="51" s="1"/>
  <c r="AM79" i="51" s="1"/>
  <c r="AN79" i="51" s="1"/>
  <c r="AO79" i="51" s="1"/>
  <c r="AP79" i="51" s="1"/>
  <c r="AQ79" i="51" s="1"/>
  <c r="AR79" i="51" s="1"/>
  <c r="AS79" i="51" s="1"/>
  <c r="AT79" i="51" s="1"/>
  <c r="AU79" i="51" s="1"/>
  <c r="AV79" i="51" s="1"/>
  <c r="AW79" i="51" s="1"/>
  <c r="AX79" i="51" s="1"/>
  <c r="AY79" i="51" s="1"/>
  <c r="AZ79" i="51" s="1"/>
  <c r="BA79" i="51" s="1"/>
  <c r="BB79" i="51" s="1"/>
  <c r="BC79" i="51" s="1"/>
  <c r="BD79" i="51" s="1"/>
  <c r="BE79" i="51" s="1"/>
  <c r="BF79" i="51" s="1"/>
  <c r="BG79" i="51" s="1"/>
  <c r="BH79" i="51" s="1"/>
  <c r="BI79" i="51" s="1"/>
  <c r="BJ79" i="51" s="1"/>
  <c r="BK79" i="51" s="1"/>
  <c r="BL79" i="51" s="1"/>
  <c r="BM79" i="51" s="1"/>
  <c r="BN79" i="51" s="1"/>
  <c r="BO79" i="51" s="1"/>
  <c r="BP79" i="51" s="1"/>
  <c r="BQ79" i="51" s="1"/>
  <c r="BR79" i="51" s="1"/>
  <c r="BS79" i="51" s="1"/>
  <c r="BT79" i="51" s="1"/>
  <c r="BU79" i="51" s="1"/>
  <c r="BV79" i="51" s="1"/>
  <c r="BW79" i="51" s="1"/>
  <c r="BX79" i="51" s="1"/>
  <c r="BY79" i="51" s="1"/>
  <c r="C9" i="51"/>
  <c r="C63" i="50"/>
  <c r="C58" i="50"/>
  <c r="C76" i="50"/>
  <c r="P74" i="50"/>
  <c r="I74" i="50"/>
  <c r="W68" i="50"/>
  <c r="Q68" i="50"/>
  <c r="K68" i="50"/>
  <c r="Z65" i="50"/>
  <c r="C65" i="50"/>
  <c r="F63" i="50"/>
  <c r="E63" i="50"/>
  <c r="C62" i="50"/>
  <c r="AA60" i="50"/>
  <c r="S60" i="50"/>
  <c r="R60" i="50"/>
  <c r="Q60" i="50"/>
  <c r="P60" i="50"/>
  <c r="M60" i="50"/>
  <c r="AA53" i="50"/>
  <c r="C52" i="50"/>
  <c r="S51" i="50"/>
  <c r="J50" i="50"/>
  <c r="AO48" i="50"/>
  <c r="AL48" i="50"/>
  <c r="AH48" i="50"/>
  <c r="AF48" i="50"/>
  <c r="AA48" i="50"/>
  <c r="Z48" i="50"/>
  <c r="X48" i="50"/>
  <c r="W48" i="50"/>
  <c r="S48" i="50"/>
  <c r="Q48" i="50"/>
  <c r="Q26" i="50" s="1"/>
  <c r="L48" i="50"/>
  <c r="J48" i="50"/>
  <c r="F48" i="50"/>
  <c r="C48" i="50"/>
  <c r="AZ47" i="50"/>
  <c r="AU47" i="50"/>
  <c r="AS47" i="50"/>
  <c r="AO47" i="50"/>
  <c r="AO26" i="50" s="1"/>
  <c r="AM47" i="50"/>
  <c r="AK47" i="50"/>
  <c r="AH47" i="50"/>
  <c r="AF47" i="50"/>
  <c r="AF26" i="50" s="1"/>
  <c r="AD47" i="50"/>
  <c r="AA47" i="50"/>
  <c r="Z47" i="50"/>
  <c r="W47" i="50"/>
  <c r="R47" i="50"/>
  <c r="P47" i="50"/>
  <c r="M47" i="50"/>
  <c r="K47" i="50"/>
  <c r="I47" i="50"/>
  <c r="S47" i="50"/>
  <c r="C47" i="50"/>
  <c r="AU46" i="50"/>
  <c r="AU26" i="50" s="1"/>
  <c r="AT46" i="50"/>
  <c r="AR46" i="50"/>
  <c r="AN46" i="50"/>
  <c r="AM46" i="50"/>
  <c r="AM26" i="50" s="1"/>
  <c r="AL46" i="50"/>
  <c r="AK46" i="50"/>
  <c r="AK26" i="50" s="1"/>
  <c r="AH46" i="50"/>
  <c r="AG46" i="50"/>
  <c r="AG26" i="50" s="1"/>
  <c r="AF46" i="50"/>
  <c r="AE46" i="50"/>
  <c r="AD46" i="50"/>
  <c r="Z46" i="50"/>
  <c r="Y46" i="50"/>
  <c r="C46" i="50"/>
  <c r="C26" i="50" s="1"/>
  <c r="C11" i="50" s="1"/>
  <c r="AE44" i="50"/>
  <c r="L44" i="50"/>
  <c r="J44" i="50"/>
  <c r="J26" i="50" s="1"/>
  <c r="C44" i="50"/>
  <c r="BA43" i="50"/>
  <c r="BA26" i="50" s="1"/>
  <c r="AZ43" i="50"/>
  <c r="AV43" i="50"/>
  <c r="AV26" i="50" s="1"/>
  <c r="AU43" i="50"/>
  <c r="AT43" i="50"/>
  <c r="AT26" i="50" s="1"/>
  <c r="AS43" i="50"/>
  <c r="AR43" i="50"/>
  <c r="AR26" i="50" s="1"/>
  <c r="AO43" i="50"/>
  <c r="AN43" i="50"/>
  <c r="AN26" i="50" s="1"/>
  <c r="AM43" i="50"/>
  <c r="AL43" i="50"/>
  <c r="AK43" i="50"/>
  <c r="AH43" i="50"/>
  <c r="AG43" i="50"/>
  <c r="AE43" i="50"/>
  <c r="AE26" i="50" s="1"/>
  <c r="AD43" i="50"/>
  <c r="AA43" i="50"/>
  <c r="AA26" i="50" s="1"/>
  <c r="Z43" i="50"/>
  <c r="Y43" i="50"/>
  <c r="Y26" i="50" s="1"/>
  <c r="W43" i="50"/>
  <c r="S43" i="50"/>
  <c r="R43" i="50"/>
  <c r="P43" i="50"/>
  <c r="M43" i="50"/>
  <c r="K43" i="50"/>
  <c r="K26" i="50" s="1"/>
  <c r="I43" i="50"/>
  <c r="Q43" i="50"/>
  <c r="E26" i="50" s="1"/>
  <c r="C43" i="50"/>
  <c r="X42" i="50"/>
  <c r="W42" i="50"/>
  <c r="I42" i="50"/>
  <c r="C42" i="50"/>
  <c r="S41" i="50"/>
  <c r="S26" i="50" s="1"/>
  <c r="P40" i="50"/>
  <c r="M40" i="50"/>
  <c r="K40" i="50"/>
  <c r="I40" i="50"/>
  <c r="F40" i="50"/>
  <c r="AH39" i="50"/>
  <c r="AH26" i="50" s="1"/>
  <c r="AF39" i="50"/>
  <c r="AD39" i="50"/>
  <c r="AD26" i="50" s="1"/>
  <c r="AA39" i="50"/>
  <c r="X39" i="50"/>
  <c r="X26" i="50" s="1"/>
  <c r="S39" i="50"/>
  <c r="M39" i="50"/>
  <c r="M26" i="50" s="1"/>
  <c r="J39" i="50"/>
  <c r="W38" i="50"/>
  <c r="R38" i="50"/>
  <c r="P38" i="50"/>
  <c r="M38" i="50"/>
  <c r="L38" i="50"/>
  <c r="L26" i="50" s="1"/>
  <c r="K38" i="50"/>
  <c r="I38" i="50"/>
  <c r="I26" i="50" s="1"/>
  <c r="F38" i="50"/>
  <c r="W36" i="50"/>
  <c r="W26" i="50" s="1"/>
  <c r="S36" i="50"/>
  <c r="R36" i="50"/>
  <c r="R26" i="50" s="1"/>
  <c r="Q36" i="50"/>
  <c r="P36" i="50"/>
  <c r="M36" i="50"/>
  <c r="AL31" i="50"/>
  <c r="E31" i="50"/>
  <c r="AL30" i="50"/>
  <c r="E30" i="50"/>
  <c r="BZ26" i="50"/>
  <c r="BY26" i="50"/>
  <c r="BX26" i="50"/>
  <c r="BW26" i="50"/>
  <c r="BV26" i="50"/>
  <c r="BU26" i="50"/>
  <c r="BT26" i="50"/>
  <c r="BS26" i="50"/>
  <c r="BR26" i="50"/>
  <c r="BQ26" i="50"/>
  <c r="BP26" i="50"/>
  <c r="BO26" i="50"/>
  <c r="BN26" i="50"/>
  <c r="BM26" i="50"/>
  <c r="BL26" i="50"/>
  <c r="BK26" i="50"/>
  <c r="BJ26" i="50"/>
  <c r="BI26" i="50"/>
  <c r="BH26" i="50"/>
  <c r="BG26" i="50"/>
  <c r="BF26" i="50"/>
  <c r="BE26" i="50"/>
  <c r="BD26" i="50"/>
  <c r="BC26" i="50"/>
  <c r="BB26" i="50"/>
  <c r="AZ26" i="50"/>
  <c r="AY26" i="50"/>
  <c r="AX26" i="50"/>
  <c r="AW26" i="50"/>
  <c r="AS26" i="50"/>
  <c r="AQ26" i="50"/>
  <c r="AP26" i="50"/>
  <c r="AL26" i="50"/>
  <c r="AJ26" i="50"/>
  <c r="AI26" i="50"/>
  <c r="AC26" i="50"/>
  <c r="AB26" i="50"/>
  <c r="Z26" i="50"/>
  <c r="V26" i="50"/>
  <c r="U26" i="50"/>
  <c r="T26" i="50"/>
  <c r="P26" i="50"/>
  <c r="O26" i="50"/>
  <c r="N26" i="50"/>
  <c r="H26" i="50"/>
  <c r="G26" i="50"/>
  <c r="BT24" i="50"/>
  <c r="BT16" i="50" s="1"/>
  <c r="AS24" i="50"/>
  <c r="AL24" i="50"/>
  <c r="AL16" i="50" s="1"/>
  <c r="P24" i="50"/>
  <c r="Z23" i="50"/>
  <c r="Z16" i="50" s="1"/>
  <c r="E21" i="50"/>
  <c r="I18" i="50"/>
  <c r="I16" i="50" s="1"/>
  <c r="BZ16" i="50"/>
  <c r="BY16" i="50"/>
  <c r="BX16" i="50"/>
  <c r="BW16" i="50"/>
  <c r="BV16" i="50"/>
  <c r="BU16" i="50"/>
  <c r="BS16" i="50"/>
  <c r="BR16" i="50"/>
  <c r="BQ16" i="50"/>
  <c r="BP16" i="50"/>
  <c r="BO16" i="50"/>
  <c r="BN16" i="50"/>
  <c r="BM16" i="50"/>
  <c r="BL16" i="50"/>
  <c r="BK16" i="50"/>
  <c r="BJ16" i="50"/>
  <c r="BI16" i="50"/>
  <c r="BH16" i="50"/>
  <c r="BG16" i="50"/>
  <c r="BF16" i="50"/>
  <c r="BE16" i="50"/>
  <c r="BD16" i="50"/>
  <c r="BC16" i="50"/>
  <c r="BB16" i="50"/>
  <c r="BA16" i="50"/>
  <c r="AZ16" i="50"/>
  <c r="AY16" i="50"/>
  <c r="AX16" i="50"/>
  <c r="AW16" i="50"/>
  <c r="AV16" i="50"/>
  <c r="AU16" i="50"/>
  <c r="AT16" i="50"/>
  <c r="AS16" i="50"/>
  <c r="AR16" i="50"/>
  <c r="AQ16" i="50"/>
  <c r="AP16" i="50"/>
  <c r="AO16" i="50"/>
  <c r="AN16" i="50"/>
  <c r="AM16" i="50"/>
  <c r="AK16" i="50"/>
  <c r="AJ16" i="50"/>
  <c r="AI16" i="50"/>
  <c r="AH16" i="50"/>
  <c r="AG16" i="50"/>
  <c r="AF16" i="50"/>
  <c r="AE16" i="50"/>
  <c r="AD16" i="50"/>
  <c r="AC16" i="50"/>
  <c r="AB16" i="50"/>
  <c r="AA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H16" i="50"/>
  <c r="G16" i="50"/>
  <c r="F16" i="50"/>
  <c r="E16" i="50"/>
  <c r="C16" i="50"/>
  <c r="C5" i="50"/>
  <c r="E79" i="50" l="1"/>
  <c r="C7" i="50"/>
  <c r="F26" i="50"/>
  <c r="C8" i="50" s="1"/>
  <c r="C9" i="50" s="1"/>
  <c r="C10" i="50"/>
  <c r="X42" i="49"/>
  <c r="T41" i="49"/>
  <c r="AI39" i="49"/>
  <c r="AG39" i="49"/>
  <c r="AE39" i="49"/>
  <c r="AB39" i="49"/>
  <c r="Y39" i="49"/>
  <c r="T39" i="49"/>
  <c r="Y42" i="49"/>
  <c r="J42" i="49"/>
  <c r="N40" i="49"/>
  <c r="L40" i="49"/>
  <c r="J40" i="49"/>
  <c r="Q40" i="49"/>
  <c r="G40" i="49"/>
  <c r="C51" i="49"/>
  <c r="E51" i="49"/>
  <c r="AE48" i="49"/>
  <c r="G48" i="49"/>
  <c r="C76" i="49"/>
  <c r="BU24" i="49"/>
  <c r="N38" i="49"/>
  <c r="N39" i="49"/>
  <c r="F79" i="50" l="1"/>
  <c r="G79" i="50" s="1"/>
  <c r="H79" i="50" s="1"/>
  <c r="I79" i="50" s="1"/>
  <c r="J79" i="50" s="1"/>
  <c r="K79" i="50" s="1"/>
  <c r="L79" i="50" s="1"/>
  <c r="M79" i="50" s="1"/>
  <c r="N79" i="50" s="1"/>
  <c r="O79" i="50" s="1"/>
  <c r="P79" i="50" s="1"/>
  <c r="Q79" i="50" s="1"/>
  <c r="R79" i="50" s="1"/>
  <c r="S79" i="50" s="1"/>
  <c r="T79" i="50" s="1"/>
  <c r="U79" i="50" s="1"/>
  <c r="V79" i="50" s="1"/>
  <c r="W79" i="50" s="1"/>
  <c r="X79" i="50" s="1"/>
  <c r="Y79" i="50" s="1"/>
  <c r="Z79" i="50" s="1"/>
  <c r="AA79" i="50" s="1"/>
  <c r="AB79" i="50" s="1"/>
  <c r="AC79" i="50" s="1"/>
  <c r="AD79" i="50" s="1"/>
  <c r="AE79" i="50" s="1"/>
  <c r="AF79" i="50" s="1"/>
  <c r="AG79" i="50" s="1"/>
  <c r="AH79" i="50" s="1"/>
  <c r="AI79" i="50" s="1"/>
  <c r="AJ79" i="50" s="1"/>
  <c r="AK79" i="50" s="1"/>
  <c r="AL79" i="50" s="1"/>
  <c r="AM79" i="50" s="1"/>
  <c r="AN79" i="50" s="1"/>
  <c r="AO79" i="50" s="1"/>
  <c r="AP79" i="50" s="1"/>
  <c r="AQ79" i="50" s="1"/>
  <c r="AR79" i="50" s="1"/>
  <c r="AS79" i="50" s="1"/>
  <c r="AT79" i="50" s="1"/>
  <c r="AU79" i="50" s="1"/>
  <c r="AV79" i="50" s="1"/>
  <c r="AW79" i="50" s="1"/>
  <c r="AX79" i="50" s="1"/>
  <c r="AY79" i="50" s="1"/>
  <c r="AZ79" i="50" s="1"/>
  <c r="BA79" i="50" s="1"/>
  <c r="BB79" i="50" s="1"/>
  <c r="BC79" i="50" s="1"/>
  <c r="BD79" i="50" s="1"/>
  <c r="BE79" i="50" s="1"/>
  <c r="BF79" i="50" s="1"/>
  <c r="BG79" i="50" s="1"/>
  <c r="BH79" i="50" s="1"/>
  <c r="BI79" i="50" s="1"/>
  <c r="BJ79" i="50" s="1"/>
  <c r="BK79" i="50" s="1"/>
  <c r="BL79" i="50" s="1"/>
  <c r="BM79" i="50" s="1"/>
  <c r="BN79" i="50" s="1"/>
  <c r="BO79" i="50" s="1"/>
  <c r="BP79" i="50" s="1"/>
  <c r="BQ79" i="50" s="1"/>
  <c r="BR79" i="50" s="1"/>
  <c r="BS79" i="50" s="1"/>
  <c r="BT79" i="50" s="1"/>
  <c r="BU79" i="50" s="1"/>
  <c r="BV79" i="50" s="1"/>
  <c r="BW79" i="50" s="1"/>
  <c r="BX79" i="50" s="1"/>
  <c r="BY79" i="50" s="1"/>
  <c r="BZ79" i="50" s="1"/>
  <c r="C63" i="49"/>
  <c r="C58" i="49"/>
  <c r="C47" i="49"/>
  <c r="C44" i="49"/>
  <c r="C43" i="49"/>
  <c r="C42" i="49"/>
  <c r="J74" i="49"/>
  <c r="Q74" i="49"/>
  <c r="X68" i="49"/>
  <c r="R68" i="49"/>
  <c r="L68" i="49"/>
  <c r="AA65" i="49"/>
  <c r="C65" i="49"/>
  <c r="G63" i="49"/>
  <c r="F63" i="49"/>
  <c r="E63" i="49"/>
  <c r="C62" i="49"/>
  <c r="AB60" i="49"/>
  <c r="T60" i="49"/>
  <c r="S60" i="49"/>
  <c r="R60" i="49"/>
  <c r="Q60" i="49"/>
  <c r="N60" i="49"/>
  <c r="AB53" i="49"/>
  <c r="C52" i="49"/>
  <c r="T51" i="49"/>
  <c r="Q50" i="49"/>
  <c r="AB48" i="49"/>
  <c r="AA48" i="49"/>
  <c r="AP48" i="49"/>
  <c r="Y48" i="49"/>
  <c r="X48" i="49"/>
  <c r="T48" i="49"/>
  <c r="AM48" i="49"/>
  <c r="R48" i="49"/>
  <c r="R26" i="49" s="1"/>
  <c r="AI48" i="49"/>
  <c r="M48" i="49"/>
  <c r="K48" i="49"/>
  <c r="AG48" i="49"/>
  <c r="C48" i="49"/>
  <c r="AI47" i="49"/>
  <c r="AG47" i="49"/>
  <c r="AE47" i="49"/>
  <c r="AB47" i="49"/>
  <c r="AA47" i="49"/>
  <c r="BA47" i="49"/>
  <c r="AV47" i="49"/>
  <c r="X47" i="49"/>
  <c r="AP47" i="49"/>
  <c r="S47" i="49"/>
  <c r="AT47" i="49"/>
  <c r="Q47" i="49"/>
  <c r="N47" i="49"/>
  <c r="AN47" i="49"/>
  <c r="L47" i="49"/>
  <c r="AL47" i="49"/>
  <c r="J47" i="49"/>
  <c r="F47" i="49"/>
  <c r="AO46" i="49"/>
  <c r="AN46" i="49"/>
  <c r="AN26" i="49" s="1"/>
  <c r="AM46" i="49"/>
  <c r="AL46" i="49"/>
  <c r="AL26" i="49" s="1"/>
  <c r="AI46" i="49"/>
  <c r="AH46" i="49"/>
  <c r="AH26" i="49" s="1"/>
  <c r="AG46" i="49"/>
  <c r="AF46" i="49"/>
  <c r="AE46" i="49"/>
  <c r="AU46" i="49"/>
  <c r="AA46" i="49"/>
  <c r="Z46" i="49"/>
  <c r="Z26" i="49" s="1"/>
  <c r="AS46" i="49"/>
  <c r="AV46" i="49"/>
  <c r="C46" i="49"/>
  <c r="AF44" i="49"/>
  <c r="M44" i="49"/>
  <c r="AA44" i="49"/>
  <c r="K44" i="49"/>
  <c r="AW43" i="49"/>
  <c r="AW26" i="49" s="1"/>
  <c r="AV43" i="49"/>
  <c r="AU43" i="49"/>
  <c r="AU26" i="49" s="1"/>
  <c r="AT43" i="49"/>
  <c r="AS43" i="49"/>
  <c r="AS26" i="49" s="1"/>
  <c r="AP43" i="49"/>
  <c r="AO43" i="49"/>
  <c r="AO26" i="49" s="1"/>
  <c r="AN43" i="49"/>
  <c r="AM43" i="49"/>
  <c r="AL43" i="49"/>
  <c r="AI43" i="49"/>
  <c r="AI26" i="49" s="1"/>
  <c r="AF43" i="49"/>
  <c r="AE43" i="49"/>
  <c r="AE26" i="49" s="1"/>
  <c r="AB43" i="49"/>
  <c r="AA43" i="49"/>
  <c r="AA26" i="49" s="1"/>
  <c r="Z43" i="49"/>
  <c r="BB43" i="49"/>
  <c r="Y26" i="49" s="1"/>
  <c r="X43" i="49"/>
  <c r="T43" i="49"/>
  <c r="S43" i="49"/>
  <c r="BA43" i="49"/>
  <c r="N43" i="49"/>
  <c r="AH43" i="49"/>
  <c r="L43" i="49"/>
  <c r="J43" i="49"/>
  <c r="J26" i="49" s="1"/>
  <c r="Q43" i="49"/>
  <c r="F43" i="49"/>
  <c r="K39" i="49"/>
  <c r="X38" i="49"/>
  <c r="S38" i="49"/>
  <c r="Q38" i="49"/>
  <c r="N26" i="49"/>
  <c r="L38" i="49"/>
  <c r="M38" i="49"/>
  <c r="J38" i="49"/>
  <c r="G38" i="49"/>
  <c r="X36" i="49"/>
  <c r="T36" i="49"/>
  <c r="S36" i="49"/>
  <c r="R36" i="49"/>
  <c r="Q36" i="49"/>
  <c r="N36" i="49"/>
  <c r="AM31" i="49"/>
  <c r="F31" i="49"/>
  <c r="AM30" i="49"/>
  <c r="F30" i="49"/>
  <c r="CA26" i="49"/>
  <c r="BZ26" i="49"/>
  <c r="BY26" i="49"/>
  <c r="BX26" i="49"/>
  <c r="BW26" i="49"/>
  <c r="BV26" i="49"/>
  <c r="BU26" i="49"/>
  <c r="BT26" i="49"/>
  <c r="BS26" i="49"/>
  <c r="BR26" i="49"/>
  <c r="BQ26" i="49"/>
  <c r="BP26" i="49"/>
  <c r="BO26" i="49"/>
  <c r="BN26" i="49"/>
  <c r="BM26" i="49"/>
  <c r="BL26" i="49"/>
  <c r="BK26" i="49"/>
  <c r="BJ26" i="49"/>
  <c r="BI26" i="49"/>
  <c r="BH26" i="49"/>
  <c r="BG26" i="49"/>
  <c r="BF26" i="49"/>
  <c r="BE26" i="49"/>
  <c r="BD26" i="49"/>
  <c r="BC26" i="49"/>
  <c r="BB26" i="49"/>
  <c r="BA26" i="49"/>
  <c r="AZ26" i="49"/>
  <c r="AY26" i="49"/>
  <c r="AX26" i="49"/>
  <c r="AV26" i="49"/>
  <c r="AT26" i="49"/>
  <c r="AR26" i="49"/>
  <c r="AQ26" i="49"/>
  <c r="AP26" i="49"/>
  <c r="AK26" i="49"/>
  <c r="AJ26" i="49"/>
  <c r="AF26" i="49"/>
  <c r="AD26" i="49"/>
  <c r="AC26" i="49"/>
  <c r="W26" i="49"/>
  <c r="V26" i="49"/>
  <c r="U26" i="49"/>
  <c r="P26" i="49"/>
  <c r="O26" i="49"/>
  <c r="L26" i="49"/>
  <c r="I26" i="49"/>
  <c r="H26" i="49"/>
  <c r="F26" i="49"/>
  <c r="AT24" i="49"/>
  <c r="AT16" i="49" s="1"/>
  <c r="AM24" i="49"/>
  <c r="Q24" i="49"/>
  <c r="Q16" i="49" s="1"/>
  <c r="AA23" i="49"/>
  <c r="F21" i="49"/>
  <c r="J18" i="49"/>
  <c r="CA16" i="49"/>
  <c r="BZ16" i="49"/>
  <c r="BY16" i="49"/>
  <c r="BX16" i="49"/>
  <c r="BW16" i="49"/>
  <c r="BV16" i="49"/>
  <c r="BU16" i="49"/>
  <c r="BT16" i="49"/>
  <c r="BS16" i="49"/>
  <c r="BR16" i="49"/>
  <c r="BQ16" i="49"/>
  <c r="BP16" i="49"/>
  <c r="BO16" i="49"/>
  <c r="BN16" i="49"/>
  <c r="BM16" i="49"/>
  <c r="BL16" i="49"/>
  <c r="BK16" i="49"/>
  <c r="BJ16" i="49"/>
  <c r="BI16" i="49"/>
  <c r="BH16" i="49"/>
  <c r="BG16" i="49"/>
  <c r="BF16" i="49"/>
  <c r="BE16" i="49"/>
  <c r="BD16" i="49"/>
  <c r="BC16" i="49"/>
  <c r="BB16" i="49"/>
  <c r="BA16" i="49"/>
  <c r="AZ16" i="49"/>
  <c r="AY16" i="49"/>
  <c r="AX16" i="49"/>
  <c r="AW16" i="49"/>
  <c r="AV16" i="49"/>
  <c r="AU16" i="49"/>
  <c r="AS16" i="49"/>
  <c r="AR16" i="49"/>
  <c r="AQ16" i="49"/>
  <c r="AP16" i="49"/>
  <c r="AO16" i="49"/>
  <c r="AN16" i="49"/>
  <c r="AM16" i="49"/>
  <c r="AL16" i="49"/>
  <c r="AK16" i="49"/>
  <c r="AJ16" i="49"/>
  <c r="AI16" i="49"/>
  <c r="AH16" i="49"/>
  <c r="AG16" i="49"/>
  <c r="AF16" i="49"/>
  <c r="AE16" i="49"/>
  <c r="AD16" i="49"/>
  <c r="AC16" i="49"/>
  <c r="AB16" i="49"/>
  <c r="AA16" i="49"/>
  <c r="Z16" i="49"/>
  <c r="Y16" i="49"/>
  <c r="X16" i="49"/>
  <c r="W16" i="49"/>
  <c r="V16" i="49"/>
  <c r="U16" i="49"/>
  <c r="T16" i="49"/>
  <c r="S16" i="49"/>
  <c r="R16" i="49"/>
  <c r="P16" i="49"/>
  <c r="O16" i="49"/>
  <c r="N16" i="49"/>
  <c r="M16" i="49"/>
  <c r="L16" i="49"/>
  <c r="K16" i="49"/>
  <c r="J16" i="49"/>
  <c r="I16" i="49"/>
  <c r="H16" i="49"/>
  <c r="G16" i="49"/>
  <c r="E16" i="49"/>
  <c r="C16" i="49"/>
  <c r="C5" i="49"/>
  <c r="X26" i="49" l="1"/>
  <c r="T26" i="49"/>
  <c r="AB26" i="49"/>
  <c r="C26" i="49"/>
  <c r="C11" i="49" s="1"/>
  <c r="AM26" i="49"/>
  <c r="M26" i="49"/>
  <c r="S26" i="49"/>
  <c r="F16" i="49"/>
  <c r="C7" i="49" s="1"/>
  <c r="E26" i="49"/>
  <c r="E79" i="49" s="1"/>
  <c r="Q26" i="49"/>
  <c r="K26" i="49"/>
  <c r="AG26" i="49"/>
  <c r="G26" i="49"/>
  <c r="C10" i="49"/>
  <c r="AC47" i="48"/>
  <c r="C44" i="48"/>
  <c r="F79" i="49" l="1"/>
  <c r="G79" i="49" s="1"/>
  <c r="H79" i="49" s="1"/>
  <c r="I79" i="49" s="1"/>
  <c r="J79" i="49" s="1"/>
  <c r="K79" i="49" s="1"/>
  <c r="L79" i="49" s="1"/>
  <c r="M79" i="49" s="1"/>
  <c r="N79" i="49" s="1"/>
  <c r="O79" i="49" s="1"/>
  <c r="P79" i="49" s="1"/>
  <c r="Q79" i="49" s="1"/>
  <c r="R79" i="49" s="1"/>
  <c r="S79" i="49" s="1"/>
  <c r="T79" i="49" s="1"/>
  <c r="U79" i="49" s="1"/>
  <c r="V79" i="49" s="1"/>
  <c r="W79" i="49" s="1"/>
  <c r="X79" i="49" s="1"/>
  <c r="Y79" i="49" s="1"/>
  <c r="Z79" i="49" s="1"/>
  <c r="AA79" i="49" s="1"/>
  <c r="AB79" i="49" s="1"/>
  <c r="AC79" i="49" s="1"/>
  <c r="AD79" i="49" s="1"/>
  <c r="AE79" i="49" s="1"/>
  <c r="AF79" i="49" s="1"/>
  <c r="AG79" i="49" s="1"/>
  <c r="AH79" i="49" s="1"/>
  <c r="AI79" i="49" s="1"/>
  <c r="AJ79" i="49" s="1"/>
  <c r="AK79" i="49" s="1"/>
  <c r="AL79" i="49" s="1"/>
  <c r="AM79" i="49" s="1"/>
  <c r="AN79" i="49" s="1"/>
  <c r="AO79" i="49" s="1"/>
  <c r="AP79" i="49" s="1"/>
  <c r="AQ79" i="49" s="1"/>
  <c r="AR79" i="49" s="1"/>
  <c r="AS79" i="49" s="1"/>
  <c r="AT79" i="49" s="1"/>
  <c r="AU79" i="49" s="1"/>
  <c r="AV79" i="49" s="1"/>
  <c r="AW79" i="49" s="1"/>
  <c r="AX79" i="49" s="1"/>
  <c r="AY79" i="49" s="1"/>
  <c r="AZ79" i="49" s="1"/>
  <c r="BA79" i="49" s="1"/>
  <c r="BB79" i="49" s="1"/>
  <c r="BC79" i="49" s="1"/>
  <c r="BD79" i="49" s="1"/>
  <c r="BE79" i="49" s="1"/>
  <c r="BF79" i="49" s="1"/>
  <c r="BG79" i="49" s="1"/>
  <c r="BH79" i="49" s="1"/>
  <c r="BI79" i="49" s="1"/>
  <c r="BJ79" i="49" s="1"/>
  <c r="BK79" i="49" s="1"/>
  <c r="BL79" i="49" s="1"/>
  <c r="BM79" i="49" s="1"/>
  <c r="BN79" i="49" s="1"/>
  <c r="BO79" i="49" s="1"/>
  <c r="BP79" i="49" s="1"/>
  <c r="BQ79" i="49" s="1"/>
  <c r="BR79" i="49" s="1"/>
  <c r="BS79" i="49" s="1"/>
  <c r="BT79" i="49" s="1"/>
  <c r="BU79" i="49" s="1"/>
  <c r="BV79" i="49" s="1"/>
  <c r="BW79" i="49" s="1"/>
  <c r="BX79" i="49" s="1"/>
  <c r="BY79" i="49" s="1"/>
  <c r="BZ79" i="49" s="1"/>
  <c r="CA79" i="49" s="1"/>
  <c r="C8" i="49"/>
  <c r="C9" i="49" s="1"/>
  <c r="C63" i="48"/>
  <c r="C62" i="48"/>
  <c r="C58" i="48"/>
  <c r="C48" i="48"/>
  <c r="C43" i="48"/>
  <c r="H74" i="48"/>
  <c r="K74" i="48"/>
  <c r="Y68" i="48"/>
  <c r="S68" i="48"/>
  <c r="M68" i="48"/>
  <c r="O65" i="48"/>
  <c r="C65" i="48"/>
  <c r="H63" i="48"/>
  <c r="G63" i="48"/>
  <c r="F63" i="48"/>
  <c r="E63" i="48"/>
  <c r="AC60" i="48"/>
  <c r="U60" i="48"/>
  <c r="T60" i="48"/>
  <c r="S60" i="48"/>
  <c r="R60" i="48"/>
  <c r="O60" i="48"/>
  <c r="AA58" i="48"/>
  <c r="T52" i="48"/>
  <c r="C52" i="48"/>
  <c r="L51" i="48"/>
  <c r="K51" i="48"/>
  <c r="H51" i="48"/>
  <c r="F51" i="48"/>
  <c r="C51" i="48"/>
  <c r="R50" i="48"/>
  <c r="E50" i="48"/>
  <c r="AC48" i="48"/>
  <c r="AB48" i="48"/>
  <c r="AA48" i="48"/>
  <c r="Z48" i="48"/>
  <c r="Y48" i="48"/>
  <c r="U48" i="48"/>
  <c r="T48" i="48"/>
  <c r="S48" i="48"/>
  <c r="R48" i="48"/>
  <c r="N48" i="48"/>
  <c r="L48" i="48"/>
  <c r="K48" i="48"/>
  <c r="F48" i="48"/>
  <c r="AJ47" i="48"/>
  <c r="AH47" i="48"/>
  <c r="AF47" i="48"/>
  <c r="AB47" i="48"/>
  <c r="AA47" i="48"/>
  <c r="Z47" i="48"/>
  <c r="Y47" i="48"/>
  <c r="U47" i="48"/>
  <c r="T47" i="48"/>
  <c r="S47" i="48"/>
  <c r="R47" i="48"/>
  <c r="O47" i="48"/>
  <c r="N47" i="48"/>
  <c r="M47" i="48"/>
  <c r="L47" i="48"/>
  <c r="K47" i="48"/>
  <c r="G47" i="48"/>
  <c r="C47" i="48"/>
  <c r="AP46" i="48"/>
  <c r="AO46" i="48"/>
  <c r="AN46" i="48"/>
  <c r="AM46" i="48"/>
  <c r="AJ46" i="48"/>
  <c r="AJ26" i="48" s="1"/>
  <c r="AI46" i="48"/>
  <c r="AI26" i="48" s="1"/>
  <c r="AH46" i="48"/>
  <c r="AH26" i="48" s="1"/>
  <c r="AG46" i="48"/>
  <c r="AF46" i="48"/>
  <c r="AC46" i="48"/>
  <c r="AB46" i="48"/>
  <c r="AA46" i="48"/>
  <c r="Z46" i="48"/>
  <c r="Y46" i="48"/>
  <c r="C46" i="48"/>
  <c r="N44" i="48"/>
  <c r="M44" i="48"/>
  <c r="L44" i="48"/>
  <c r="K44" i="48"/>
  <c r="AX43" i="48"/>
  <c r="AX26" i="48" s="1"/>
  <c r="AW43" i="48"/>
  <c r="AW26" i="48" s="1"/>
  <c r="AV43" i="48"/>
  <c r="AU43" i="48"/>
  <c r="AU26" i="48" s="1"/>
  <c r="AT43" i="48"/>
  <c r="AT26" i="48" s="1"/>
  <c r="AQ43" i="48"/>
  <c r="AQ26" i="48" s="1"/>
  <c r="AP43" i="48"/>
  <c r="AO43" i="48"/>
  <c r="AO26" i="48" s="1"/>
  <c r="AN43" i="48"/>
  <c r="AM43" i="48"/>
  <c r="AM26" i="48" s="1"/>
  <c r="AJ43" i="48"/>
  <c r="AG43" i="48"/>
  <c r="AG26" i="48" s="1"/>
  <c r="AF43" i="48"/>
  <c r="AC43" i="48"/>
  <c r="AC26" i="48" s="1"/>
  <c r="AB43" i="48"/>
  <c r="AA43" i="48"/>
  <c r="AA26" i="48" s="1"/>
  <c r="Z43" i="48"/>
  <c r="Y43" i="48"/>
  <c r="U43" i="48"/>
  <c r="T43" i="48"/>
  <c r="S43" i="48"/>
  <c r="O43" i="48"/>
  <c r="M43" i="48"/>
  <c r="L43" i="48"/>
  <c r="K43" i="48"/>
  <c r="H43" i="48"/>
  <c r="G43" i="48"/>
  <c r="C42" i="48"/>
  <c r="C26" i="48" s="1"/>
  <c r="C11" i="48" s="1"/>
  <c r="O39" i="48"/>
  <c r="L39" i="48"/>
  <c r="L26" i="48" s="1"/>
  <c r="F39" i="48"/>
  <c r="Y38" i="48"/>
  <c r="T38" i="48"/>
  <c r="R38" i="48"/>
  <c r="O38" i="48"/>
  <c r="M38" i="48"/>
  <c r="L38" i="48"/>
  <c r="K38" i="48"/>
  <c r="H38" i="48"/>
  <c r="F38" i="48"/>
  <c r="Y36" i="48"/>
  <c r="U36" i="48"/>
  <c r="T36" i="48"/>
  <c r="S36" i="48"/>
  <c r="R36" i="48"/>
  <c r="O36" i="48"/>
  <c r="AN31" i="48"/>
  <c r="G31" i="48"/>
  <c r="AN30" i="48"/>
  <c r="G30" i="48"/>
  <c r="CB26" i="48"/>
  <c r="CA26" i="48"/>
  <c r="BZ26" i="48"/>
  <c r="BY26" i="48"/>
  <c r="BX26" i="48"/>
  <c r="BW26" i="48"/>
  <c r="BV26" i="48"/>
  <c r="BU26" i="48"/>
  <c r="BT26" i="48"/>
  <c r="BS26" i="48"/>
  <c r="BR26" i="48"/>
  <c r="BQ26" i="48"/>
  <c r="BP26" i="48"/>
  <c r="BO26" i="48"/>
  <c r="BN26" i="48"/>
  <c r="BM26" i="48"/>
  <c r="BL26" i="48"/>
  <c r="BK26" i="48"/>
  <c r="BJ26" i="48"/>
  <c r="BI26" i="48"/>
  <c r="BH26" i="48"/>
  <c r="BG26" i="48"/>
  <c r="BF26" i="48"/>
  <c r="BE26" i="48"/>
  <c r="BD26" i="48"/>
  <c r="BC26" i="48"/>
  <c r="BB26" i="48"/>
  <c r="BA26" i="48"/>
  <c r="AZ26" i="48"/>
  <c r="AY26" i="48"/>
  <c r="AV26" i="48"/>
  <c r="AS26" i="48"/>
  <c r="AR26" i="48"/>
  <c r="AP26" i="48"/>
  <c r="AL26" i="48"/>
  <c r="AK26" i="48"/>
  <c r="AF26" i="48"/>
  <c r="AE26" i="48"/>
  <c r="AD26" i="48"/>
  <c r="X26" i="48"/>
  <c r="W26" i="48"/>
  <c r="V26" i="48"/>
  <c r="R26" i="48"/>
  <c r="Q26" i="48"/>
  <c r="P26" i="48"/>
  <c r="J26" i="48"/>
  <c r="I26" i="48"/>
  <c r="F26" i="48"/>
  <c r="AU24" i="48"/>
  <c r="AU16" i="48" s="1"/>
  <c r="AN24" i="48"/>
  <c r="R24" i="48"/>
  <c r="R16" i="48" s="1"/>
  <c r="AB23" i="48"/>
  <c r="G21" i="48"/>
  <c r="G18" i="48"/>
  <c r="CB16" i="48"/>
  <c r="CA16" i="48"/>
  <c r="BZ16" i="48"/>
  <c r="BY16" i="48"/>
  <c r="BX16" i="48"/>
  <c r="BW16" i="48"/>
  <c r="BV16" i="48"/>
  <c r="BU16" i="48"/>
  <c r="BT16" i="48"/>
  <c r="BS16" i="48"/>
  <c r="BR16" i="48"/>
  <c r="BQ16" i="48"/>
  <c r="BP16" i="48"/>
  <c r="BO16" i="48"/>
  <c r="BN16" i="48"/>
  <c r="BM16" i="48"/>
  <c r="BL16" i="48"/>
  <c r="BK16" i="48"/>
  <c r="BJ16" i="48"/>
  <c r="BI16" i="48"/>
  <c r="BH16" i="48"/>
  <c r="BG16" i="48"/>
  <c r="BF16" i="48"/>
  <c r="BE16" i="48"/>
  <c r="BD16" i="48"/>
  <c r="BC16" i="48"/>
  <c r="BB16" i="48"/>
  <c r="BA16" i="48"/>
  <c r="AZ16" i="48"/>
  <c r="AY16" i="48"/>
  <c r="AX16" i="48"/>
  <c r="AW16" i="48"/>
  <c r="AV16" i="48"/>
  <c r="AT16" i="48"/>
  <c r="AS16" i="48"/>
  <c r="AR16" i="48"/>
  <c r="AQ16" i="48"/>
  <c r="AP16" i="48"/>
  <c r="AO16" i="48"/>
  <c r="AN16" i="48"/>
  <c r="AM16" i="48"/>
  <c r="AL16" i="48"/>
  <c r="AK16" i="48"/>
  <c r="AJ16" i="48"/>
  <c r="AI16" i="48"/>
  <c r="AH16" i="48"/>
  <c r="AG16" i="48"/>
  <c r="AF16" i="48"/>
  <c r="AE16" i="48"/>
  <c r="AD16" i="48"/>
  <c r="AC16" i="48"/>
  <c r="AB16" i="48"/>
  <c r="AA16" i="48"/>
  <c r="Z16" i="48"/>
  <c r="Y16" i="48"/>
  <c r="X16" i="48"/>
  <c r="W16" i="48"/>
  <c r="V16" i="48"/>
  <c r="U16" i="48"/>
  <c r="T16" i="48"/>
  <c r="S16" i="48"/>
  <c r="Q16" i="48"/>
  <c r="P16" i="48"/>
  <c r="O16" i="48"/>
  <c r="N16" i="48"/>
  <c r="M16" i="48"/>
  <c r="L16" i="48"/>
  <c r="K16" i="48"/>
  <c r="J16" i="48"/>
  <c r="I16" i="48"/>
  <c r="H16" i="48"/>
  <c r="F16" i="48"/>
  <c r="E16" i="48"/>
  <c r="C16" i="48"/>
  <c r="C10" i="48"/>
  <c r="C5" i="48"/>
  <c r="Z26" i="48" l="1"/>
  <c r="AN26" i="48"/>
  <c r="AB26" i="48"/>
  <c r="S26" i="48"/>
  <c r="U26" i="48"/>
  <c r="E26" i="48"/>
  <c r="M26" i="48"/>
  <c r="G16" i="48"/>
  <c r="C7" i="48" s="1"/>
  <c r="T26" i="48"/>
  <c r="Y26" i="48"/>
  <c r="H26" i="48"/>
  <c r="O26" i="48"/>
  <c r="N26" i="48"/>
  <c r="G26" i="48"/>
  <c r="K26" i="48"/>
  <c r="Z68" i="47"/>
  <c r="N68" i="47"/>
  <c r="E48" i="47"/>
  <c r="P43" i="47"/>
  <c r="I38" i="47"/>
  <c r="C8" i="48" l="1"/>
  <c r="C9" i="48" s="1"/>
  <c r="E79" i="48"/>
  <c r="F79" i="48" s="1"/>
  <c r="G79" i="48" s="1"/>
  <c r="H79" i="48" s="1"/>
  <c r="I79" i="48" s="1"/>
  <c r="J79" i="48" s="1"/>
  <c r="K79" i="48" s="1"/>
  <c r="L79" i="48" s="1"/>
  <c r="M79" i="48" s="1"/>
  <c r="N79" i="48" s="1"/>
  <c r="O79" i="48" s="1"/>
  <c r="P79" i="48" s="1"/>
  <c r="Q79" i="48" s="1"/>
  <c r="R79" i="48" s="1"/>
  <c r="S79" i="48" s="1"/>
  <c r="T79" i="48" s="1"/>
  <c r="U79" i="48" s="1"/>
  <c r="V79" i="48" s="1"/>
  <c r="W79" i="48" s="1"/>
  <c r="X79" i="48" s="1"/>
  <c r="Y79" i="48" s="1"/>
  <c r="Z79" i="48" s="1"/>
  <c r="AA79" i="48" s="1"/>
  <c r="AB79" i="48" s="1"/>
  <c r="AC79" i="48" s="1"/>
  <c r="AD79" i="48" s="1"/>
  <c r="AE79" i="48" s="1"/>
  <c r="AF79" i="48" s="1"/>
  <c r="AG79" i="48" s="1"/>
  <c r="AH79" i="48" s="1"/>
  <c r="AI79" i="48" s="1"/>
  <c r="AJ79" i="48" s="1"/>
  <c r="AK79" i="48" s="1"/>
  <c r="AL79" i="48" s="1"/>
  <c r="AM79" i="48" s="1"/>
  <c r="AN79" i="48" s="1"/>
  <c r="AO79" i="48" s="1"/>
  <c r="AP79" i="48" s="1"/>
  <c r="AQ79" i="48" s="1"/>
  <c r="AR79" i="48" s="1"/>
  <c r="AS79" i="48" s="1"/>
  <c r="AT79" i="48" s="1"/>
  <c r="AU79" i="48" s="1"/>
  <c r="AV79" i="48" s="1"/>
  <c r="AW79" i="48" s="1"/>
  <c r="AX79" i="48" s="1"/>
  <c r="AY79" i="48" s="1"/>
  <c r="AZ79" i="48" s="1"/>
  <c r="BA79" i="48" s="1"/>
  <c r="BB79" i="48" s="1"/>
  <c r="BC79" i="48" s="1"/>
  <c r="BD79" i="48" s="1"/>
  <c r="BE79" i="48" s="1"/>
  <c r="BF79" i="48" s="1"/>
  <c r="BG79" i="48" s="1"/>
  <c r="BH79" i="48" s="1"/>
  <c r="BI79" i="48" s="1"/>
  <c r="BJ79" i="48" s="1"/>
  <c r="BK79" i="48" s="1"/>
  <c r="BL79" i="48" s="1"/>
  <c r="BM79" i="48" s="1"/>
  <c r="BN79" i="48" s="1"/>
  <c r="BO79" i="48" s="1"/>
  <c r="BP79" i="48" s="1"/>
  <c r="BQ79" i="48" s="1"/>
  <c r="BR79" i="48" s="1"/>
  <c r="BS79" i="48" s="1"/>
  <c r="BT79" i="48" s="1"/>
  <c r="BU79" i="48" s="1"/>
  <c r="BV79" i="48" s="1"/>
  <c r="BW79" i="48" s="1"/>
  <c r="BX79" i="48" s="1"/>
  <c r="BY79" i="48" s="1"/>
  <c r="BZ79" i="48" s="1"/>
  <c r="CA79" i="48" s="1"/>
  <c r="CB79" i="48" s="1"/>
  <c r="AV43" i="47"/>
  <c r="AW43" i="47"/>
  <c r="AX43" i="47"/>
  <c r="AY43" i="47"/>
  <c r="AU43" i="47"/>
  <c r="AU26" i="47" s="1"/>
  <c r="AR43" i="47"/>
  <c r="AQ43" i="47"/>
  <c r="AQ26" i="47" s="1"/>
  <c r="AP43" i="47"/>
  <c r="AO43" i="47"/>
  <c r="AK43" i="47"/>
  <c r="AD48" i="47"/>
  <c r="AD47" i="47"/>
  <c r="AD46" i="47"/>
  <c r="AD60" i="47"/>
  <c r="V60" i="47"/>
  <c r="U60" i="47"/>
  <c r="T60" i="47"/>
  <c r="S60" i="47"/>
  <c r="P60" i="47"/>
  <c r="Z36" i="47"/>
  <c r="V36" i="47"/>
  <c r="U36" i="47"/>
  <c r="T36" i="47"/>
  <c r="S36" i="47"/>
  <c r="P36" i="47"/>
  <c r="C65" i="47"/>
  <c r="C58" i="47"/>
  <c r="C52" i="47"/>
  <c r="C51" i="47"/>
  <c r="F50" i="47"/>
  <c r="C48" i="47"/>
  <c r="C44" i="47"/>
  <c r="C43" i="47"/>
  <c r="C42" i="47"/>
  <c r="F74" i="47"/>
  <c r="F26" i="47" s="1"/>
  <c r="I74" i="47"/>
  <c r="T68" i="47"/>
  <c r="P65" i="47"/>
  <c r="I63" i="47"/>
  <c r="H63" i="47"/>
  <c r="G63" i="47"/>
  <c r="F63" i="47"/>
  <c r="E63" i="47"/>
  <c r="C63" i="47"/>
  <c r="AB58" i="47"/>
  <c r="U52" i="47"/>
  <c r="L51" i="47"/>
  <c r="M51" i="47"/>
  <c r="G51" i="47"/>
  <c r="I51" i="47"/>
  <c r="S50" i="47"/>
  <c r="AC48" i="47"/>
  <c r="AB48" i="47"/>
  <c r="AA48" i="47"/>
  <c r="Z48" i="47"/>
  <c r="V48" i="47"/>
  <c r="U48" i="47"/>
  <c r="T48" i="47"/>
  <c r="S48" i="47"/>
  <c r="O48" i="47"/>
  <c r="M48" i="47"/>
  <c r="L48" i="47"/>
  <c r="G48" i="47"/>
  <c r="AC47" i="47"/>
  <c r="AB47" i="47"/>
  <c r="AA47" i="47"/>
  <c r="Z47" i="47"/>
  <c r="V47" i="47"/>
  <c r="U47" i="47"/>
  <c r="T47" i="47"/>
  <c r="S47" i="47"/>
  <c r="P47" i="47"/>
  <c r="O47" i="47"/>
  <c r="N47" i="47"/>
  <c r="M47" i="47"/>
  <c r="L47" i="47"/>
  <c r="AK47" i="47"/>
  <c r="H47" i="47"/>
  <c r="AI47" i="47"/>
  <c r="F47" i="47"/>
  <c r="AG47" i="47"/>
  <c r="C47" i="47"/>
  <c r="AQ46" i="47"/>
  <c r="AP46" i="47"/>
  <c r="AO46" i="47"/>
  <c r="AN46" i="47"/>
  <c r="AK46" i="47"/>
  <c r="AK26" i="47" s="1"/>
  <c r="AJ46" i="47"/>
  <c r="AJ26" i="47" s="1"/>
  <c r="AI46" i="47"/>
  <c r="AH46" i="47"/>
  <c r="AG46" i="47"/>
  <c r="AC46" i="47"/>
  <c r="AB46" i="47"/>
  <c r="AA46" i="47"/>
  <c r="Z46" i="47"/>
  <c r="C46" i="47"/>
  <c r="O44" i="47"/>
  <c r="N44" i="47"/>
  <c r="M44" i="47"/>
  <c r="L44" i="47"/>
  <c r="AN43" i="47"/>
  <c r="AG43" i="47"/>
  <c r="AG26" i="47" s="1"/>
  <c r="AD43" i="47"/>
  <c r="AD26" i="47" s="1"/>
  <c r="AC43" i="47"/>
  <c r="AB43" i="47"/>
  <c r="AA43" i="47"/>
  <c r="Z43" i="47"/>
  <c r="AH43" i="47"/>
  <c r="V43" i="47"/>
  <c r="U43" i="47"/>
  <c r="T43" i="47"/>
  <c r="N43" i="47"/>
  <c r="M43" i="47"/>
  <c r="L43" i="47"/>
  <c r="I43" i="47"/>
  <c r="H43" i="47"/>
  <c r="P39" i="47"/>
  <c r="G39" i="47"/>
  <c r="M39" i="47"/>
  <c r="S38" i="47"/>
  <c r="P38" i="47"/>
  <c r="Z38" i="47"/>
  <c r="O26" i="47" s="1"/>
  <c r="N38" i="47"/>
  <c r="M38" i="47"/>
  <c r="L38" i="47"/>
  <c r="G38" i="47"/>
  <c r="U38" i="47"/>
  <c r="AO31" i="47"/>
  <c r="H31" i="47"/>
  <c r="AO30" i="47"/>
  <c r="AN26" i="47" s="1"/>
  <c r="H30" i="47"/>
  <c r="CC26" i="47"/>
  <c r="CB26" i="47"/>
  <c r="CA26" i="47"/>
  <c r="BZ26" i="47"/>
  <c r="BY26" i="47"/>
  <c r="BX26" i="47"/>
  <c r="BW26" i="47"/>
  <c r="BV26" i="47"/>
  <c r="BU26" i="47"/>
  <c r="BT26" i="47"/>
  <c r="BS26" i="47"/>
  <c r="BR26" i="47"/>
  <c r="BQ26" i="47"/>
  <c r="BP26" i="47"/>
  <c r="BO26" i="47"/>
  <c r="BN26" i="47"/>
  <c r="BM26" i="47"/>
  <c r="BL26" i="47"/>
  <c r="BK26" i="47"/>
  <c r="BJ26" i="47"/>
  <c r="BI26" i="47"/>
  <c r="BH26" i="47"/>
  <c r="BG26" i="47"/>
  <c r="BF26" i="47"/>
  <c r="BE26" i="47"/>
  <c r="BD26" i="47"/>
  <c r="BC26" i="47"/>
  <c r="BB26" i="47"/>
  <c r="BA26" i="47"/>
  <c r="AZ26" i="47"/>
  <c r="AY26" i="47"/>
  <c r="AX26" i="47"/>
  <c r="AW26" i="47"/>
  <c r="AV26" i="47"/>
  <c r="AT26" i="47"/>
  <c r="AS26" i="47"/>
  <c r="AR26" i="47"/>
  <c r="AO26" i="47"/>
  <c r="AM26" i="47"/>
  <c r="AL26" i="47"/>
  <c r="AI26" i="47"/>
  <c r="AF26" i="47"/>
  <c r="AE26" i="47"/>
  <c r="Y26" i="47"/>
  <c r="X26" i="47"/>
  <c r="R26" i="47"/>
  <c r="Q26" i="47"/>
  <c r="L26" i="47"/>
  <c r="K26" i="47"/>
  <c r="J26" i="47"/>
  <c r="AV24" i="47"/>
  <c r="AV16" i="47" s="1"/>
  <c r="AO24" i="47"/>
  <c r="S24" i="47"/>
  <c r="S16" i="47" s="1"/>
  <c r="AC23" i="47"/>
  <c r="H21" i="47"/>
  <c r="H18" i="47"/>
  <c r="CC16" i="47"/>
  <c r="CB16" i="47"/>
  <c r="CA16" i="47"/>
  <c r="BZ16" i="47"/>
  <c r="BY16" i="47"/>
  <c r="BX16" i="47"/>
  <c r="BW16" i="47"/>
  <c r="BV16" i="47"/>
  <c r="BU16" i="47"/>
  <c r="BT16" i="47"/>
  <c r="BS16" i="47"/>
  <c r="BR16" i="47"/>
  <c r="BQ16" i="47"/>
  <c r="BP16" i="47"/>
  <c r="BO16" i="47"/>
  <c r="BN16" i="47"/>
  <c r="BM16" i="47"/>
  <c r="BL16" i="47"/>
  <c r="BK16" i="47"/>
  <c r="BJ16" i="47"/>
  <c r="BI16" i="47"/>
  <c r="BH16" i="47"/>
  <c r="BG16" i="47"/>
  <c r="BF16" i="47"/>
  <c r="BE16" i="47"/>
  <c r="BD16" i="47"/>
  <c r="BC16" i="47"/>
  <c r="BB16" i="47"/>
  <c r="BA16" i="47"/>
  <c r="AZ16" i="47"/>
  <c r="AY16" i="47"/>
  <c r="AX16" i="47"/>
  <c r="AW16" i="47"/>
  <c r="AU16" i="47"/>
  <c r="AT16" i="47"/>
  <c r="AS16" i="47"/>
  <c r="AR16" i="47"/>
  <c r="AQ16" i="47"/>
  <c r="AP16" i="47"/>
  <c r="AO16" i="47"/>
  <c r="AN16" i="47"/>
  <c r="AM16" i="47"/>
  <c r="AL16" i="47"/>
  <c r="AK16" i="47"/>
  <c r="AJ16" i="47"/>
  <c r="AI16" i="47"/>
  <c r="AH16" i="47"/>
  <c r="AG16" i="47"/>
  <c r="AF16" i="47"/>
  <c r="AE16" i="47"/>
  <c r="AD16" i="47"/>
  <c r="AC16" i="47"/>
  <c r="AB16" i="47"/>
  <c r="AA16" i="47"/>
  <c r="Z16" i="47"/>
  <c r="Y16" i="47"/>
  <c r="X16" i="47"/>
  <c r="W16" i="47"/>
  <c r="V16" i="47"/>
  <c r="U16" i="47"/>
  <c r="T16" i="47"/>
  <c r="R16" i="47"/>
  <c r="Q16" i="47"/>
  <c r="P16" i="47"/>
  <c r="O16" i="47"/>
  <c r="N16" i="47"/>
  <c r="M16" i="47"/>
  <c r="L16" i="47"/>
  <c r="K16" i="47"/>
  <c r="J16" i="47"/>
  <c r="I16" i="47"/>
  <c r="G16" i="47"/>
  <c r="F16" i="47"/>
  <c r="E16" i="47"/>
  <c r="C16" i="47"/>
  <c r="C5" i="47"/>
  <c r="T26" i="47" l="1"/>
  <c r="H16" i="47"/>
  <c r="Z26" i="47"/>
  <c r="AH26" i="47"/>
  <c r="C26" i="47"/>
  <c r="C11" i="47" s="1"/>
  <c r="AP26" i="47"/>
  <c r="M26" i="47"/>
  <c r="S26" i="47"/>
  <c r="U26" i="47"/>
  <c r="W26" i="47"/>
  <c r="AA26" i="47"/>
  <c r="AC26" i="47"/>
  <c r="H26" i="47"/>
  <c r="E26" i="47"/>
  <c r="G26" i="47"/>
  <c r="N26" i="47"/>
  <c r="P26" i="47"/>
  <c r="I26" i="47"/>
  <c r="V26" i="47"/>
  <c r="AB26" i="47"/>
  <c r="C7" i="47"/>
  <c r="C10" i="47"/>
  <c r="H51" i="46"/>
  <c r="E51" i="46"/>
  <c r="H50" i="46"/>
  <c r="E50" i="46"/>
  <c r="Z43" i="46"/>
  <c r="L39" i="46"/>
  <c r="E79" i="47" l="1"/>
  <c r="F79" i="47" s="1"/>
  <c r="G79" i="47" s="1"/>
  <c r="H79" i="47" s="1"/>
  <c r="I79" i="47" s="1"/>
  <c r="J79" i="47" s="1"/>
  <c r="K79" i="47" s="1"/>
  <c r="L79" i="47" s="1"/>
  <c r="M79" i="47" s="1"/>
  <c r="N79" i="47" s="1"/>
  <c r="O79" i="47" s="1"/>
  <c r="P79" i="47" s="1"/>
  <c r="Q79" i="47" s="1"/>
  <c r="R79" i="47" s="1"/>
  <c r="S79" i="47" s="1"/>
  <c r="T79" i="47" s="1"/>
  <c r="U79" i="47" s="1"/>
  <c r="V79" i="47" s="1"/>
  <c r="W79" i="47" s="1"/>
  <c r="X79" i="47" s="1"/>
  <c r="Y79" i="47" s="1"/>
  <c r="Z79" i="47" s="1"/>
  <c r="AA79" i="47" s="1"/>
  <c r="AB79" i="47" s="1"/>
  <c r="AC79" i="47" s="1"/>
  <c r="AD79" i="47" s="1"/>
  <c r="AE79" i="47" s="1"/>
  <c r="AF79" i="47" s="1"/>
  <c r="AG79" i="47" s="1"/>
  <c r="AH79" i="47" s="1"/>
  <c r="AI79" i="47" s="1"/>
  <c r="AJ79" i="47" s="1"/>
  <c r="AK79" i="47" s="1"/>
  <c r="AL79" i="47" s="1"/>
  <c r="AM79" i="47" s="1"/>
  <c r="AN79" i="47" s="1"/>
  <c r="AO79" i="47" s="1"/>
  <c r="AP79" i="47" s="1"/>
  <c r="AQ79" i="47" s="1"/>
  <c r="AR79" i="47" s="1"/>
  <c r="AS79" i="47" s="1"/>
  <c r="AT79" i="47" s="1"/>
  <c r="AU79" i="47" s="1"/>
  <c r="AV79" i="47" s="1"/>
  <c r="AW79" i="47" s="1"/>
  <c r="AX79" i="47" s="1"/>
  <c r="AY79" i="47" s="1"/>
  <c r="AZ79" i="47" s="1"/>
  <c r="BA79" i="47" s="1"/>
  <c r="BB79" i="47" s="1"/>
  <c r="BC79" i="47" s="1"/>
  <c r="BD79" i="47" s="1"/>
  <c r="BE79" i="47" s="1"/>
  <c r="BF79" i="47" s="1"/>
  <c r="BG79" i="47" s="1"/>
  <c r="BH79" i="47" s="1"/>
  <c r="BI79" i="47" s="1"/>
  <c r="BJ79" i="47" s="1"/>
  <c r="BK79" i="47" s="1"/>
  <c r="BL79" i="47" s="1"/>
  <c r="BM79" i="47" s="1"/>
  <c r="BN79" i="47" s="1"/>
  <c r="BO79" i="47" s="1"/>
  <c r="BP79" i="47" s="1"/>
  <c r="BQ79" i="47" s="1"/>
  <c r="BR79" i="47" s="1"/>
  <c r="BS79" i="47" s="1"/>
  <c r="BT79" i="47" s="1"/>
  <c r="BU79" i="47" s="1"/>
  <c r="BV79" i="47" s="1"/>
  <c r="BW79" i="47" s="1"/>
  <c r="BX79" i="47" s="1"/>
  <c r="BY79" i="47" s="1"/>
  <c r="BZ79" i="47" s="1"/>
  <c r="CA79" i="47" s="1"/>
  <c r="CB79" i="47" s="1"/>
  <c r="CC79" i="47" s="1"/>
  <c r="C8" i="47"/>
  <c r="C9" i="47" s="1"/>
  <c r="C63" i="46"/>
  <c r="C58" i="46"/>
  <c r="C51" i="46"/>
  <c r="C44" i="46"/>
  <c r="C42" i="46"/>
  <c r="I74" i="46"/>
  <c r="H74" i="46"/>
  <c r="W68" i="46"/>
  <c r="J65" i="46"/>
  <c r="E65" i="46"/>
  <c r="C65" i="46"/>
  <c r="L63" i="46"/>
  <c r="K63" i="46"/>
  <c r="J63" i="46"/>
  <c r="I63" i="46"/>
  <c r="H63" i="46"/>
  <c r="S60" i="46"/>
  <c r="AE58" i="46"/>
  <c r="X52" i="46"/>
  <c r="C52" i="46"/>
  <c r="O51" i="46"/>
  <c r="L51" i="46"/>
  <c r="J51" i="46"/>
  <c r="V50" i="46"/>
  <c r="AG48" i="46"/>
  <c r="AF48" i="46"/>
  <c r="AE48" i="46"/>
  <c r="AD48" i="46"/>
  <c r="AC48" i="46"/>
  <c r="Z48" i="46"/>
  <c r="Y48" i="46"/>
  <c r="X48" i="46"/>
  <c r="W48" i="46"/>
  <c r="V48" i="46"/>
  <c r="V26" i="46" s="1"/>
  <c r="R48" i="46"/>
  <c r="P48" i="46"/>
  <c r="L48" i="46"/>
  <c r="J48" i="46"/>
  <c r="H48" i="46"/>
  <c r="E48" i="46"/>
  <c r="C48" i="46"/>
  <c r="AG47" i="46"/>
  <c r="AF47" i="46"/>
  <c r="AE47" i="46"/>
  <c r="AD47" i="46"/>
  <c r="AC47" i="46"/>
  <c r="Z47" i="46"/>
  <c r="Y47" i="46"/>
  <c r="X47" i="46"/>
  <c r="W47" i="46"/>
  <c r="V47" i="46"/>
  <c r="S47" i="46"/>
  <c r="R47" i="46"/>
  <c r="Q47" i="46"/>
  <c r="P47" i="46"/>
  <c r="O47" i="46"/>
  <c r="L47" i="46"/>
  <c r="K47" i="46"/>
  <c r="J47" i="46"/>
  <c r="I47" i="46"/>
  <c r="H47" i="46"/>
  <c r="C47" i="46"/>
  <c r="AT46" i="46"/>
  <c r="AS46" i="46"/>
  <c r="AS26" i="46" s="1"/>
  <c r="AR46" i="46"/>
  <c r="AQ46" i="46"/>
  <c r="AN46" i="46"/>
  <c r="AM46" i="46"/>
  <c r="AM26" i="46" s="1"/>
  <c r="AL46" i="46"/>
  <c r="AK46" i="46"/>
  <c r="AK26" i="46" s="1"/>
  <c r="AJ46" i="46"/>
  <c r="AG46" i="46"/>
  <c r="AF46" i="46"/>
  <c r="AE46" i="46"/>
  <c r="AD46" i="46"/>
  <c r="AC46" i="46"/>
  <c r="Z46" i="46"/>
  <c r="C46" i="46"/>
  <c r="E45" i="46"/>
  <c r="C45" i="46"/>
  <c r="R44" i="46"/>
  <c r="Q44" i="46"/>
  <c r="P44" i="46"/>
  <c r="O44" i="46"/>
  <c r="AQ43" i="46"/>
  <c r="AJ43" i="46"/>
  <c r="AJ26" i="46" s="1"/>
  <c r="AG43" i="46"/>
  <c r="AF43" i="46"/>
  <c r="AF26" i="46" s="1"/>
  <c r="AE43" i="46"/>
  <c r="AD43" i="46"/>
  <c r="AC43" i="46"/>
  <c r="Z26" i="46"/>
  <c r="Y43" i="46"/>
  <c r="X43" i="46"/>
  <c r="X26" i="46" s="1"/>
  <c r="W43" i="46"/>
  <c r="S43" i="46"/>
  <c r="Q43" i="46"/>
  <c r="P43" i="46"/>
  <c r="O43" i="46"/>
  <c r="L43" i="46"/>
  <c r="K43" i="46"/>
  <c r="H43" i="46"/>
  <c r="C43" i="46"/>
  <c r="J39" i="46"/>
  <c r="H39" i="46"/>
  <c r="S38" i="46"/>
  <c r="R38" i="46"/>
  <c r="Q38" i="46"/>
  <c r="P38" i="46"/>
  <c r="O38" i="46"/>
  <c r="L38" i="46"/>
  <c r="L26" i="46" s="1"/>
  <c r="V38" i="46"/>
  <c r="J38" i="46"/>
  <c r="I38" i="46"/>
  <c r="H38" i="46"/>
  <c r="E36" i="46"/>
  <c r="E34" i="46"/>
  <c r="AQ31" i="46"/>
  <c r="K31" i="46"/>
  <c r="AQ30" i="46"/>
  <c r="K30" i="46"/>
  <c r="CF26" i="46"/>
  <c r="CE26" i="46"/>
  <c r="CD26" i="46"/>
  <c r="CC26" i="46"/>
  <c r="CB26" i="46"/>
  <c r="CA26" i="46"/>
  <c r="BZ26" i="46"/>
  <c r="BY26" i="46"/>
  <c r="BX26" i="46"/>
  <c r="BW26" i="46"/>
  <c r="BV26" i="46"/>
  <c r="BU26" i="46"/>
  <c r="BT26" i="46"/>
  <c r="BS26" i="46"/>
  <c r="BR26" i="46"/>
  <c r="BQ26" i="46"/>
  <c r="BP26" i="46"/>
  <c r="BO26" i="46"/>
  <c r="BN26" i="46"/>
  <c r="BM26" i="46"/>
  <c r="BL26" i="46"/>
  <c r="BK26" i="46"/>
  <c r="BJ26" i="46"/>
  <c r="BI26" i="46"/>
  <c r="BH26" i="46"/>
  <c r="BG26" i="46"/>
  <c r="BF26" i="46"/>
  <c r="BE26" i="46"/>
  <c r="BD26" i="46"/>
  <c r="BC26" i="46"/>
  <c r="BB26" i="46"/>
  <c r="BA26" i="46"/>
  <c r="AZ26" i="46"/>
  <c r="AY26" i="46"/>
  <c r="AX26" i="46"/>
  <c r="AW26" i="46"/>
  <c r="AV26" i="46"/>
  <c r="AU26" i="46"/>
  <c r="AT26" i="46"/>
  <c r="AR26" i="46"/>
  <c r="AP26" i="46"/>
  <c r="AO26" i="46"/>
  <c r="AN26" i="46"/>
  <c r="AL26" i="46"/>
  <c r="AI26" i="46"/>
  <c r="AH26" i="46"/>
  <c r="AD26" i="46"/>
  <c r="AB26" i="46"/>
  <c r="AA26" i="46"/>
  <c r="U26" i="46"/>
  <c r="T26" i="46"/>
  <c r="R26" i="46"/>
  <c r="N26" i="46"/>
  <c r="M26" i="46"/>
  <c r="H26" i="46"/>
  <c r="G26" i="46"/>
  <c r="F26" i="46"/>
  <c r="AY24" i="46"/>
  <c r="AY16" i="46" s="1"/>
  <c r="AQ24" i="46"/>
  <c r="AQ16" i="46" s="1"/>
  <c r="V24" i="46"/>
  <c r="V16" i="46" s="1"/>
  <c r="AF23" i="46"/>
  <c r="AF16" i="46" s="1"/>
  <c r="K21" i="46"/>
  <c r="K18" i="46"/>
  <c r="CF16" i="46"/>
  <c r="CE16" i="46"/>
  <c r="CD16" i="46"/>
  <c r="CC16" i="46"/>
  <c r="CB16" i="46"/>
  <c r="CA16" i="46"/>
  <c r="BZ16" i="46"/>
  <c r="BY16" i="46"/>
  <c r="BX16" i="46"/>
  <c r="BW16" i="46"/>
  <c r="BV16" i="46"/>
  <c r="BU16" i="46"/>
  <c r="BT16" i="46"/>
  <c r="BS16" i="46"/>
  <c r="BR16" i="46"/>
  <c r="BQ16" i="46"/>
  <c r="BP16" i="46"/>
  <c r="BO16" i="46"/>
  <c r="BN16" i="46"/>
  <c r="BM16" i="46"/>
  <c r="BL16" i="46"/>
  <c r="BK16" i="46"/>
  <c r="BJ16" i="46"/>
  <c r="BI16" i="46"/>
  <c r="BH16" i="46"/>
  <c r="BG16" i="46"/>
  <c r="BF16" i="46"/>
  <c r="BE16" i="46"/>
  <c r="BD16" i="46"/>
  <c r="BC16" i="46"/>
  <c r="BB16" i="46"/>
  <c r="BA16" i="46"/>
  <c r="AZ16" i="46"/>
  <c r="AX16" i="46"/>
  <c r="AW16" i="46"/>
  <c r="AV16" i="46"/>
  <c r="AU16" i="46"/>
  <c r="AT16" i="46"/>
  <c r="AS16" i="46"/>
  <c r="AR16" i="46"/>
  <c r="AP16" i="46"/>
  <c r="AO16" i="46"/>
  <c r="AN16" i="46"/>
  <c r="AM16" i="46"/>
  <c r="AL16" i="46"/>
  <c r="AK16" i="46"/>
  <c r="AJ16" i="46"/>
  <c r="AI16" i="46"/>
  <c r="AH16" i="46"/>
  <c r="AG16" i="46"/>
  <c r="AE16" i="46"/>
  <c r="AD16" i="46"/>
  <c r="AC16" i="46"/>
  <c r="AB16" i="46"/>
  <c r="AA16" i="46"/>
  <c r="Z16" i="46"/>
  <c r="Y16" i="46"/>
  <c r="X16" i="46"/>
  <c r="W16" i="46"/>
  <c r="U16" i="46"/>
  <c r="T16" i="46"/>
  <c r="S16" i="46"/>
  <c r="R16" i="46"/>
  <c r="Q16" i="46"/>
  <c r="P16" i="46"/>
  <c r="O16" i="46"/>
  <c r="N16" i="46"/>
  <c r="M16" i="46"/>
  <c r="L16" i="46"/>
  <c r="J16" i="46"/>
  <c r="I16" i="46"/>
  <c r="H16" i="46"/>
  <c r="G16" i="46"/>
  <c r="F16" i="46"/>
  <c r="E16" i="46"/>
  <c r="C16" i="46"/>
  <c r="C10" i="46"/>
  <c r="C5" i="46"/>
  <c r="C65" i="45"/>
  <c r="C58" i="45"/>
  <c r="AF58" i="45" s="1"/>
  <c r="C52" i="45"/>
  <c r="C51" i="45"/>
  <c r="C45" i="45"/>
  <c r="C43" i="45"/>
  <c r="C42" i="45"/>
  <c r="C26" i="45" s="1"/>
  <c r="C11" i="45" s="1"/>
  <c r="J74" i="45"/>
  <c r="I74" i="45"/>
  <c r="X68" i="45"/>
  <c r="K65" i="45"/>
  <c r="F65" i="45"/>
  <c r="M63" i="45"/>
  <c r="L63" i="45"/>
  <c r="K63" i="45"/>
  <c r="J63" i="45"/>
  <c r="I63" i="45"/>
  <c r="C63" i="45"/>
  <c r="T60" i="45"/>
  <c r="E55" i="45"/>
  <c r="Y52" i="45"/>
  <c r="P51" i="45"/>
  <c r="M51" i="45"/>
  <c r="K51" i="45"/>
  <c r="I51" i="45"/>
  <c r="F51" i="45"/>
  <c r="E51" i="45"/>
  <c r="W50" i="45"/>
  <c r="P50" i="45"/>
  <c r="P26" i="45" s="1"/>
  <c r="L50" i="45"/>
  <c r="J50" i="45"/>
  <c r="F50" i="45"/>
  <c r="AH48" i="45"/>
  <c r="AH26" i="45" s="1"/>
  <c r="AG48" i="45"/>
  <c r="AF48" i="45"/>
  <c r="AE48" i="45"/>
  <c r="AD48" i="45"/>
  <c r="AA48" i="45"/>
  <c r="Z48" i="45"/>
  <c r="Y48" i="45"/>
  <c r="X48" i="45"/>
  <c r="X26" i="45" s="1"/>
  <c r="W48" i="45"/>
  <c r="W26" i="45" s="1"/>
  <c r="S48" i="45"/>
  <c r="Q48" i="45"/>
  <c r="M48" i="45"/>
  <c r="K48" i="45"/>
  <c r="I48" i="45"/>
  <c r="F48" i="45"/>
  <c r="C48" i="45"/>
  <c r="AH47" i="45"/>
  <c r="AG47" i="45"/>
  <c r="AF47" i="45"/>
  <c r="AE47" i="45"/>
  <c r="AD47" i="45"/>
  <c r="AA47" i="45"/>
  <c r="Z47" i="45"/>
  <c r="Y47" i="45"/>
  <c r="X47" i="45"/>
  <c r="W47" i="45"/>
  <c r="T47" i="45"/>
  <c r="S47" i="45"/>
  <c r="R47" i="45"/>
  <c r="Q47" i="45"/>
  <c r="P47" i="45"/>
  <c r="M47" i="45"/>
  <c r="L47" i="45"/>
  <c r="K47" i="45"/>
  <c r="J47" i="45"/>
  <c r="I47" i="45"/>
  <c r="C47" i="45"/>
  <c r="AU46" i="45"/>
  <c r="AU26" i="45" s="1"/>
  <c r="AT46" i="45"/>
  <c r="AS46" i="45"/>
  <c r="AS26" i="45" s="1"/>
  <c r="AR46" i="45"/>
  <c r="AO46" i="45"/>
  <c r="AO26" i="45" s="1"/>
  <c r="AN46" i="45"/>
  <c r="AM46" i="45"/>
  <c r="AM26" i="45" s="1"/>
  <c r="AL46" i="45"/>
  <c r="AK46" i="45"/>
  <c r="AH46" i="45"/>
  <c r="AG46" i="45"/>
  <c r="AF46" i="45"/>
  <c r="AE46" i="45"/>
  <c r="AD46" i="45"/>
  <c r="AA46" i="45"/>
  <c r="C46" i="45"/>
  <c r="F45" i="45"/>
  <c r="S44" i="45"/>
  <c r="R44" i="45"/>
  <c r="Q44" i="45"/>
  <c r="P44" i="45"/>
  <c r="AR43" i="45"/>
  <c r="AK43" i="45"/>
  <c r="AH43" i="45"/>
  <c r="AG43" i="45"/>
  <c r="AF43" i="45"/>
  <c r="AE43" i="45"/>
  <c r="AD43" i="45"/>
  <c r="AA43" i="45"/>
  <c r="Z43" i="45"/>
  <c r="Y43" i="45"/>
  <c r="X43" i="45"/>
  <c r="T43" i="45"/>
  <c r="R43" i="45"/>
  <c r="Q43" i="45"/>
  <c r="P43" i="45"/>
  <c r="M43" i="45"/>
  <c r="L43" i="45"/>
  <c r="I43" i="45"/>
  <c r="M39" i="45"/>
  <c r="K39" i="45"/>
  <c r="I39" i="45"/>
  <c r="F39" i="45"/>
  <c r="E39" i="45"/>
  <c r="T38" i="45"/>
  <c r="S38" i="45"/>
  <c r="S26" i="45" s="1"/>
  <c r="R38" i="45"/>
  <c r="Q38" i="45"/>
  <c r="P38" i="45"/>
  <c r="M38" i="45"/>
  <c r="L38" i="45"/>
  <c r="K38" i="45"/>
  <c r="J38" i="45"/>
  <c r="I38" i="45"/>
  <c r="F36" i="45"/>
  <c r="F34" i="45"/>
  <c r="F26" i="45" s="1"/>
  <c r="AR31" i="45"/>
  <c r="L31" i="45"/>
  <c r="AR30" i="45"/>
  <c r="L30" i="45"/>
  <c r="L26" i="45" s="1"/>
  <c r="CG26" i="45"/>
  <c r="CF26" i="45"/>
  <c r="CE26" i="45"/>
  <c r="CD26" i="45"/>
  <c r="CC26" i="45"/>
  <c r="CB26" i="45"/>
  <c r="CA26" i="45"/>
  <c r="BZ26" i="45"/>
  <c r="BY26" i="45"/>
  <c r="BX26" i="45"/>
  <c r="BW26" i="45"/>
  <c r="BV26" i="45"/>
  <c r="BU26" i="45"/>
  <c r="BT26" i="45"/>
  <c r="BS26" i="45"/>
  <c r="BR26" i="45"/>
  <c r="BQ26" i="45"/>
  <c r="BP26" i="45"/>
  <c r="BO26" i="45"/>
  <c r="BN26" i="45"/>
  <c r="BM26" i="45"/>
  <c r="BL26" i="45"/>
  <c r="BK26" i="45"/>
  <c r="BJ26" i="45"/>
  <c r="BI26" i="45"/>
  <c r="BH26" i="45"/>
  <c r="BG26" i="45"/>
  <c r="BF26" i="45"/>
  <c r="BE26" i="45"/>
  <c r="BD26" i="45"/>
  <c r="BC26" i="45"/>
  <c r="BB26" i="45"/>
  <c r="BA26" i="45"/>
  <c r="AZ26" i="45"/>
  <c r="AY26" i="45"/>
  <c r="AX26" i="45"/>
  <c r="AW26" i="45"/>
  <c r="AV26" i="45"/>
  <c r="AT26" i="45"/>
  <c r="AR26" i="45"/>
  <c r="AQ26" i="45"/>
  <c r="AP26" i="45"/>
  <c r="AN26" i="45"/>
  <c r="AL26" i="45"/>
  <c r="AJ26" i="45"/>
  <c r="AI26" i="45"/>
  <c r="AC26" i="45"/>
  <c r="AB26" i="45"/>
  <c r="V26" i="45"/>
  <c r="U26" i="45"/>
  <c r="O26" i="45"/>
  <c r="N26" i="45"/>
  <c r="H26" i="45"/>
  <c r="G26" i="45"/>
  <c r="AZ24" i="45"/>
  <c r="AZ16" i="45" s="1"/>
  <c r="AR24" i="45"/>
  <c r="W24" i="45"/>
  <c r="W16" i="45" s="1"/>
  <c r="AG23" i="45"/>
  <c r="L21" i="45"/>
  <c r="L16" i="45" s="1"/>
  <c r="L18" i="45"/>
  <c r="CG16" i="45"/>
  <c r="CF16" i="45"/>
  <c r="CE16" i="45"/>
  <c r="CD16" i="45"/>
  <c r="CC16" i="45"/>
  <c r="CB16" i="45"/>
  <c r="CA16" i="45"/>
  <c r="BZ16" i="45"/>
  <c r="BY16" i="45"/>
  <c r="BX16" i="45"/>
  <c r="BW16" i="45"/>
  <c r="BV16" i="45"/>
  <c r="BU16" i="45"/>
  <c r="BT16" i="45"/>
  <c r="BS16" i="45"/>
  <c r="BR16" i="45"/>
  <c r="BQ16" i="45"/>
  <c r="BP16" i="45"/>
  <c r="BO16" i="45"/>
  <c r="BN16" i="45"/>
  <c r="BM16" i="45"/>
  <c r="BL16" i="45"/>
  <c r="BK16" i="45"/>
  <c r="BJ16" i="45"/>
  <c r="BI16" i="45"/>
  <c r="BH16" i="45"/>
  <c r="BG16" i="45"/>
  <c r="BF16" i="45"/>
  <c r="BE16" i="45"/>
  <c r="BD16" i="45"/>
  <c r="BC16" i="45"/>
  <c r="BB16" i="45"/>
  <c r="BA16" i="45"/>
  <c r="AY16" i="45"/>
  <c r="AX16" i="45"/>
  <c r="AW16" i="45"/>
  <c r="AV16" i="45"/>
  <c r="AU16" i="45"/>
  <c r="AT16" i="45"/>
  <c r="AS16" i="45"/>
  <c r="AR16" i="45"/>
  <c r="AQ16" i="45"/>
  <c r="AP16" i="45"/>
  <c r="AO16" i="45"/>
  <c r="AN16" i="45"/>
  <c r="AM16" i="45"/>
  <c r="AL16" i="45"/>
  <c r="AK16" i="45"/>
  <c r="AJ16" i="45"/>
  <c r="AI16" i="45"/>
  <c r="AH16" i="45"/>
  <c r="AG16" i="45"/>
  <c r="AF16" i="45"/>
  <c r="AE16" i="45"/>
  <c r="AD16" i="45"/>
  <c r="AC16" i="45"/>
  <c r="AB16" i="45"/>
  <c r="AA16" i="45"/>
  <c r="Z16" i="45"/>
  <c r="Y16" i="45"/>
  <c r="X16" i="45"/>
  <c r="V16" i="45"/>
  <c r="U16" i="45"/>
  <c r="T16" i="45"/>
  <c r="S16" i="45"/>
  <c r="R16" i="45"/>
  <c r="Q16" i="45"/>
  <c r="P16" i="45"/>
  <c r="O16" i="45"/>
  <c r="N16" i="45"/>
  <c r="M16" i="45"/>
  <c r="K16" i="45"/>
  <c r="J16" i="45"/>
  <c r="I16" i="45"/>
  <c r="H16" i="45"/>
  <c r="G16" i="45"/>
  <c r="F16" i="45"/>
  <c r="E16" i="45"/>
  <c r="C16" i="45"/>
  <c r="C10" i="45"/>
  <c r="C5" i="45"/>
  <c r="C26" i="46" l="1"/>
  <c r="C11" i="46" s="1"/>
  <c r="AC26" i="46"/>
  <c r="AE26" i="46"/>
  <c r="AG26" i="46"/>
  <c r="W26" i="46"/>
  <c r="Y26" i="46"/>
  <c r="J26" i="46"/>
  <c r="P26" i="46"/>
  <c r="K16" i="46"/>
  <c r="AQ26" i="46"/>
  <c r="E26" i="46"/>
  <c r="I26" i="46"/>
  <c r="K26" i="46"/>
  <c r="O26" i="46"/>
  <c r="Q26" i="46"/>
  <c r="S26" i="46"/>
  <c r="C7" i="46"/>
  <c r="AK26" i="45"/>
  <c r="AD26" i="45"/>
  <c r="J26" i="45"/>
  <c r="Q26" i="45"/>
  <c r="Y26" i="45"/>
  <c r="AA26" i="45"/>
  <c r="AE26" i="45"/>
  <c r="AG26" i="45"/>
  <c r="R26" i="45"/>
  <c r="T26" i="45"/>
  <c r="K26" i="45"/>
  <c r="Z26" i="45"/>
  <c r="AF26" i="45"/>
  <c r="E26" i="45"/>
  <c r="I26" i="45"/>
  <c r="M26" i="45"/>
  <c r="C7" i="45"/>
  <c r="AL43" i="44"/>
  <c r="AI43" i="44"/>
  <c r="AH43" i="44"/>
  <c r="AG43" i="44"/>
  <c r="AF43" i="44"/>
  <c r="AE43" i="44"/>
  <c r="Z43" i="44"/>
  <c r="AA43" i="44"/>
  <c r="AB43" i="44"/>
  <c r="Y43" i="44"/>
  <c r="R44" i="44"/>
  <c r="S44" i="44"/>
  <c r="T44" i="44"/>
  <c r="U44" i="44"/>
  <c r="Q44" i="44"/>
  <c r="C46" i="44"/>
  <c r="AV46" i="44"/>
  <c r="AV26" i="44" s="1"/>
  <c r="AU46" i="44"/>
  <c r="AT46" i="44"/>
  <c r="AT26" i="44" s="1"/>
  <c r="AS46" i="44"/>
  <c r="AP46" i="44"/>
  <c r="AO46" i="44"/>
  <c r="AO26" i="44" s="1"/>
  <c r="AN46" i="44"/>
  <c r="AM46" i="44"/>
  <c r="AM26" i="44" s="1"/>
  <c r="AL46" i="44"/>
  <c r="AF46" i="44"/>
  <c r="AG46" i="44"/>
  <c r="AH46" i="44"/>
  <c r="AI46" i="44"/>
  <c r="AE46" i="44"/>
  <c r="AB46" i="44"/>
  <c r="N16" i="44"/>
  <c r="O16" i="44"/>
  <c r="P16" i="44"/>
  <c r="Q16" i="44"/>
  <c r="R16" i="44"/>
  <c r="S16" i="44"/>
  <c r="T16" i="44"/>
  <c r="U16" i="44"/>
  <c r="V16" i="44"/>
  <c r="W16" i="44"/>
  <c r="Y16" i="44"/>
  <c r="Z16" i="44"/>
  <c r="AA16" i="44"/>
  <c r="AB16" i="44"/>
  <c r="AC16" i="44"/>
  <c r="AD16" i="44"/>
  <c r="AE16" i="44"/>
  <c r="AF16" i="44"/>
  <c r="AG16" i="44"/>
  <c r="AI16" i="44"/>
  <c r="AJ16" i="44"/>
  <c r="AK16" i="44"/>
  <c r="AL16" i="44"/>
  <c r="AM16" i="44"/>
  <c r="AN16" i="44"/>
  <c r="AO16" i="44"/>
  <c r="AP16" i="44"/>
  <c r="AQ16" i="44"/>
  <c r="AR16" i="44"/>
  <c r="AT16" i="44"/>
  <c r="AU16" i="44"/>
  <c r="AV16" i="44"/>
  <c r="AW16" i="44"/>
  <c r="AX16" i="44"/>
  <c r="AY16" i="44"/>
  <c r="AZ16" i="44"/>
  <c r="BB16" i="44"/>
  <c r="BC16" i="44"/>
  <c r="BD16" i="44"/>
  <c r="BE16" i="44"/>
  <c r="BF16" i="44"/>
  <c r="BG16" i="44"/>
  <c r="BH16" i="44"/>
  <c r="BI16" i="44"/>
  <c r="BJ16" i="44"/>
  <c r="BK16" i="44"/>
  <c r="BL16" i="44"/>
  <c r="BM16" i="44"/>
  <c r="BN16" i="44"/>
  <c r="BO16" i="44"/>
  <c r="BP16" i="44"/>
  <c r="BQ16" i="44"/>
  <c r="BR16" i="44"/>
  <c r="BS16" i="44"/>
  <c r="BT16" i="44"/>
  <c r="BU16" i="44"/>
  <c r="BV16" i="44"/>
  <c r="BW16" i="44"/>
  <c r="BX16" i="44"/>
  <c r="BY16" i="44"/>
  <c r="BZ16" i="44"/>
  <c r="CA16" i="44"/>
  <c r="CB16" i="44"/>
  <c r="CC16" i="44"/>
  <c r="CD16" i="44"/>
  <c r="CE16" i="44"/>
  <c r="CF16" i="44"/>
  <c r="CG16" i="44"/>
  <c r="CH16" i="44"/>
  <c r="J74" i="44"/>
  <c r="H26" i="44"/>
  <c r="I26" i="44"/>
  <c r="O26" i="44"/>
  <c r="P26" i="44"/>
  <c r="V26" i="44"/>
  <c r="W26" i="44"/>
  <c r="AC26" i="44"/>
  <c r="AD26" i="44"/>
  <c r="AJ26" i="44"/>
  <c r="AK26" i="44"/>
  <c r="AL26" i="44"/>
  <c r="AN26" i="44"/>
  <c r="AP26" i="44"/>
  <c r="AQ26" i="44"/>
  <c r="AR26" i="44"/>
  <c r="AU26" i="44"/>
  <c r="AW26" i="44"/>
  <c r="AX26" i="44"/>
  <c r="AY26" i="44"/>
  <c r="AZ26" i="44"/>
  <c r="BA26" i="44"/>
  <c r="BB26" i="44"/>
  <c r="BC26" i="44"/>
  <c r="BD26" i="44"/>
  <c r="BE26" i="44"/>
  <c r="BF26" i="44"/>
  <c r="BG26" i="44"/>
  <c r="BH26" i="44"/>
  <c r="BI26" i="44"/>
  <c r="BJ26" i="44"/>
  <c r="BK26" i="44"/>
  <c r="BL26" i="44"/>
  <c r="BM26" i="44"/>
  <c r="BN26" i="44"/>
  <c r="BO26" i="44"/>
  <c r="BP26" i="44"/>
  <c r="BQ26" i="44"/>
  <c r="BR26" i="44"/>
  <c r="BS26" i="44"/>
  <c r="BT26" i="44"/>
  <c r="BU26" i="44"/>
  <c r="BV26" i="44"/>
  <c r="BW26" i="44"/>
  <c r="BX26" i="44"/>
  <c r="BY26" i="44"/>
  <c r="BZ26" i="44"/>
  <c r="CA26" i="44"/>
  <c r="CB26" i="44"/>
  <c r="CC26" i="44"/>
  <c r="CD26" i="44"/>
  <c r="CE26" i="44"/>
  <c r="CF26" i="44"/>
  <c r="CG26" i="44"/>
  <c r="CH26" i="44"/>
  <c r="M30" i="44"/>
  <c r="K74" i="44"/>
  <c r="AI48" i="44"/>
  <c r="AH48" i="44"/>
  <c r="AG48" i="44"/>
  <c r="AF48" i="44"/>
  <c r="AE48" i="44"/>
  <c r="Y48" i="44"/>
  <c r="Z48" i="44"/>
  <c r="AA48" i="44"/>
  <c r="AB48" i="44"/>
  <c r="X48" i="44"/>
  <c r="AI47" i="44"/>
  <c r="AI26" i="44" s="1"/>
  <c r="AH47" i="44"/>
  <c r="AH26" i="44" s="1"/>
  <c r="AG47" i="44"/>
  <c r="AF47" i="44"/>
  <c r="AF26" i="44" s="1"/>
  <c r="AE47" i="44"/>
  <c r="AB47" i="44"/>
  <c r="AA47" i="44"/>
  <c r="Z47" i="44"/>
  <c r="Y47" i="44"/>
  <c r="X47" i="44"/>
  <c r="U47" i="44"/>
  <c r="C47" i="44"/>
  <c r="R47" i="44"/>
  <c r="S47" i="44"/>
  <c r="T47" i="44"/>
  <c r="Q47" i="44"/>
  <c r="K47" i="44"/>
  <c r="L47" i="44"/>
  <c r="M47" i="44"/>
  <c r="N47" i="44"/>
  <c r="J47" i="44"/>
  <c r="T48" i="44"/>
  <c r="R48" i="44"/>
  <c r="N48" i="44"/>
  <c r="L48" i="44"/>
  <c r="J48" i="44"/>
  <c r="G48" i="44"/>
  <c r="C48" i="44"/>
  <c r="C43" i="44"/>
  <c r="R43" i="44"/>
  <c r="S43" i="44"/>
  <c r="Q43" i="44"/>
  <c r="N43" i="44"/>
  <c r="J43" i="44"/>
  <c r="K38" i="44"/>
  <c r="L38" i="44"/>
  <c r="M38" i="44"/>
  <c r="N38" i="44"/>
  <c r="J38" i="44"/>
  <c r="M18" i="44"/>
  <c r="U38" i="44"/>
  <c r="T38" i="44"/>
  <c r="T26" i="44" s="1"/>
  <c r="S38" i="44"/>
  <c r="S26" i="44" s="1"/>
  <c r="R38" i="44"/>
  <c r="R26" i="44" s="1"/>
  <c r="Q38" i="44"/>
  <c r="C63" i="44"/>
  <c r="C58" i="44"/>
  <c r="AG58" i="44" s="1"/>
  <c r="C51" i="44"/>
  <c r="C44" i="44"/>
  <c r="C42" i="44"/>
  <c r="Y68" i="44"/>
  <c r="L65" i="44"/>
  <c r="G65" i="44"/>
  <c r="E65" i="44"/>
  <c r="N63" i="44"/>
  <c r="M63" i="44"/>
  <c r="L63" i="44"/>
  <c r="K63" i="44"/>
  <c r="J63" i="44"/>
  <c r="U60" i="44"/>
  <c r="F55" i="44"/>
  <c r="E55" i="44"/>
  <c r="Z52" i="44"/>
  <c r="C52" i="44"/>
  <c r="Q51" i="44"/>
  <c r="N51" i="44"/>
  <c r="L51" i="44"/>
  <c r="J51" i="44"/>
  <c r="G51" i="44"/>
  <c r="F51" i="44"/>
  <c r="E51" i="44"/>
  <c r="X50" i="44"/>
  <c r="Q50" i="44"/>
  <c r="M50" i="44"/>
  <c r="K50" i="44"/>
  <c r="G50" i="44"/>
  <c r="E50" i="44"/>
  <c r="G45" i="44"/>
  <c r="E45" i="44"/>
  <c r="C45" i="44"/>
  <c r="U43" i="44"/>
  <c r="AS43" i="44"/>
  <c r="M43" i="44"/>
  <c r="E43" i="44"/>
  <c r="N39" i="44"/>
  <c r="L39" i="44"/>
  <c r="J39" i="44"/>
  <c r="G39" i="44"/>
  <c r="F39" i="44"/>
  <c r="E38" i="44"/>
  <c r="G36" i="44"/>
  <c r="G34" i="44"/>
  <c r="AS31" i="44"/>
  <c r="M31" i="44"/>
  <c r="AS30" i="44"/>
  <c r="AS26" i="44" s="1"/>
  <c r="BA24" i="44"/>
  <c r="BA16" i="44" s="1"/>
  <c r="AS24" i="44"/>
  <c r="AS16" i="44" s="1"/>
  <c r="X24" i="44"/>
  <c r="X16" i="44" s="1"/>
  <c r="AH23" i="44"/>
  <c r="AH16" i="44" s="1"/>
  <c r="M21" i="44"/>
  <c r="L16" i="44"/>
  <c r="K16" i="44"/>
  <c r="J16" i="44"/>
  <c r="I16" i="44"/>
  <c r="H16" i="44"/>
  <c r="G16" i="44"/>
  <c r="F16" i="44"/>
  <c r="E16" i="44"/>
  <c r="C16" i="44"/>
  <c r="C5" i="44"/>
  <c r="C8" i="46" l="1"/>
  <c r="E79" i="46"/>
  <c r="F79" i="46" s="1"/>
  <c r="G79" i="46" s="1"/>
  <c r="H79" i="46" s="1"/>
  <c r="I79" i="46" s="1"/>
  <c r="J79" i="46" s="1"/>
  <c r="K79" i="46" s="1"/>
  <c r="L79" i="46" s="1"/>
  <c r="M79" i="46" s="1"/>
  <c r="N79" i="46" s="1"/>
  <c r="O79" i="46" s="1"/>
  <c r="P79" i="46" s="1"/>
  <c r="Q79" i="46" s="1"/>
  <c r="R79" i="46" s="1"/>
  <c r="S79" i="46" s="1"/>
  <c r="T79" i="46" s="1"/>
  <c r="U79" i="46" s="1"/>
  <c r="V79" i="46" s="1"/>
  <c r="W79" i="46" s="1"/>
  <c r="X79" i="46" s="1"/>
  <c r="Y79" i="46" s="1"/>
  <c r="Z79" i="46" s="1"/>
  <c r="AA79" i="46" s="1"/>
  <c r="AB79" i="46" s="1"/>
  <c r="AC79" i="46" s="1"/>
  <c r="AD79" i="46" s="1"/>
  <c r="AE79" i="46" s="1"/>
  <c r="AF79" i="46" s="1"/>
  <c r="AG79" i="46" s="1"/>
  <c r="AH79" i="46" s="1"/>
  <c r="AI79" i="46" s="1"/>
  <c r="AJ79" i="46" s="1"/>
  <c r="AK79" i="46" s="1"/>
  <c r="AL79" i="46" s="1"/>
  <c r="AM79" i="46" s="1"/>
  <c r="AN79" i="46" s="1"/>
  <c r="AO79" i="46" s="1"/>
  <c r="AP79" i="46" s="1"/>
  <c r="AQ79" i="46" s="1"/>
  <c r="AR79" i="46" s="1"/>
  <c r="AS79" i="46" s="1"/>
  <c r="AT79" i="46" s="1"/>
  <c r="AU79" i="46" s="1"/>
  <c r="AV79" i="46" s="1"/>
  <c r="AW79" i="46" s="1"/>
  <c r="AX79" i="46" s="1"/>
  <c r="AY79" i="46" s="1"/>
  <c r="AZ79" i="46" s="1"/>
  <c r="BA79" i="46" s="1"/>
  <c r="BB79" i="46" s="1"/>
  <c r="BC79" i="46" s="1"/>
  <c r="BD79" i="46" s="1"/>
  <c r="BE79" i="46" s="1"/>
  <c r="BF79" i="46" s="1"/>
  <c r="BG79" i="46" s="1"/>
  <c r="BH79" i="46" s="1"/>
  <c r="BI79" i="46" s="1"/>
  <c r="BJ79" i="46" s="1"/>
  <c r="BK79" i="46" s="1"/>
  <c r="BL79" i="46" s="1"/>
  <c r="BM79" i="46" s="1"/>
  <c r="BN79" i="46" s="1"/>
  <c r="BO79" i="46" s="1"/>
  <c r="BP79" i="46" s="1"/>
  <c r="BQ79" i="46" s="1"/>
  <c r="BR79" i="46" s="1"/>
  <c r="BS79" i="46" s="1"/>
  <c r="BT79" i="46" s="1"/>
  <c r="BU79" i="46" s="1"/>
  <c r="BV79" i="46" s="1"/>
  <c r="BW79" i="46" s="1"/>
  <c r="BX79" i="46" s="1"/>
  <c r="BY79" i="46" s="1"/>
  <c r="BZ79" i="46" s="1"/>
  <c r="CA79" i="46" s="1"/>
  <c r="CB79" i="46" s="1"/>
  <c r="CC79" i="46" s="1"/>
  <c r="CD79" i="46" s="1"/>
  <c r="CE79" i="46" s="1"/>
  <c r="CF79" i="46" s="1"/>
  <c r="C9" i="46"/>
  <c r="E79" i="45"/>
  <c r="F79" i="45" s="1"/>
  <c r="G79" i="45" s="1"/>
  <c r="H79" i="45" s="1"/>
  <c r="I79" i="45" s="1"/>
  <c r="J79" i="45" s="1"/>
  <c r="K79" i="45" s="1"/>
  <c r="L79" i="45" s="1"/>
  <c r="M79" i="45" s="1"/>
  <c r="N79" i="45" s="1"/>
  <c r="O79" i="45" s="1"/>
  <c r="P79" i="45" s="1"/>
  <c r="Q79" i="45" s="1"/>
  <c r="R79" i="45" s="1"/>
  <c r="S79" i="45" s="1"/>
  <c r="T79" i="45" s="1"/>
  <c r="U79" i="45" s="1"/>
  <c r="V79" i="45" s="1"/>
  <c r="W79" i="45" s="1"/>
  <c r="X79" i="45" s="1"/>
  <c r="Y79" i="45" s="1"/>
  <c r="Z79" i="45" s="1"/>
  <c r="AA79" i="45" s="1"/>
  <c r="AB79" i="45" s="1"/>
  <c r="AC79" i="45" s="1"/>
  <c r="AD79" i="45" s="1"/>
  <c r="AE79" i="45" s="1"/>
  <c r="AF79" i="45" s="1"/>
  <c r="AG79" i="45" s="1"/>
  <c r="AH79" i="45" s="1"/>
  <c r="AI79" i="45" s="1"/>
  <c r="AJ79" i="45" s="1"/>
  <c r="AK79" i="45" s="1"/>
  <c r="AL79" i="45" s="1"/>
  <c r="AM79" i="45" s="1"/>
  <c r="AN79" i="45" s="1"/>
  <c r="AO79" i="45" s="1"/>
  <c r="AP79" i="45" s="1"/>
  <c r="AQ79" i="45" s="1"/>
  <c r="AR79" i="45" s="1"/>
  <c r="AS79" i="45" s="1"/>
  <c r="AT79" i="45" s="1"/>
  <c r="AU79" i="45" s="1"/>
  <c r="AV79" i="45" s="1"/>
  <c r="AW79" i="45" s="1"/>
  <c r="AX79" i="45" s="1"/>
  <c r="AY79" i="45" s="1"/>
  <c r="AZ79" i="45" s="1"/>
  <c r="BA79" i="45" s="1"/>
  <c r="BB79" i="45" s="1"/>
  <c r="BC79" i="45" s="1"/>
  <c r="BD79" i="45" s="1"/>
  <c r="BE79" i="45" s="1"/>
  <c r="BF79" i="45" s="1"/>
  <c r="BG79" i="45" s="1"/>
  <c r="BH79" i="45" s="1"/>
  <c r="BI79" i="45" s="1"/>
  <c r="BJ79" i="45" s="1"/>
  <c r="BK79" i="45" s="1"/>
  <c r="BL79" i="45" s="1"/>
  <c r="BM79" i="45" s="1"/>
  <c r="BN79" i="45" s="1"/>
  <c r="BO79" i="45" s="1"/>
  <c r="BP79" i="45" s="1"/>
  <c r="BQ79" i="45" s="1"/>
  <c r="BR79" i="45" s="1"/>
  <c r="BS79" i="45" s="1"/>
  <c r="BT79" i="45" s="1"/>
  <c r="BU79" i="45" s="1"/>
  <c r="BV79" i="45" s="1"/>
  <c r="BW79" i="45" s="1"/>
  <c r="BX79" i="45" s="1"/>
  <c r="BY79" i="45" s="1"/>
  <c r="BZ79" i="45" s="1"/>
  <c r="CA79" i="45" s="1"/>
  <c r="CB79" i="45" s="1"/>
  <c r="CC79" i="45" s="1"/>
  <c r="CD79" i="45" s="1"/>
  <c r="CE79" i="45" s="1"/>
  <c r="CF79" i="45" s="1"/>
  <c r="CG79" i="45" s="1"/>
  <c r="F26" i="44"/>
  <c r="U26" i="44"/>
  <c r="Y26" i="44"/>
  <c r="M26" i="44"/>
  <c r="C8" i="45"/>
  <c r="C9" i="45" s="1"/>
  <c r="Q26" i="44"/>
  <c r="K26" i="44"/>
  <c r="AE26" i="44"/>
  <c r="G26" i="44"/>
  <c r="N26" i="44"/>
  <c r="L26" i="44"/>
  <c r="J26" i="44"/>
  <c r="X26" i="44"/>
  <c r="Z26" i="44"/>
  <c r="M16" i="44"/>
  <c r="AA26" i="44"/>
  <c r="AB26" i="44"/>
  <c r="AG26" i="44"/>
  <c r="C26" i="44"/>
  <c r="C11" i="44" s="1"/>
  <c r="C7" i="44"/>
  <c r="E26" i="44"/>
  <c r="C10" i="44"/>
  <c r="O74" i="43"/>
  <c r="Z68" i="43"/>
  <c r="K74" i="43"/>
  <c r="E79" i="44" l="1"/>
  <c r="F79" i="44" s="1"/>
  <c r="G79" i="44" s="1"/>
  <c r="H79" i="44" s="1"/>
  <c r="I79" i="44" s="1"/>
  <c r="J79" i="44" s="1"/>
  <c r="K79" i="44" s="1"/>
  <c r="L79" i="44" s="1"/>
  <c r="M79" i="44" s="1"/>
  <c r="N79" i="44" s="1"/>
  <c r="O79" i="44" s="1"/>
  <c r="P79" i="44" s="1"/>
  <c r="Q79" i="44" s="1"/>
  <c r="R79" i="44" s="1"/>
  <c r="S79" i="44" s="1"/>
  <c r="T79" i="44" s="1"/>
  <c r="U79" i="44" s="1"/>
  <c r="V79" i="44" s="1"/>
  <c r="W79" i="44" s="1"/>
  <c r="X79" i="44" s="1"/>
  <c r="Y79" i="44" s="1"/>
  <c r="Z79" i="44" s="1"/>
  <c r="AA79" i="44" s="1"/>
  <c r="AB79" i="44" s="1"/>
  <c r="AC79" i="44" s="1"/>
  <c r="AD79" i="44" s="1"/>
  <c r="AE79" i="44" s="1"/>
  <c r="AF79" i="44" s="1"/>
  <c r="AG79" i="44" s="1"/>
  <c r="AH79" i="44" s="1"/>
  <c r="AI79" i="44" s="1"/>
  <c r="AJ79" i="44" s="1"/>
  <c r="AK79" i="44" s="1"/>
  <c r="AL79" i="44" s="1"/>
  <c r="AM79" i="44" s="1"/>
  <c r="AN79" i="44" s="1"/>
  <c r="AO79" i="44" s="1"/>
  <c r="AP79" i="44" s="1"/>
  <c r="AQ79" i="44" s="1"/>
  <c r="AR79" i="44" s="1"/>
  <c r="AS79" i="44" s="1"/>
  <c r="AT79" i="44" s="1"/>
  <c r="AU79" i="44" s="1"/>
  <c r="AV79" i="44" s="1"/>
  <c r="AW79" i="44" s="1"/>
  <c r="AX79" i="44" s="1"/>
  <c r="AY79" i="44" s="1"/>
  <c r="AZ79" i="44" s="1"/>
  <c r="BA79" i="44" s="1"/>
  <c r="BB79" i="44" s="1"/>
  <c r="BC79" i="44" s="1"/>
  <c r="BD79" i="44" s="1"/>
  <c r="BE79" i="44" s="1"/>
  <c r="BF79" i="44" s="1"/>
  <c r="BG79" i="44" s="1"/>
  <c r="BH79" i="44" s="1"/>
  <c r="BI79" i="44" s="1"/>
  <c r="BJ79" i="44" s="1"/>
  <c r="BK79" i="44" s="1"/>
  <c r="BL79" i="44" s="1"/>
  <c r="BM79" i="44" s="1"/>
  <c r="BN79" i="44" s="1"/>
  <c r="BO79" i="44" s="1"/>
  <c r="BP79" i="44" s="1"/>
  <c r="BQ79" i="44" s="1"/>
  <c r="BR79" i="44" s="1"/>
  <c r="BS79" i="44" s="1"/>
  <c r="BT79" i="44" s="1"/>
  <c r="BU79" i="44" s="1"/>
  <c r="BV79" i="44" s="1"/>
  <c r="BW79" i="44" s="1"/>
  <c r="BX79" i="44" s="1"/>
  <c r="BY79" i="44" s="1"/>
  <c r="BZ79" i="44" s="1"/>
  <c r="CA79" i="44" s="1"/>
  <c r="CB79" i="44" s="1"/>
  <c r="CC79" i="44" s="1"/>
  <c r="CD79" i="44" s="1"/>
  <c r="CE79" i="44" s="1"/>
  <c r="CF79" i="44" s="1"/>
  <c r="CG79" i="44" s="1"/>
  <c r="CH79" i="44" s="1"/>
  <c r="C63" i="43"/>
  <c r="C58" i="43"/>
  <c r="C52" i="43"/>
  <c r="C45" i="43"/>
  <c r="C44" i="43"/>
  <c r="C43" i="43"/>
  <c r="M65" i="43"/>
  <c r="H65" i="43"/>
  <c r="F65" i="43"/>
  <c r="O63" i="43"/>
  <c r="N63" i="43"/>
  <c r="M63" i="43"/>
  <c r="L63" i="43"/>
  <c r="K63" i="43"/>
  <c r="V60" i="43"/>
  <c r="O59" i="43"/>
  <c r="H58" i="43"/>
  <c r="G55" i="43"/>
  <c r="F55" i="43"/>
  <c r="E55" i="43"/>
  <c r="AA52" i="43"/>
  <c r="AA26" i="43" s="1"/>
  <c r="R51" i="43"/>
  <c r="O51" i="43"/>
  <c r="M51" i="43"/>
  <c r="K51" i="43"/>
  <c r="H51" i="43"/>
  <c r="G51" i="43"/>
  <c r="G26" i="43" s="1"/>
  <c r="F51" i="43"/>
  <c r="E51" i="43"/>
  <c r="C51" i="43"/>
  <c r="Y50" i="43"/>
  <c r="R50" i="43"/>
  <c r="R26" i="43" s="1"/>
  <c r="N50" i="43"/>
  <c r="N26" i="43" s="1"/>
  <c r="L50" i="43"/>
  <c r="L26" i="43" s="1"/>
  <c r="H50" i="43"/>
  <c r="F50" i="43"/>
  <c r="V48" i="43"/>
  <c r="V26" i="43" s="1"/>
  <c r="H48" i="43"/>
  <c r="AC46" i="43"/>
  <c r="AC26" i="43" s="1"/>
  <c r="H45" i="43"/>
  <c r="F45" i="43"/>
  <c r="K44" i="43"/>
  <c r="V43" i="43"/>
  <c r="U43" i="43"/>
  <c r="U26" i="43" s="1"/>
  <c r="T43" i="43"/>
  <c r="S43" i="43"/>
  <c r="S26" i="43" s="1"/>
  <c r="R43" i="43"/>
  <c r="N43" i="43"/>
  <c r="K43" i="43"/>
  <c r="F43" i="43"/>
  <c r="C42" i="43"/>
  <c r="O39" i="43"/>
  <c r="M39" i="43"/>
  <c r="K39" i="43"/>
  <c r="H39" i="43"/>
  <c r="G39" i="43"/>
  <c r="E39" i="43"/>
  <c r="K38" i="43"/>
  <c r="F38" i="43"/>
  <c r="H36" i="43"/>
  <c r="H34" i="43"/>
  <c r="AT31" i="43"/>
  <c r="N31" i="43"/>
  <c r="AT30" i="43"/>
  <c r="AT26" i="43" s="1"/>
  <c r="N30" i="43"/>
  <c r="CI26" i="43"/>
  <c r="CH26" i="43"/>
  <c r="CG26" i="43"/>
  <c r="CF26" i="43"/>
  <c r="CE26" i="43"/>
  <c r="CD26" i="43"/>
  <c r="CC26" i="43"/>
  <c r="CB26" i="43"/>
  <c r="CA26" i="43"/>
  <c r="BZ26" i="43"/>
  <c r="BY26" i="43"/>
  <c r="BX26" i="43"/>
  <c r="BW26" i="43"/>
  <c r="BV26" i="43"/>
  <c r="BU26" i="43"/>
  <c r="BT26" i="43"/>
  <c r="BS26" i="43"/>
  <c r="BR26" i="43"/>
  <c r="BQ26" i="43"/>
  <c r="BP26" i="43"/>
  <c r="BO26" i="43"/>
  <c r="BN26" i="43"/>
  <c r="BM26" i="43"/>
  <c r="BL26" i="43"/>
  <c r="BK26" i="43"/>
  <c r="BJ26" i="43"/>
  <c r="BI26" i="43"/>
  <c r="BH26" i="43"/>
  <c r="BG26" i="43"/>
  <c r="BF26" i="43"/>
  <c r="BE26" i="43"/>
  <c r="BD26" i="43"/>
  <c r="BC26" i="43"/>
  <c r="BB26" i="43"/>
  <c r="BA26" i="43"/>
  <c r="AZ26" i="43"/>
  <c r="AY26" i="43"/>
  <c r="AX26" i="43"/>
  <c r="AW26" i="43"/>
  <c r="AV26" i="43"/>
  <c r="AU26" i="43"/>
  <c r="AS26" i="43"/>
  <c r="AR26" i="43"/>
  <c r="AQ26" i="43"/>
  <c r="AP26" i="43"/>
  <c r="AO26" i="43"/>
  <c r="AN26" i="43"/>
  <c r="AM26" i="43"/>
  <c r="AL26" i="43"/>
  <c r="AK26" i="43"/>
  <c r="AJ26" i="43"/>
  <c r="AI26" i="43"/>
  <c r="AH26" i="43"/>
  <c r="AG26" i="43"/>
  <c r="AF26" i="43"/>
  <c r="AE26" i="43"/>
  <c r="AD26" i="43"/>
  <c r="AB26" i="43"/>
  <c r="Z26" i="43"/>
  <c r="Y26" i="43"/>
  <c r="X26" i="43"/>
  <c r="W26" i="43"/>
  <c r="T26" i="43"/>
  <c r="Q26" i="43"/>
  <c r="P26" i="43"/>
  <c r="K26" i="43"/>
  <c r="J26" i="43"/>
  <c r="I26" i="43"/>
  <c r="BB24" i="43"/>
  <c r="AT24" i="43"/>
  <c r="Y24" i="43"/>
  <c r="Y16" i="43" s="1"/>
  <c r="AI23" i="43"/>
  <c r="N21" i="43"/>
  <c r="N16" i="43" s="1"/>
  <c r="CI16" i="43"/>
  <c r="CH16" i="43"/>
  <c r="CG16" i="43"/>
  <c r="CF16" i="43"/>
  <c r="CE16" i="43"/>
  <c r="CD16" i="43"/>
  <c r="CC16" i="43"/>
  <c r="CB16" i="43"/>
  <c r="CA16" i="43"/>
  <c r="BZ16" i="43"/>
  <c r="BY16" i="43"/>
  <c r="BX16" i="43"/>
  <c r="BW16" i="43"/>
  <c r="BV16" i="43"/>
  <c r="BU16" i="43"/>
  <c r="BT16" i="43"/>
  <c r="BS16" i="43"/>
  <c r="BR16" i="43"/>
  <c r="BQ16" i="43"/>
  <c r="BP16" i="43"/>
  <c r="BO16" i="43"/>
  <c r="BN16" i="43"/>
  <c r="BM16" i="43"/>
  <c r="BL16" i="43"/>
  <c r="BK16" i="43"/>
  <c r="BJ16" i="43"/>
  <c r="BI16" i="43"/>
  <c r="BH16" i="43"/>
  <c r="BG16" i="43"/>
  <c r="BF16" i="43"/>
  <c r="BE16" i="43"/>
  <c r="BD16" i="43"/>
  <c r="BC16" i="43"/>
  <c r="BB16" i="43"/>
  <c r="BA16" i="43"/>
  <c r="AZ16" i="43"/>
  <c r="AY16" i="43"/>
  <c r="AX16" i="43"/>
  <c r="AW16" i="43"/>
  <c r="AV16" i="43"/>
  <c r="AU16" i="43"/>
  <c r="AT16" i="43"/>
  <c r="AS16" i="43"/>
  <c r="AR16" i="43"/>
  <c r="AQ16" i="43"/>
  <c r="AP16" i="43"/>
  <c r="AO16" i="43"/>
  <c r="AN16" i="43"/>
  <c r="AM16" i="43"/>
  <c r="AL16" i="43"/>
  <c r="AK16" i="43"/>
  <c r="AJ16" i="43"/>
  <c r="AI16" i="43"/>
  <c r="AH16" i="43"/>
  <c r="AG16" i="43"/>
  <c r="AF16" i="43"/>
  <c r="AE16" i="43"/>
  <c r="AD16" i="43"/>
  <c r="AC16" i="43"/>
  <c r="AB16" i="43"/>
  <c r="AA16" i="43"/>
  <c r="Z16" i="43"/>
  <c r="X16" i="43"/>
  <c r="W16" i="43"/>
  <c r="V16" i="43"/>
  <c r="U16" i="43"/>
  <c r="T16" i="43"/>
  <c r="S16" i="43"/>
  <c r="R16" i="43"/>
  <c r="Q16" i="43"/>
  <c r="P16" i="43"/>
  <c r="O16" i="43"/>
  <c r="M16" i="43"/>
  <c r="L16" i="43"/>
  <c r="K16" i="43"/>
  <c r="J16" i="43"/>
  <c r="I16" i="43"/>
  <c r="H16" i="43"/>
  <c r="G16" i="43"/>
  <c r="F16" i="43"/>
  <c r="E16" i="43"/>
  <c r="C16" i="43"/>
  <c r="C7" i="43" s="1"/>
  <c r="C10" i="43"/>
  <c r="C5" i="43"/>
  <c r="E50" i="42"/>
  <c r="G38" i="42"/>
  <c r="H26" i="43" l="1"/>
  <c r="F26" i="43"/>
  <c r="E26" i="43"/>
  <c r="M26" i="43"/>
  <c r="C26" i="43"/>
  <c r="C11" i="43" s="1"/>
  <c r="O26" i="43"/>
  <c r="H55" i="42"/>
  <c r="G55" i="42"/>
  <c r="F55" i="42"/>
  <c r="I36" i="42"/>
  <c r="I34" i="42"/>
  <c r="I58" i="42"/>
  <c r="C58" i="42"/>
  <c r="E79" i="43" l="1"/>
  <c r="F79" i="43" s="1"/>
  <c r="G79" i="43" s="1"/>
  <c r="H79" i="43" s="1"/>
  <c r="I79" i="43" s="1"/>
  <c r="J79" i="43" s="1"/>
  <c r="K79" i="43" s="1"/>
  <c r="L79" i="43" s="1"/>
  <c r="M79" i="43" s="1"/>
  <c r="N79" i="43" s="1"/>
  <c r="O79" i="43" s="1"/>
  <c r="P79" i="43" s="1"/>
  <c r="Q79" i="43" s="1"/>
  <c r="R79" i="43" s="1"/>
  <c r="S79" i="43" s="1"/>
  <c r="T79" i="43" s="1"/>
  <c r="U79" i="43" s="1"/>
  <c r="V79" i="43" s="1"/>
  <c r="W79" i="43" s="1"/>
  <c r="X79" i="43" s="1"/>
  <c r="Y79" i="43" s="1"/>
  <c r="Z79" i="43" s="1"/>
  <c r="AA79" i="43" s="1"/>
  <c r="AB79" i="43" s="1"/>
  <c r="AC79" i="43" s="1"/>
  <c r="AD79" i="43" s="1"/>
  <c r="AE79" i="43" s="1"/>
  <c r="AF79" i="43" s="1"/>
  <c r="AG79" i="43" s="1"/>
  <c r="AH79" i="43" s="1"/>
  <c r="AI79" i="43" s="1"/>
  <c r="AJ79" i="43" s="1"/>
  <c r="AK79" i="43" s="1"/>
  <c r="AL79" i="43" s="1"/>
  <c r="AM79" i="43" s="1"/>
  <c r="AN79" i="43" s="1"/>
  <c r="AO79" i="43" s="1"/>
  <c r="AP79" i="43" s="1"/>
  <c r="AQ79" i="43" s="1"/>
  <c r="AR79" i="43" s="1"/>
  <c r="AS79" i="43" s="1"/>
  <c r="AT79" i="43" s="1"/>
  <c r="AU79" i="43" s="1"/>
  <c r="AV79" i="43" s="1"/>
  <c r="AW79" i="43" s="1"/>
  <c r="AX79" i="43" s="1"/>
  <c r="AY79" i="43" s="1"/>
  <c r="AZ79" i="43" s="1"/>
  <c r="BA79" i="43" s="1"/>
  <c r="BB79" i="43" s="1"/>
  <c r="BC79" i="43" s="1"/>
  <c r="BD79" i="43" s="1"/>
  <c r="BE79" i="43" s="1"/>
  <c r="BF79" i="43" s="1"/>
  <c r="BG79" i="43" s="1"/>
  <c r="BH79" i="43" s="1"/>
  <c r="BI79" i="43" s="1"/>
  <c r="BJ79" i="43" s="1"/>
  <c r="BK79" i="43" s="1"/>
  <c r="BL79" i="43" s="1"/>
  <c r="BM79" i="43" s="1"/>
  <c r="BN79" i="43" s="1"/>
  <c r="BO79" i="43" s="1"/>
  <c r="BP79" i="43" s="1"/>
  <c r="BQ79" i="43" s="1"/>
  <c r="BR79" i="43" s="1"/>
  <c r="BS79" i="43" s="1"/>
  <c r="BT79" i="43" s="1"/>
  <c r="BU79" i="43" s="1"/>
  <c r="BV79" i="43" s="1"/>
  <c r="BW79" i="43" s="1"/>
  <c r="BX79" i="43" s="1"/>
  <c r="BY79" i="43" s="1"/>
  <c r="BZ79" i="43" s="1"/>
  <c r="CA79" i="43" s="1"/>
  <c r="CB79" i="43" s="1"/>
  <c r="CC79" i="43" s="1"/>
  <c r="CD79" i="43" s="1"/>
  <c r="CE79" i="43" s="1"/>
  <c r="CF79" i="43" s="1"/>
  <c r="CG79" i="43" s="1"/>
  <c r="CH79" i="43" s="1"/>
  <c r="CI79" i="43" s="1"/>
  <c r="C8" i="43"/>
  <c r="C9" i="43" s="1"/>
  <c r="C2" i="42"/>
  <c r="C7" i="42" l="1"/>
  <c r="C63" i="42" l="1"/>
  <c r="C44" i="42"/>
  <c r="P74" i="42"/>
  <c r="L74" i="42"/>
  <c r="N65" i="42"/>
  <c r="I65" i="42"/>
  <c r="G65" i="42"/>
  <c r="P63" i="42"/>
  <c r="O63" i="42"/>
  <c r="N63" i="42"/>
  <c r="M63" i="42"/>
  <c r="L63" i="42"/>
  <c r="W60" i="42"/>
  <c r="I59" i="42"/>
  <c r="AB52" i="42"/>
  <c r="C52" i="42"/>
  <c r="S51" i="42"/>
  <c r="P51" i="42"/>
  <c r="P26" i="42" s="1"/>
  <c r="N51" i="42"/>
  <c r="L51" i="42"/>
  <c r="H51" i="42"/>
  <c r="G51" i="42"/>
  <c r="F51" i="42"/>
  <c r="I51" i="42"/>
  <c r="C51" i="42"/>
  <c r="Z50" i="42"/>
  <c r="Z26" i="42" s="1"/>
  <c r="S50" i="42"/>
  <c r="O50" i="42"/>
  <c r="M50" i="42"/>
  <c r="I50" i="42"/>
  <c r="G50" i="42"/>
  <c r="W48" i="42"/>
  <c r="I48" i="42"/>
  <c r="I26" i="42" s="1"/>
  <c r="AD46" i="42"/>
  <c r="G45" i="42"/>
  <c r="I45" i="42"/>
  <c r="E45" i="42"/>
  <c r="E26" i="42" s="1"/>
  <c r="C45" i="42"/>
  <c r="L44" i="42"/>
  <c r="W43" i="42"/>
  <c r="V43" i="42"/>
  <c r="V26" i="42" s="1"/>
  <c r="U43" i="42"/>
  <c r="T43" i="42"/>
  <c r="T26" i="42" s="1"/>
  <c r="S43" i="42"/>
  <c r="O43" i="42"/>
  <c r="O26" i="42" s="1"/>
  <c r="L43" i="42"/>
  <c r="G43" i="42"/>
  <c r="G26" i="42" s="1"/>
  <c r="C43" i="42"/>
  <c r="C26" i="42" s="1"/>
  <c r="C11" i="42" s="1"/>
  <c r="C42" i="42"/>
  <c r="L39" i="42"/>
  <c r="I39" i="42"/>
  <c r="H39" i="42"/>
  <c r="P39" i="42"/>
  <c r="F39" i="42"/>
  <c r="F26" i="42" s="1"/>
  <c r="N39" i="42"/>
  <c r="L38" i="42"/>
  <c r="AU31" i="42"/>
  <c r="O31" i="42"/>
  <c r="AU30" i="42"/>
  <c r="AU26" i="42" s="1"/>
  <c r="O30" i="42"/>
  <c r="CJ26" i="42"/>
  <c r="CI26" i="42"/>
  <c r="CH26" i="42"/>
  <c r="CG26" i="42"/>
  <c r="CF26" i="42"/>
  <c r="CE26" i="42"/>
  <c r="CD26" i="42"/>
  <c r="CC26" i="42"/>
  <c r="CB26" i="42"/>
  <c r="CA26" i="42"/>
  <c r="BZ26" i="42"/>
  <c r="BY26" i="42"/>
  <c r="BX26" i="42"/>
  <c r="BW26" i="42"/>
  <c r="BV26" i="42"/>
  <c r="BU26" i="42"/>
  <c r="BT26" i="42"/>
  <c r="BS26" i="42"/>
  <c r="BR26" i="42"/>
  <c r="BQ26" i="42"/>
  <c r="BP26" i="42"/>
  <c r="BO26" i="42"/>
  <c r="BN26" i="42"/>
  <c r="BM26" i="42"/>
  <c r="BL26" i="42"/>
  <c r="BK26" i="42"/>
  <c r="BJ26" i="42"/>
  <c r="BI26" i="42"/>
  <c r="BH26" i="42"/>
  <c r="BG26" i="42"/>
  <c r="BF26" i="42"/>
  <c r="BE26" i="42"/>
  <c r="BD26" i="42"/>
  <c r="BC26" i="42"/>
  <c r="BB26" i="42"/>
  <c r="BA26" i="42"/>
  <c r="AZ26" i="42"/>
  <c r="AY26" i="42"/>
  <c r="AX26" i="42"/>
  <c r="AW26" i="42"/>
  <c r="AV26" i="42"/>
  <c r="AT26" i="42"/>
  <c r="AS26" i="42"/>
  <c r="AR26" i="42"/>
  <c r="AQ26" i="42"/>
  <c r="AP26" i="42"/>
  <c r="AO26" i="42"/>
  <c r="AN26" i="42"/>
  <c r="AM26" i="42"/>
  <c r="AL26" i="42"/>
  <c r="AK26" i="42"/>
  <c r="AJ26" i="42"/>
  <c r="AI26" i="42"/>
  <c r="AH26" i="42"/>
  <c r="AG26" i="42"/>
  <c r="AF26" i="42"/>
  <c r="AE26" i="42"/>
  <c r="AD26" i="42"/>
  <c r="AC26" i="42"/>
  <c r="AB26" i="42"/>
  <c r="AA26" i="42"/>
  <c r="Y26" i="42"/>
  <c r="X26" i="42"/>
  <c r="W26" i="42"/>
  <c r="U26" i="42"/>
  <c r="S26" i="42"/>
  <c r="R26" i="42"/>
  <c r="Q26" i="42"/>
  <c r="M26" i="42"/>
  <c r="K26" i="42"/>
  <c r="J26" i="42"/>
  <c r="BC24" i="42"/>
  <c r="AU24" i="42"/>
  <c r="AU16" i="42" s="1"/>
  <c r="Z24" i="42"/>
  <c r="AJ23" i="42"/>
  <c r="AJ16" i="42" s="1"/>
  <c r="O21" i="42"/>
  <c r="O16" i="42" s="1"/>
  <c r="CJ16" i="42"/>
  <c r="CI16" i="42"/>
  <c r="CH16" i="42"/>
  <c r="CG16" i="42"/>
  <c r="CF16" i="42"/>
  <c r="CE16" i="42"/>
  <c r="CD16" i="42"/>
  <c r="CC16" i="42"/>
  <c r="CB16" i="42"/>
  <c r="CA16" i="42"/>
  <c r="BZ16" i="42"/>
  <c r="BY16" i="42"/>
  <c r="BX16" i="42"/>
  <c r="BW16" i="42"/>
  <c r="BV16" i="42"/>
  <c r="BU16" i="42"/>
  <c r="BT16" i="42"/>
  <c r="BS16" i="42"/>
  <c r="BR16" i="42"/>
  <c r="BQ16" i="42"/>
  <c r="BP16" i="42"/>
  <c r="BO16" i="42"/>
  <c r="BN16" i="42"/>
  <c r="BM16" i="42"/>
  <c r="BL16" i="42"/>
  <c r="BK16" i="42"/>
  <c r="BJ16" i="42"/>
  <c r="BI16" i="42"/>
  <c r="BH16" i="42"/>
  <c r="BG16" i="42"/>
  <c r="BF16" i="42"/>
  <c r="BE16" i="42"/>
  <c r="BD16" i="42"/>
  <c r="BC16" i="42"/>
  <c r="BB16" i="42"/>
  <c r="BA16" i="42"/>
  <c r="AZ16" i="42"/>
  <c r="AY16" i="42"/>
  <c r="AX16" i="42"/>
  <c r="AW16" i="42"/>
  <c r="AV16" i="42"/>
  <c r="AT16" i="42"/>
  <c r="AS16" i="42"/>
  <c r="AR16" i="42"/>
  <c r="AQ16" i="42"/>
  <c r="AP16" i="42"/>
  <c r="AO16" i="42"/>
  <c r="AN16" i="42"/>
  <c r="AM16" i="42"/>
  <c r="AL16" i="42"/>
  <c r="AK16" i="42"/>
  <c r="AI16" i="42"/>
  <c r="AH16" i="42"/>
  <c r="AG16" i="42"/>
  <c r="AF16" i="42"/>
  <c r="AE16" i="42"/>
  <c r="AD16" i="42"/>
  <c r="AC16" i="42"/>
  <c r="AB16" i="42"/>
  <c r="AA16" i="42"/>
  <c r="Z16" i="42"/>
  <c r="Y16" i="42"/>
  <c r="X16" i="42"/>
  <c r="W16" i="42"/>
  <c r="V16" i="42"/>
  <c r="U16" i="42"/>
  <c r="T16" i="42"/>
  <c r="S16" i="42"/>
  <c r="R16" i="42"/>
  <c r="Q16" i="42"/>
  <c r="P16" i="42"/>
  <c r="N16" i="42"/>
  <c r="M16" i="42"/>
  <c r="L16" i="42"/>
  <c r="K16" i="42"/>
  <c r="J16" i="42"/>
  <c r="I16" i="42"/>
  <c r="H16" i="42"/>
  <c r="G16" i="42"/>
  <c r="F16" i="42"/>
  <c r="E16" i="42"/>
  <c r="C16" i="42"/>
  <c r="C10" i="42" s="1"/>
  <c r="C5" i="42"/>
  <c r="E79" i="42" l="1"/>
  <c r="F79" i="42" s="1"/>
  <c r="G79" i="42" s="1"/>
  <c r="L26" i="42"/>
  <c r="N26" i="42"/>
  <c r="H26" i="42"/>
  <c r="L59" i="41"/>
  <c r="C8" i="42" l="1"/>
  <c r="C9" i="42" s="1"/>
  <c r="H79" i="42"/>
  <c r="I79" i="42" s="1"/>
  <c r="J79" i="42" s="1"/>
  <c r="K79" i="42" s="1"/>
  <c r="L79" i="42" s="1"/>
  <c r="M79" i="42" s="1"/>
  <c r="N79" i="42" s="1"/>
  <c r="O79" i="42" s="1"/>
  <c r="P79" i="42" s="1"/>
  <c r="Q79" i="42" s="1"/>
  <c r="R79" i="42" s="1"/>
  <c r="S79" i="42" s="1"/>
  <c r="T79" i="42" s="1"/>
  <c r="U79" i="42" s="1"/>
  <c r="V79" i="42" s="1"/>
  <c r="W79" i="42" s="1"/>
  <c r="X79" i="42" s="1"/>
  <c r="Y79" i="42" s="1"/>
  <c r="Z79" i="42" s="1"/>
  <c r="AA79" i="42" s="1"/>
  <c r="AB79" i="42" s="1"/>
  <c r="AC79" i="42" s="1"/>
  <c r="AD79" i="42" s="1"/>
  <c r="AE79" i="42" s="1"/>
  <c r="AF79" i="42" s="1"/>
  <c r="AG79" i="42" s="1"/>
  <c r="AH79" i="42" s="1"/>
  <c r="AI79" i="42" s="1"/>
  <c r="AJ79" i="42" s="1"/>
  <c r="AK79" i="42" s="1"/>
  <c r="AL79" i="42" s="1"/>
  <c r="AM79" i="42" s="1"/>
  <c r="AN79" i="42" s="1"/>
  <c r="AO79" i="42" s="1"/>
  <c r="AP79" i="42" s="1"/>
  <c r="AQ79" i="42" s="1"/>
  <c r="AR79" i="42" s="1"/>
  <c r="AS79" i="42" s="1"/>
  <c r="AT79" i="42" s="1"/>
  <c r="AU79" i="42" s="1"/>
  <c r="AV79" i="42" s="1"/>
  <c r="AW79" i="42" s="1"/>
  <c r="AX79" i="42" s="1"/>
  <c r="AY79" i="42" s="1"/>
  <c r="AZ79" i="42" s="1"/>
  <c r="BA79" i="42" s="1"/>
  <c r="BB79" i="42" s="1"/>
  <c r="BC79" i="42" s="1"/>
  <c r="BD79" i="42" s="1"/>
  <c r="BE79" i="42" s="1"/>
  <c r="BF79" i="42" s="1"/>
  <c r="BG79" i="42" s="1"/>
  <c r="BH79" i="42" s="1"/>
  <c r="BI79" i="42" s="1"/>
  <c r="BJ79" i="42" s="1"/>
  <c r="BK79" i="42" s="1"/>
  <c r="BL79" i="42" s="1"/>
  <c r="BM79" i="42" s="1"/>
  <c r="BN79" i="42" s="1"/>
  <c r="BO79" i="42" s="1"/>
  <c r="BP79" i="42" s="1"/>
  <c r="BQ79" i="42" s="1"/>
  <c r="BR79" i="42" s="1"/>
  <c r="BS79" i="42" s="1"/>
  <c r="BT79" i="42" s="1"/>
  <c r="BU79" i="42" s="1"/>
  <c r="BV79" i="42" s="1"/>
  <c r="BW79" i="42" s="1"/>
  <c r="BX79" i="42" s="1"/>
  <c r="BY79" i="42" s="1"/>
  <c r="BZ79" i="42" s="1"/>
  <c r="CA79" i="42" s="1"/>
  <c r="CB79" i="42" s="1"/>
  <c r="CC79" i="42" s="1"/>
  <c r="CD79" i="42" s="1"/>
  <c r="CE79" i="42" s="1"/>
  <c r="CF79" i="42" s="1"/>
  <c r="CG79" i="42" s="1"/>
  <c r="CH79" i="42" s="1"/>
  <c r="CI79" i="42" s="1"/>
  <c r="CJ79" i="42" s="1"/>
  <c r="C52" i="41"/>
  <c r="C51" i="41"/>
  <c r="C26" i="41" s="1"/>
  <c r="C11" i="41" s="1"/>
  <c r="C45" i="41"/>
  <c r="C44" i="41"/>
  <c r="C43" i="41"/>
  <c r="L74" i="41"/>
  <c r="H74" i="41"/>
  <c r="K73" i="41"/>
  <c r="H73" i="41"/>
  <c r="L65" i="41"/>
  <c r="J65" i="41"/>
  <c r="Q65" i="41"/>
  <c r="S63" i="41"/>
  <c r="R63" i="41"/>
  <c r="Q63" i="41"/>
  <c r="P63" i="41"/>
  <c r="P26" i="41" s="1"/>
  <c r="O63" i="41"/>
  <c r="C63" i="41"/>
  <c r="Z60" i="41"/>
  <c r="H58" i="41"/>
  <c r="C58" i="41"/>
  <c r="AE52" i="41"/>
  <c r="V51" i="41"/>
  <c r="S51" i="41"/>
  <c r="S26" i="41" s="1"/>
  <c r="Q51" i="41"/>
  <c r="O51" i="41"/>
  <c r="K51" i="41"/>
  <c r="J51" i="41"/>
  <c r="I51" i="41"/>
  <c r="H51" i="41"/>
  <c r="AC50" i="41"/>
  <c r="R50" i="41"/>
  <c r="P50" i="41"/>
  <c r="L50" i="41"/>
  <c r="J50" i="41"/>
  <c r="H50" i="41"/>
  <c r="V50" i="41"/>
  <c r="Z48" i="41"/>
  <c r="L48" i="41"/>
  <c r="AG46" i="41"/>
  <c r="AG26" i="41" s="1"/>
  <c r="I45" i="41"/>
  <c r="H45" i="41"/>
  <c r="J45" i="41"/>
  <c r="O44" i="41"/>
  <c r="Z43" i="41"/>
  <c r="Y43" i="41"/>
  <c r="X43" i="41"/>
  <c r="W43" i="41"/>
  <c r="V43" i="41"/>
  <c r="R43" i="41"/>
  <c r="O43" i="41"/>
  <c r="J43" i="41"/>
  <c r="H43" i="41"/>
  <c r="C42" i="41"/>
  <c r="L39" i="41"/>
  <c r="K39" i="41"/>
  <c r="J39" i="41"/>
  <c r="I39" i="41"/>
  <c r="I26" i="41" s="1"/>
  <c r="H39" i="41"/>
  <c r="O39" i="41"/>
  <c r="K38" i="41"/>
  <c r="H38" i="41"/>
  <c r="AX31" i="41"/>
  <c r="R31" i="41"/>
  <c r="AX30" i="41"/>
  <c r="AX26" i="41" s="1"/>
  <c r="R30" i="41"/>
  <c r="CM26" i="41"/>
  <c r="CL26" i="41"/>
  <c r="CK26" i="41"/>
  <c r="CJ26" i="41"/>
  <c r="CI26" i="41"/>
  <c r="CH26" i="41"/>
  <c r="CG26" i="41"/>
  <c r="CF26" i="41"/>
  <c r="CE26" i="41"/>
  <c r="CD26" i="41"/>
  <c r="CC26" i="41"/>
  <c r="CB26" i="41"/>
  <c r="CA26" i="41"/>
  <c r="BZ26" i="41"/>
  <c r="BY26" i="41"/>
  <c r="BX26" i="41"/>
  <c r="BW26" i="41"/>
  <c r="BV26" i="41"/>
  <c r="BU26" i="41"/>
  <c r="BT26" i="41"/>
  <c r="BS26" i="41"/>
  <c r="BR26" i="41"/>
  <c r="BQ26" i="41"/>
  <c r="BP26" i="41"/>
  <c r="BO26" i="41"/>
  <c r="BN26" i="41"/>
  <c r="BM26" i="41"/>
  <c r="BL26" i="41"/>
  <c r="BK26" i="41"/>
  <c r="BJ26" i="41"/>
  <c r="BI26" i="41"/>
  <c r="BH26" i="41"/>
  <c r="BG26" i="41"/>
  <c r="BF26" i="41"/>
  <c r="BE26" i="41"/>
  <c r="BD26" i="41"/>
  <c r="BC26" i="41"/>
  <c r="BB26" i="41"/>
  <c r="BA26" i="41"/>
  <c r="AZ26" i="41"/>
  <c r="AY26" i="41"/>
  <c r="AW26" i="41"/>
  <c r="AV26" i="41"/>
  <c r="AU26" i="41"/>
  <c r="AT26" i="41"/>
  <c r="AS26" i="41"/>
  <c r="AR26" i="41"/>
  <c r="AQ26" i="41"/>
  <c r="AP26" i="41"/>
  <c r="AO26" i="41"/>
  <c r="AN26" i="41"/>
  <c r="AM26" i="41"/>
  <c r="AL26" i="41"/>
  <c r="AK26" i="41"/>
  <c r="AJ26" i="41"/>
  <c r="AI26" i="41"/>
  <c r="AH26" i="41"/>
  <c r="AF26" i="41"/>
  <c r="AE26" i="41"/>
  <c r="AD26" i="41"/>
  <c r="AC26" i="41"/>
  <c r="AB26" i="41"/>
  <c r="AA26" i="41"/>
  <c r="Y26" i="41"/>
  <c r="X26" i="41"/>
  <c r="W26" i="41"/>
  <c r="V26" i="41"/>
  <c r="U26" i="41"/>
  <c r="T26" i="41"/>
  <c r="Q26" i="41"/>
  <c r="N26" i="41"/>
  <c r="M26" i="41"/>
  <c r="G26" i="41"/>
  <c r="F26" i="41"/>
  <c r="BF24" i="41"/>
  <c r="AX24" i="41"/>
  <c r="AX16" i="41" s="1"/>
  <c r="AC24" i="41"/>
  <c r="AM23" i="41"/>
  <c r="AM16" i="41" s="1"/>
  <c r="R21" i="41"/>
  <c r="CM16" i="41"/>
  <c r="CL16" i="41"/>
  <c r="CK16" i="41"/>
  <c r="CJ16" i="41"/>
  <c r="CI16" i="41"/>
  <c r="CH16" i="41"/>
  <c r="CG16" i="41"/>
  <c r="CF16" i="41"/>
  <c r="CE16" i="41"/>
  <c r="CD16" i="41"/>
  <c r="CC16" i="41"/>
  <c r="CB16" i="41"/>
  <c r="CA16" i="41"/>
  <c r="BZ16" i="41"/>
  <c r="BY16" i="41"/>
  <c r="BX16" i="41"/>
  <c r="BW16" i="41"/>
  <c r="BV16" i="41"/>
  <c r="BU16" i="41"/>
  <c r="BT16" i="41"/>
  <c r="BS16" i="41"/>
  <c r="BR16" i="41"/>
  <c r="BQ16" i="41"/>
  <c r="BP16" i="41"/>
  <c r="BO16" i="41"/>
  <c r="BN16" i="41"/>
  <c r="BM16" i="41"/>
  <c r="BL16" i="41"/>
  <c r="BK16" i="41"/>
  <c r="BJ16" i="41"/>
  <c r="BI16" i="41"/>
  <c r="BH16" i="41"/>
  <c r="BG16" i="41"/>
  <c r="BF16" i="41"/>
  <c r="BE16" i="41"/>
  <c r="BD16" i="41"/>
  <c r="BC16" i="41"/>
  <c r="BB16" i="41"/>
  <c r="BA16" i="41"/>
  <c r="AZ16" i="41"/>
  <c r="AY16" i="41"/>
  <c r="AW16" i="41"/>
  <c r="AV16" i="41"/>
  <c r="AU16" i="41"/>
  <c r="AT16" i="41"/>
  <c r="AS16" i="41"/>
  <c r="AR16" i="41"/>
  <c r="AQ16" i="41"/>
  <c r="AP16" i="41"/>
  <c r="AO16" i="41"/>
  <c r="AN16" i="41"/>
  <c r="AL16" i="41"/>
  <c r="AK16" i="41"/>
  <c r="AJ16" i="41"/>
  <c r="AI16" i="41"/>
  <c r="AH16" i="41"/>
  <c r="AG16" i="41"/>
  <c r="AF16" i="41"/>
  <c r="AE16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C16" i="41"/>
  <c r="C10" i="41"/>
  <c r="C5" i="41"/>
  <c r="P44" i="40"/>
  <c r="E51" i="40"/>
  <c r="O26" i="41" l="1"/>
  <c r="C7" i="41"/>
  <c r="Z26" i="41"/>
  <c r="R26" i="41"/>
  <c r="E26" i="41"/>
  <c r="E79" i="41" s="1"/>
  <c r="K26" i="41"/>
  <c r="H26" i="41"/>
  <c r="J26" i="41"/>
  <c r="L26" i="41"/>
  <c r="F38" i="40"/>
  <c r="M39" i="40"/>
  <c r="L39" i="40"/>
  <c r="K39" i="40"/>
  <c r="J39" i="40"/>
  <c r="I39" i="40"/>
  <c r="F39" i="40"/>
  <c r="M62" i="40"/>
  <c r="K62" i="40"/>
  <c r="F62" i="40"/>
  <c r="Q50" i="40"/>
  <c r="K50" i="40"/>
  <c r="S50" i="40"/>
  <c r="M50" i="40"/>
  <c r="I50" i="40"/>
  <c r="F50" i="40"/>
  <c r="C8" i="41" l="1"/>
  <c r="C9" i="41" s="1"/>
  <c r="F79" i="41"/>
  <c r="G79" i="41" s="1"/>
  <c r="H79" i="41" s="1"/>
  <c r="I79" i="41" s="1"/>
  <c r="J79" i="41" s="1"/>
  <c r="K79" i="41" s="1"/>
  <c r="L79" i="41" s="1"/>
  <c r="M79" i="41" s="1"/>
  <c r="N79" i="41" s="1"/>
  <c r="O79" i="41" s="1"/>
  <c r="P79" i="41" s="1"/>
  <c r="Q79" i="41" s="1"/>
  <c r="R79" i="41" s="1"/>
  <c r="S79" i="41" s="1"/>
  <c r="T79" i="41" s="1"/>
  <c r="U79" i="41" s="1"/>
  <c r="V79" i="41" s="1"/>
  <c r="W79" i="41" s="1"/>
  <c r="X79" i="41" s="1"/>
  <c r="Y79" i="41" s="1"/>
  <c r="Z79" i="41" s="1"/>
  <c r="AA79" i="41" s="1"/>
  <c r="AB79" i="41" s="1"/>
  <c r="AC79" i="41" s="1"/>
  <c r="AD79" i="41" s="1"/>
  <c r="AE79" i="41" s="1"/>
  <c r="AF79" i="41" s="1"/>
  <c r="AG79" i="41" s="1"/>
  <c r="AH79" i="41" s="1"/>
  <c r="AI79" i="41" s="1"/>
  <c r="AJ79" i="41" s="1"/>
  <c r="AK79" i="41" s="1"/>
  <c r="AL79" i="41" s="1"/>
  <c r="AM79" i="41" s="1"/>
  <c r="AN79" i="41" s="1"/>
  <c r="AO79" i="41" s="1"/>
  <c r="AP79" i="41" s="1"/>
  <c r="AQ79" i="41" s="1"/>
  <c r="AR79" i="41" s="1"/>
  <c r="AS79" i="41" s="1"/>
  <c r="AT79" i="41" s="1"/>
  <c r="AU79" i="41" s="1"/>
  <c r="AV79" i="41" s="1"/>
  <c r="AW79" i="41" s="1"/>
  <c r="AX79" i="41" s="1"/>
  <c r="AY79" i="41" s="1"/>
  <c r="AZ79" i="41" s="1"/>
  <c r="BA79" i="41" s="1"/>
  <c r="BB79" i="41" s="1"/>
  <c r="BC79" i="41" s="1"/>
  <c r="BD79" i="41" s="1"/>
  <c r="BE79" i="41" s="1"/>
  <c r="BF79" i="41" s="1"/>
  <c r="BG79" i="41" s="1"/>
  <c r="BH79" i="41" s="1"/>
  <c r="BI79" i="41" s="1"/>
  <c r="BJ79" i="41" s="1"/>
  <c r="BK79" i="41" s="1"/>
  <c r="BL79" i="41" s="1"/>
  <c r="BM79" i="41" s="1"/>
  <c r="BN79" i="41" s="1"/>
  <c r="BO79" i="41" s="1"/>
  <c r="BP79" i="41" s="1"/>
  <c r="BQ79" i="41" s="1"/>
  <c r="BR79" i="41" s="1"/>
  <c r="BS79" i="41" s="1"/>
  <c r="BT79" i="41" s="1"/>
  <c r="BU79" i="41" s="1"/>
  <c r="BV79" i="41" s="1"/>
  <c r="BW79" i="41" s="1"/>
  <c r="BX79" i="41" s="1"/>
  <c r="BY79" i="41" s="1"/>
  <c r="BZ79" i="41" s="1"/>
  <c r="CA79" i="41" s="1"/>
  <c r="CB79" i="41" s="1"/>
  <c r="CC79" i="41" s="1"/>
  <c r="CD79" i="41" s="1"/>
  <c r="CE79" i="41" s="1"/>
  <c r="CF79" i="41" s="1"/>
  <c r="CG79" i="41" s="1"/>
  <c r="CH79" i="41" s="1"/>
  <c r="CI79" i="41" s="1"/>
  <c r="CJ79" i="41" s="1"/>
  <c r="CK79" i="41" s="1"/>
  <c r="CL79" i="41" s="1"/>
  <c r="CM79" i="41" s="1"/>
  <c r="C60" i="40"/>
  <c r="C56" i="40"/>
  <c r="C44" i="40"/>
  <c r="C43" i="40"/>
  <c r="C42" i="40"/>
  <c r="M72" i="40"/>
  <c r="I72" i="40"/>
  <c r="L71" i="40"/>
  <c r="I71" i="40"/>
  <c r="T60" i="40"/>
  <c r="S60" i="40"/>
  <c r="R60" i="40"/>
  <c r="Q60" i="40"/>
  <c r="Q26" i="40" s="1"/>
  <c r="P60" i="40"/>
  <c r="AA57" i="40"/>
  <c r="F56" i="40"/>
  <c r="F52" i="40"/>
  <c r="W51" i="40"/>
  <c r="T51" i="40"/>
  <c r="R51" i="40"/>
  <c r="R26" i="40" s="1"/>
  <c r="P51" i="40"/>
  <c r="L51" i="40"/>
  <c r="K51" i="40"/>
  <c r="J51" i="40"/>
  <c r="I51" i="40"/>
  <c r="C51" i="40"/>
  <c r="AD50" i="40"/>
  <c r="AA48" i="40"/>
  <c r="M48" i="40"/>
  <c r="AH46" i="40"/>
  <c r="J45" i="40"/>
  <c r="I45" i="40"/>
  <c r="F45" i="40"/>
  <c r="E45" i="40"/>
  <c r="E26" i="40" s="1"/>
  <c r="C45" i="40"/>
  <c r="F44" i="40"/>
  <c r="Z43" i="40"/>
  <c r="Y43" i="40"/>
  <c r="Y26" i="40" s="1"/>
  <c r="X43" i="40"/>
  <c r="W43" i="40"/>
  <c r="W26" i="40" s="1"/>
  <c r="P43" i="40"/>
  <c r="AA43" i="40"/>
  <c r="L26" i="40" s="1"/>
  <c r="K43" i="40"/>
  <c r="S43" i="40"/>
  <c r="J26" i="40" s="1"/>
  <c r="I43" i="40"/>
  <c r="C26" i="40"/>
  <c r="C11" i="40" s="1"/>
  <c r="I38" i="40"/>
  <c r="I26" i="40" s="1"/>
  <c r="AY31" i="40"/>
  <c r="S31" i="40"/>
  <c r="AY30" i="40"/>
  <c r="AY26" i="40" s="1"/>
  <c r="S30" i="40"/>
  <c r="CN26" i="40"/>
  <c r="CM26" i="40"/>
  <c r="CL26" i="40"/>
  <c r="CK26" i="40"/>
  <c r="CJ26" i="40"/>
  <c r="CI26" i="40"/>
  <c r="CH26" i="40"/>
  <c r="CG26" i="40"/>
  <c r="CF26" i="40"/>
  <c r="CE26" i="40"/>
  <c r="CD26" i="40"/>
  <c r="CC26" i="40"/>
  <c r="CB26" i="40"/>
  <c r="CA26" i="40"/>
  <c r="BZ26" i="40"/>
  <c r="BY26" i="40"/>
  <c r="BX26" i="40"/>
  <c r="BW26" i="40"/>
  <c r="BV26" i="40"/>
  <c r="BU26" i="40"/>
  <c r="BT26" i="40"/>
  <c r="BS26" i="40"/>
  <c r="BR26" i="40"/>
  <c r="BQ26" i="40"/>
  <c r="BP26" i="40"/>
  <c r="BO26" i="40"/>
  <c r="BN26" i="40"/>
  <c r="BM26" i="40"/>
  <c r="BL26" i="40"/>
  <c r="BK26" i="40"/>
  <c r="BJ26" i="40"/>
  <c r="BI26" i="40"/>
  <c r="BH26" i="40"/>
  <c r="BG26" i="40"/>
  <c r="BF26" i="40"/>
  <c r="BE26" i="40"/>
  <c r="BD26" i="40"/>
  <c r="BC26" i="40"/>
  <c r="BB26" i="40"/>
  <c r="BA26" i="40"/>
  <c r="AZ26" i="40"/>
  <c r="AX26" i="40"/>
  <c r="AW26" i="40"/>
  <c r="AV26" i="40"/>
  <c r="AU26" i="40"/>
  <c r="AT26" i="40"/>
  <c r="AS26" i="40"/>
  <c r="AR26" i="40"/>
  <c r="AQ26" i="40"/>
  <c r="AP26" i="40"/>
  <c r="AO26" i="40"/>
  <c r="AN26" i="40"/>
  <c r="AM26" i="40"/>
  <c r="AL26" i="40"/>
  <c r="AK26" i="40"/>
  <c r="AJ26" i="40"/>
  <c r="AI26" i="40"/>
  <c r="AH26" i="40"/>
  <c r="AG26" i="40"/>
  <c r="AF26" i="40"/>
  <c r="AE26" i="40"/>
  <c r="AD26" i="40"/>
  <c r="AC26" i="40"/>
  <c r="AB26" i="40"/>
  <c r="Z26" i="40"/>
  <c r="X26" i="40"/>
  <c r="V26" i="40"/>
  <c r="U26" i="40"/>
  <c r="O26" i="40"/>
  <c r="N26" i="40"/>
  <c r="H26" i="40"/>
  <c r="G26" i="40"/>
  <c r="F26" i="40"/>
  <c r="BG24" i="40"/>
  <c r="AY24" i="40"/>
  <c r="AD24" i="40"/>
  <c r="AD16" i="40" s="1"/>
  <c r="AN23" i="40"/>
  <c r="S21" i="40"/>
  <c r="S16" i="40" s="1"/>
  <c r="CN16" i="40"/>
  <c r="CM16" i="40"/>
  <c r="CL16" i="40"/>
  <c r="CK16" i="40"/>
  <c r="CJ16" i="40"/>
  <c r="CI16" i="40"/>
  <c r="CH16" i="40"/>
  <c r="CG16" i="40"/>
  <c r="CF16" i="40"/>
  <c r="CE16" i="40"/>
  <c r="CD16" i="40"/>
  <c r="CC16" i="40"/>
  <c r="CB16" i="40"/>
  <c r="CA16" i="40"/>
  <c r="BZ16" i="40"/>
  <c r="BY16" i="40"/>
  <c r="BX16" i="40"/>
  <c r="BW16" i="40"/>
  <c r="BV16" i="40"/>
  <c r="BU16" i="40"/>
  <c r="BT16" i="40"/>
  <c r="BS16" i="40"/>
  <c r="BR16" i="40"/>
  <c r="BQ16" i="40"/>
  <c r="BP16" i="40"/>
  <c r="BO16" i="40"/>
  <c r="BN16" i="40"/>
  <c r="BM16" i="40"/>
  <c r="BL16" i="40"/>
  <c r="BK16" i="40"/>
  <c r="BJ16" i="40"/>
  <c r="BI16" i="40"/>
  <c r="BH16" i="40"/>
  <c r="BG16" i="40"/>
  <c r="BF16" i="40"/>
  <c r="BE16" i="40"/>
  <c r="BD16" i="40"/>
  <c r="BC16" i="40"/>
  <c r="BB16" i="40"/>
  <c r="BA16" i="40"/>
  <c r="AZ16" i="40"/>
  <c r="AY16" i="40"/>
  <c r="AX16" i="40"/>
  <c r="AW16" i="40"/>
  <c r="AV16" i="40"/>
  <c r="AU16" i="40"/>
  <c r="AT16" i="40"/>
  <c r="AS16" i="40"/>
  <c r="AR16" i="40"/>
  <c r="AQ16" i="40"/>
  <c r="AP16" i="40"/>
  <c r="AO16" i="40"/>
  <c r="AN16" i="40"/>
  <c r="AM16" i="40"/>
  <c r="AL16" i="40"/>
  <c r="AK16" i="40"/>
  <c r="AJ16" i="40"/>
  <c r="AI16" i="40"/>
  <c r="AH16" i="40"/>
  <c r="AG16" i="40"/>
  <c r="AF16" i="40"/>
  <c r="AE16" i="40"/>
  <c r="AC16" i="40"/>
  <c r="AB16" i="40"/>
  <c r="AA16" i="40"/>
  <c r="Z16" i="40"/>
  <c r="Y16" i="40"/>
  <c r="X16" i="40"/>
  <c r="W16" i="40"/>
  <c r="V16" i="40"/>
  <c r="U16" i="40"/>
  <c r="T16" i="40"/>
  <c r="R16" i="40"/>
  <c r="Q16" i="40"/>
  <c r="P16" i="40"/>
  <c r="O16" i="40"/>
  <c r="N16" i="40"/>
  <c r="M16" i="40"/>
  <c r="L16" i="40"/>
  <c r="K16" i="40"/>
  <c r="J16" i="40"/>
  <c r="I16" i="40"/>
  <c r="H16" i="40"/>
  <c r="G16" i="40"/>
  <c r="F16" i="40"/>
  <c r="E16" i="40"/>
  <c r="C16" i="40"/>
  <c r="C10" i="40" s="1"/>
  <c r="C5" i="40"/>
  <c r="AA26" i="40" l="1"/>
  <c r="E77" i="40"/>
  <c r="F77" i="40" s="1"/>
  <c r="G77" i="40" s="1"/>
  <c r="H77" i="40" s="1"/>
  <c r="I77" i="40" s="1"/>
  <c r="J77" i="40" s="1"/>
  <c r="M26" i="40"/>
  <c r="K26" i="40"/>
  <c r="P26" i="40"/>
  <c r="T26" i="40"/>
  <c r="S26" i="40"/>
  <c r="C7" i="40"/>
  <c r="AB59" i="39"/>
  <c r="G58" i="39"/>
  <c r="G44" i="39"/>
  <c r="C8" i="40" l="1"/>
  <c r="C9" i="40" s="1"/>
  <c r="K77" i="40"/>
  <c r="L77" i="40" s="1"/>
  <c r="M77" i="40" s="1"/>
  <c r="N77" i="40" s="1"/>
  <c r="O77" i="40" s="1"/>
  <c r="P77" i="40" s="1"/>
  <c r="Q77" i="40" s="1"/>
  <c r="R77" i="40" s="1"/>
  <c r="S77" i="40" s="1"/>
  <c r="T77" i="40" s="1"/>
  <c r="U77" i="40" s="1"/>
  <c r="V77" i="40" s="1"/>
  <c r="W77" i="40" s="1"/>
  <c r="X77" i="40" s="1"/>
  <c r="Y77" i="40" s="1"/>
  <c r="Z77" i="40" s="1"/>
  <c r="AA77" i="40" s="1"/>
  <c r="AB77" i="40" s="1"/>
  <c r="AC77" i="40" s="1"/>
  <c r="AD77" i="40" s="1"/>
  <c r="AE77" i="40" s="1"/>
  <c r="AF77" i="40" s="1"/>
  <c r="AG77" i="40" s="1"/>
  <c r="AH77" i="40" s="1"/>
  <c r="AI77" i="40" s="1"/>
  <c r="AJ77" i="40" s="1"/>
  <c r="AK77" i="40" s="1"/>
  <c r="AL77" i="40" s="1"/>
  <c r="AM77" i="40" s="1"/>
  <c r="AN77" i="40" s="1"/>
  <c r="AO77" i="40" s="1"/>
  <c r="AP77" i="40" s="1"/>
  <c r="AQ77" i="40" s="1"/>
  <c r="AR77" i="40" s="1"/>
  <c r="AS77" i="40" s="1"/>
  <c r="AT77" i="40" s="1"/>
  <c r="AU77" i="40" s="1"/>
  <c r="AV77" i="40" s="1"/>
  <c r="AW77" i="40" s="1"/>
  <c r="AX77" i="40" s="1"/>
  <c r="AY77" i="40" s="1"/>
  <c r="AZ77" i="40" s="1"/>
  <c r="BA77" i="40" s="1"/>
  <c r="BB77" i="40" s="1"/>
  <c r="BC77" i="40" s="1"/>
  <c r="BD77" i="40" s="1"/>
  <c r="BE77" i="40" s="1"/>
  <c r="BF77" i="40" s="1"/>
  <c r="BG77" i="40" s="1"/>
  <c r="BH77" i="40" s="1"/>
  <c r="BI77" i="40" s="1"/>
  <c r="BJ77" i="40" s="1"/>
  <c r="BK77" i="40" s="1"/>
  <c r="BL77" i="40" s="1"/>
  <c r="BM77" i="40" s="1"/>
  <c r="BN77" i="40" s="1"/>
  <c r="BO77" i="40" s="1"/>
  <c r="BP77" i="40" s="1"/>
  <c r="BQ77" i="40" s="1"/>
  <c r="BR77" i="40" s="1"/>
  <c r="BS77" i="40" s="1"/>
  <c r="BT77" i="40" s="1"/>
  <c r="BU77" i="40" s="1"/>
  <c r="BV77" i="40" s="1"/>
  <c r="BW77" i="40" s="1"/>
  <c r="BX77" i="40" s="1"/>
  <c r="BY77" i="40" s="1"/>
  <c r="BZ77" i="40" s="1"/>
  <c r="CA77" i="40" s="1"/>
  <c r="CB77" i="40" s="1"/>
  <c r="CC77" i="40" s="1"/>
  <c r="CD77" i="40" s="1"/>
  <c r="CE77" i="40" s="1"/>
  <c r="CF77" i="40" s="1"/>
  <c r="CG77" i="40" s="1"/>
  <c r="CH77" i="40" s="1"/>
  <c r="CI77" i="40" s="1"/>
  <c r="CJ77" i="40" s="1"/>
  <c r="CK77" i="40" s="1"/>
  <c r="CL77" i="40" s="1"/>
  <c r="CM77" i="40" s="1"/>
  <c r="CN77" i="40" s="1"/>
  <c r="C55" i="39"/>
  <c r="C51" i="39"/>
  <c r="C44" i="39"/>
  <c r="C43" i="39"/>
  <c r="C42" i="39"/>
  <c r="N74" i="39"/>
  <c r="J74" i="39"/>
  <c r="M73" i="39"/>
  <c r="J73" i="39"/>
  <c r="E66" i="39"/>
  <c r="U62" i="39"/>
  <c r="T62" i="39"/>
  <c r="S62" i="39"/>
  <c r="R62" i="39"/>
  <c r="Q62" i="39"/>
  <c r="C62" i="39"/>
  <c r="E59" i="39"/>
  <c r="E55" i="39"/>
  <c r="G53" i="39"/>
  <c r="X51" i="39"/>
  <c r="X26" i="39" s="1"/>
  <c r="U51" i="39"/>
  <c r="S51" i="39"/>
  <c r="S26" i="39" s="1"/>
  <c r="Q51" i="39"/>
  <c r="M51" i="39"/>
  <c r="L51" i="39"/>
  <c r="K51" i="39"/>
  <c r="J51" i="39"/>
  <c r="F51" i="39"/>
  <c r="AE50" i="39"/>
  <c r="G50" i="39"/>
  <c r="G26" i="39" s="1"/>
  <c r="AB48" i="39"/>
  <c r="N48" i="39"/>
  <c r="AI46" i="39"/>
  <c r="N45" i="39"/>
  <c r="N26" i="39" s="1"/>
  <c r="G45" i="39"/>
  <c r="F45" i="39"/>
  <c r="F26" i="39" s="1"/>
  <c r="M45" i="39"/>
  <c r="C45" i="39"/>
  <c r="AA43" i="39"/>
  <c r="AA26" i="39" s="1"/>
  <c r="Z43" i="39"/>
  <c r="Z26" i="39" s="1"/>
  <c r="Y43" i="39"/>
  <c r="Y26" i="39" s="1"/>
  <c r="X43" i="39"/>
  <c r="Q43" i="39"/>
  <c r="Q26" i="39" s="1"/>
  <c r="M43" i="39"/>
  <c r="L43" i="39"/>
  <c r="K43" i="39"/>
  <c r="J43" i="39"/>
  <c r="C26" i="39"/>
  <c r="C11" i="39" s="1"/>
  <c r="J38" i="39"/>
  <c r="G38" i="39"/>
  <c r="E26" i="39" s="1"/>
  <c r="AZ31" i="39"/>
  <c r="T31" i="39"/>
  <c r="AZ30" i="39"/>
  <c r="T30" i="39"/>
  <c r="T26" i="39" s="1"/>
  <c r="CO26" i="39"/>
  <c r="CN26" i="39"/>
  <c r="CM26" i="39"/>
  <c r="CL26" i="39"/>
  <c r="CK26" i="39"/>
  <c r="CJ26" i="39"/>
  <c r="CI26" i="39"/>
  <c r="CH26" i="39"/>
  <c r="CG26" i="39"/>
  <c r="CF26" i="39"/>
  <c r="CE26" i="39"/>
  <c r="CD26" i="39"/>
  <c r="CC26" i="39"/>
  <c r="CB26" i="39"/>
  <c r="CA26" i="39"/>
  <c r="BZ26" i="39"/>
  <c r="BY26" i="39"/>
  <c r="BX26" i="39"/>
  <c r="BW26" i="39"/>
  <c r="BV26" i="39"/>
  <c r="BU26" i="39"/>
  <c r="BT26" i="39"/>
  <c r="BS26" i="39"/>
  <c r="BR26" i="39"/>
  <c r="BQ26" i="39"/>
  <c r="BP26" i="39"/>
  <c r="BO26" i="39"/>
  <c r="BN26" i="39"/>
  <c r="BM26" i="39"/>
  <c r="BL26" i="39"/>
  <c r="BK26" i="39"/>
  <c r="BJ26" i="39"/>
  <c r="BI26" i="39"/>
  <c r="BH26" i="39"/>
  <c r="BG26" i="39"/>
  <c r="BF26" i="39"/>
  <c r="BE26" i="39"/>
  <c r="BD26" i="39"/>
  <c r="BC26" i="39"/>
  <c r="BB26" i="39"/>
  <c r="BA26" i="39"/>
  <c r="AZ26" i="39"/>
  <c r="AY26" i="39"/>
  <c r="AX26" i="39"/>
  <c r="AW26" i="39"/>
  <c r="AV26" i="39"/>
  <c r="AU26" i="39"/>
  <c r="AT26" i="39"/>
  <c r="AS26" i="39"/>
  <c r="AR26" i="39"/>
  <c r="AQ26" i="39"/>
  <c r="AP26" i="39"/>
  <c r="AO26" i="39"/>
  <c r="AN26" i="39"/>
  <c r="AM26" i="39"/>
  <c r="AL26" i="39"/>
  <c r="AK26" i="39"/>
  <c r="AJ26" i="39"/>
  <c r="AI26" i="39"/>
  <c r="AH26" i="39"/>
  <c r="AG26" i="39"/>
  <c r="AF26" i="39"/>
  <c r="AE26" i="39"/>
  <c r="AD26" i="39"/>
  <c r="AC26" i="39"/>
  <c r="AB26" i="39"/>
  <c r="W26" i="39"/>
  <c r="V26" i="39"/>
  <c r="R26" i="39"/>
  <c r="P26" i="39"/>
  <c r="O26" i="39"/>
  <c r="L26" i="39"/>
  <c r="J26" i="39"/>
  <c r="I26" i="39"/>
  <c r="H26" i="39"/>
  <c r="BH24" i="39"/>
  <c r="AZ24" i="39"/>
  <c r="AE24" i="39"/>
  <c r="AE16" i="39" s="1"/>
  <c r="AO23" i="39"/>
  <c r="T21" i="39"/>
  <c r="T16" i="39" s="1"/>
  <c r="CO16" i="39"/>
  <c r="CN16" i="39"/>
  <c r="CM16" i="39"/>
  <c r="CL16" i="39"/>
  <c r="CK16" i="39"/>
  <c r="CJ16" i="39"/>
  <c r="CI16" i="39"/>
  <c r="CH16" i="39"/>
  <c r="CG16" i="39"/>
  <c r="CF16" i="39"/>
  <c r="CE16" i="39"/>
  <c r="CD16" i="39"/>
  <c r="CC16" i="39"/>
  <c r="CB16" i="39"/>
  <c r="CA16" i="39"/>
  <c r="BZ16" i="39"/>
  <c r="BY16" i="39"/>
  <c r="BX16" i="39"/>
  <c r="BW16" i="39"/>
  <c r="BV16" i="39"/>
  <c r="BU16" i="39"/>
  <c r="BT16" i="39"/>
  <c r="BS16" i="39"/>
  <c r="BR16" i="39"/>
  <c r="BQ16" i="39"/>
  <c r="BP16" i="39"/>
  <c r="BO16" i="39"/>
  <c r="BN16" i="39"/>
  <c r="BM16" i="39"/>
  <c r="BL16" i="39"/>
  <c r="BK16" i="39"/>
  <c r="BJ16" i="39"/>
  <c r="BI16" i="39"/>
  <c r="BH16" i="39"/>
  <c r="BG16" i="39"/>
  <c r="BF16" i="39"/>
  <c r="BE16" i="39"/>
  <c r="BD16" i="39"/>
  <c r="BC16" i="39"/>
  <c r="BB16" i="39"/>
  <c r="BA16" i="39"/>
  <c r="AZ16" i="39"/>
  <c r="AY16" i="39"/>
  <c r="AX16" i="39"/>
  <c r="AW16" i="39"/>
  <c r="AV16" i="39"/>
  <c r="AU16" i="39"/>
  <c r="AT16" i="39"/>
  <c r="AS16" i="39"/>
  <c r="AR16" i="39"/>
  <c r="AQ16" i="39"/>
  <c r="AP16" i="39"/>
  <c r="AO16" i="39"/>
  <c r="AN16" i="39"/>
  <c r="AM16" i="39"/>
  <c r="AL16" i="39"/>
  <c r="AK16" i="39"/>
  <c r="AJ16" i="39"/>
  <c r="AI16" i="39"/>
  <c r="AH16" i="39"/>
  <c r="AG16" i="39"/>
  <c r="AF16" i="39"/>
  <c r="AD16" i="39"/>
  <c r="AC16" i="39"/>
  <c r="AB16" i="39"/>
  <c r="AA16" i="39"/>
  <c r="Z16" i="39"/>
  <c r="Y16" i="39"/>
  <c r="X16" i="39"/>
  <c r="W16" i="39"/>
  <c r="V16" i="39"/>
  <c r="U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C16" i="39"/>
  <c r="C10" i="39" s="1"/>
  <c r="C5" i="39"/>
  <c r="E79" i="39" l="1"/>
  <c r="F79" i="39" s="1"/>
  <c r="G79" i="39" s="1"/>
  <c r="H79" i="39" s="1"/>
  <c r="I79" i="39" s="1"/>
  <c r="J79" i="39" s="1"/>
  <c r="K26" i="39"/>
  <c r="M26" i="39"/>
  <c r="U26" i="39"/>
  <c r="C7" i="39"/>
  <c r="AJ46" i="38"/>
  <c r="S62" i="38"/>
  <c r="T62" i="38"/>
  <c r="U62" i="38"/>
  <c r="V62" i="38"/>
  <c r="R62" i="38"/>
  <c r="L43" i="38"/>
  <c r="M43" i="38"/>
  <c r="N43" i="38"/>
  <c r="K43" i="38"/>
  <c r="K79" i="39" l="1"/>
  <c r="L79" i="39" s="1"/>
  <c r="C8" i="39"/>
  <c r="C9" i="39" s="1"/>
  <c r="M79" i="39"/>
  <c r="N79" i="39" s="1"/>
  <c r="O79" i="39" s="1"/>
  <c r="P79" i="39" s="1"/>
  <c r="Q79" i="39" s="1"/>
  <c r="R79" i="39" s="1"/>
  <c r="S79" i="39" s="1"/>
  <c r="T79" i="39" s="1"/>
  <c r="U79" i="39" s="1"/>
  <c r="V79" i="39" s="1"/>
  <c r="W79" i="39" s="1"/>
  <c r="X79" i="39" s="1"/>
  <c r="Y79" i="39" s="1"/>
  <c r="Z79" i="39" s="1"/>
  <c r="AA79" i="39" s="1"/>
  <c r="AB79" i="39" s="1"/>
  <c r="AC79" i="39" s="1"/>
  <c r="AD79" i="39" s="1"/>
  <c r="AE79" i="39" s="1"/>
  <c r="AF79" i="39" s="1"/>
  <c r="AG79" i="39" s="1"/>
  <c r="AH79" i="39" s="1"/>
  <c r="AI79" i="39" s="1"/>
  <c r="AJ79" i="39" s="1"/>
  <c r="AK79" i="39" s="1"/>
  <c r="AL79" i="39" s="1"/>
  <c r="AM79" i="39" s="1"/>
  <c r="AN79" i="39" s="1"/>
  <c r="AO79" i="39" s="1"/>
  <c r="AP79" i="39" s="1"/>
  <c r="AQ79" i="39" s="1"/>
  <c r="AR79" i="39" s="1"/>
  <c r="AS79" i="39" s="1"/>
  <c r="AT79" i="39" s="1"/>
  <c r="AU79" i="39" s="1"/>
  <c r="AV79" i="39" s="1"/>
  <c r="AW79" i="39" s="1"/>
  <c r="AX79" i="39" s="1"/>
  <c r="AY79" i="39" s="1"/>
  <c r="AZ79" i="39" s="1"/>
  <c r="BA79" i="39" s="1"/>
  <c r="BB79" i="39" s="1"/>
  <c r="BC79" i="39" s="1"/>
  <c r="BD79" i="39" s="1"/>
  <c r="BE79" i="39" s="1"/>
  <c r="BF79" i="39" s="1"/>
  <c r="BG79" i="39" s="1"/>
  <c r="BH79" i="39" s="1"/>
  <c r="BI79" i="39" s="1"/>
  <c r="BJ79" i="39" s="1"/>
  <c r="BK79" i="39" s="1"/>
  <c r="BL79" i="39" s="1"/>
  <c r="BM79" i="39" s="1"/>
  <c r="BN79" i="39" s="1"/>
  <c r="BO79" i="39" s="1"/>
  <c r="BP79" i="39" s="1"/>
  <c r="BQ79" i="39" s="1"/>
  <c r="BR79" i="39" s="1"/>
  <c r="BS79" i="39" s="1"/>
  <c r="BT79" i="39" s="1"/>
  <c r="BU79" i="39" s="1"/>
  <c r="BV79" i="39" s="1"/>
  <c r="BW79" i="39" s="1"/>
  <c r="BX79" i="39" s="1"/>
  <c r="BY79" i="39" s="1"/>
  <c r="BZ79" i="39" s="1"/>
  <c r="CA79" i="39" s="1"/>
  <c r="CB79" i="39" s="1"/>
  <c r="CC79" i="39" s="1"/>
  <c r="CD79" i="39" s="1"/>
  <c r="CE79" i="39" s="1"/>
  <c r="CF79" i="39" s="1"/>
  <c r="CG79" i="39" s="1"/>
  <c r="CH79" i="39" s="1"/>
  <c r="CI79" i="39" s="1"/>
  <c r="CJ79" i="39" s="1"/>
  <c r="CK79" i="39" s="1"/>
  <c r="CL79" i="39" s="1"/>
  <c r="CM79" i="39" s="1"/>
  <c r="CN79" i="39" s="1"/>
  <c r="CO79" i="39" s="1"/>
  <c r="E61" i="38"/>
  <c r="O74" i="38"/>
  <c r="K74" i="38"/>
  <c r="N73" i="38"/>
  <c r="K73" i="38"/>
  <c r="F66" i="38"/>
  <c r="C62" i="38"/>
  <c r="F59" i="38"/>
  <c r="E55" i="38"/>
  <c r="H55" i="38"/>
  <c r="C55" i="38"/>
  <c r="H53" i="38"/>
  <c r="Y51" i="38"/>
  <c r="Y26" i="38" s="1"/>
  <c r="V51" i="38"/>
  <c r="N51" i="38"/>
  <c r="M51" i="38"/>
  <c r="L51" i="38"/>
  <c r="K51" i="38"/>
  <c r="T51" i="38"/>
  <c r="G51" i="38"/>
  <c r="R51" i="38"/>
  <c r="E51" i="38"/>
  <c r="C51" i="38"/>
  <c r="AF50" i="38"/>
  <c r="H50" i="38"/>
  <c r="AC48" i="38"/>
  <c r="O48" i="38"/>
  <c r="O26" i="38" s="1"/>
  <c r="O45" i="38"/>
  <c r="H45" i="38"/>
  <c r="G45" i="38"/>
  <c r="F45" i="38"/>
  <c r="C45" i="38"/>
  <c r="C44" i="38"/>
  <c r="R43" i="38"/>
  <c r="AB43" i="38"/>
  <c r="N26" i="38" s="1"/>
  <c r="AA43" i="38"/>
  <c r="Z43" i="38"/>
  <c r="L26" i="38" s="1"/>
  <c r="Y43" i="38"/>
  <c r="C43" i="38"/>
  <c r="C42" i="38"/>
  <c r="K38" i="38"/>
  <c r="K26" i="38" s="1"/>
  <c r="F38" i="38"/>
  <c r="BA31" i="38"/>
  <c r="U31" i="38"/>
  <c r="BA30" i="38"/>
  <c r="BA26" i="38" s="1"/>
  <c r="U30" i="38"/>
  <c r="CP26" i="38"/>
  <c r="CO26" i="38"/>
  <c r="CN26" i="38"/>
  <c r="CM26" i="38"/>
  <c r="CL26" i="38"/>
  <c r="CK26" i="38"/>
  <c r="CJ26" i="38"/>
  <c r="CI26" i="38"/>
  <c r="CH26" i="38"/>
  <c r="CG26" i="38"/>
  <c r="CF26" i="38"/>
  <c r="CE26" i="38"/>
  <c r="CD26" i="38"/>
  <c r="CC26" i="38"/>
  <c r="CB26" i="38"/>
  <c r="CA26" i="38"/>
  <c r="BZ26" i="38"/>
  <c r="BY26" i="38"/>
  <c r="BX26" i="38"/>
  <c r="BW26" i="38"/>
  <c r="BV26" i="38"/>
  <c r="BU26" i="38"/>
  <c r="BT26" i="38"/>
  <c r="BS26" i="38"/>
  <c r="BR26" i="38"/>
  <c r="BQ26" i="38"/>
  <c r="BP26" i="38"/>
  <c r="BO26" i="38"/>
  <c r="BN26" i="38"/>
  <c r="BM26" i="38"/>
  <c r="BL26" i="38"/>
  <c r="BK26" i="38"/>
  <c r="BJ26" i="38"/>
  <c r="BI26" i="38"/>
  <c r="BH26" i="38"/>
  <c r="BG26" i="38"/>
  <c r="BF26" i="38"/>
  <c r="BE26" i="38"/>
  <c r="BD26" i="38"/>
  <c r="BC26" i="38"/>
  <c r="BB26" i="38"/>
  <c r="AZ26" i="38"/>
  <c r="AY26" i="38"/>
  <c r="AX26" i="38"/>
  <c r="AW26" i="38"/>
  <c r="AV26" i="38"/>
  <c r="AU26" i="38"/>
  <c r="AT26" i="38"/>
  <c r="AS26" i="38"/>
  <c r="AR26" i="38"/>
  <c r="AQ26" i="38"/>
  <c r="AP26" i="38"/>
  <c r="AO26" i="38"/>
  <c r="AN26" i="38"/>
  <c r="AM26" i="38"/>
  <c r="AL26" i="38"/>
  <c r="AK26" i="38"/>
  <c r="AJ26" i="38"/>
  <c r="AI26" i="38"/>
  <c r="AH26" i="38"/>
  <c r="AG26" i="38"/>
  <c r="AF26" i="38"/>
  <c r="AE26" i="38"/>
  <c r="AD26" i="38"/>
  <c r="AC26" i="38"/>
  <c r="AB26" i="38"/>
  <c r="AA26" i="38"/>
  <c r="Z26" i="38"/>
  <c r="X26" i="38"/>
  <c r="W26" i="38"/>
  <c r="V26" i="38"/>
  <c r="U26" i="38"/>
  <c r="T26" i="38"/>
  <c r="S26" i="38"/>
  <c r="R26" i="38"/>
  <c r="Q26" i="38"/>
  <c r="P26" i="38"/>
  <c r="M26" i="38"/>
  <c r="J26" i="38"/>
  <c r="I26" i="38"/>
  <c r="H26" i="38"/>
  <c r="G26" i="38"/>
  <c r="F26" i="38"/>
  <c r="E26" i="38"/>
  <c r="C26" i="38"/>
  <c r="C11" i="38" s="1"/>
  <c r="BI24" i="38"/>
  <c r="BA24" i="38"/>
  <c r="BA16" i="38" s="1"/>
  <c r="AF24" i="38"/>
  <c r="AF16" i="38" s="1"/>
  <c r="AP23" i="38"/>
  <c r="AP16" i="38" s="1"/>
  <c r="U21" i="38"/>
  <c r="CP16" i="38"/>
  <c r="CO16" i="38"/>
  <c r="CN16" i="38"/>
  <c r="CM16" i="38"/>
  <c r="CL16" i="38"/>
  <c r="CK16" i="38"/>
  <c r="CJ16" i="38"/>
  <c r="CI16" i="38"/>
  <c r="CH16" i="38"/>
  <c r="CG16" i="38"/>
  <c r="CF16" i="38"/>
  <c r="CE16" i="38"/>
  <c r="CD16" i="38"/>
  <c r="CC16" i="38"/>
  <c r="CB16" i="38"/>
  <c r="CA16" i="38"/>
  <c r="BZ16" i="38"/>
  <c r="BY16" i="38"/>
  <c r="BX16" i="38"/>
  <c r="BW16" i="38"/>
  <c r="BV16" i="38"/>
  <c r="BU16" i="38"/>
  <c r="BT16" i="38"/>
  <c r="BS16" i="38"/>
  <c r="BR16" i="38"/>
  <c r="BQ16" i="38"/>
  <c r="BP16" i="38"/>
  <c r="BO16" i="38"/>
  <c r="BN16" i="38"/>
  <c r="BM16" i="38"/>
  <c r="BL16" i="38"/>
  <c r="BK16" i="38"/>
  <c r="BJ16" i="38"/>
  <c r="BI16" i="38"/>
  <c r="BH16" i="38"/>
  <c r="BG16" i="38"/>
  <c r="BF16" i="38"/>
  <c r="BE16" i="38"/>
  <c r="BD16" i="38"/>
  <c r="BC16" i="38"/>
  <c r="BB16" i="38"/>
  <c r="AZ16" i="38"/>
  <c r="AY16" i="38"/>
  <c r="AX16" i="38"/>
  <c r="AW16" i="38"/>
  <c r="AV16" i="38"/>
  <c r="AU16" i="38"/>
  <c r="AT16" i="38"/>
  <c r="AS16" i="38"/>
  <c r="AR16" i="38"/>
  <c r="AQ16" i="38"/>
  <c r="AO16" i="38"/>
  <c r="AN16" i="38"/>
  <c r="AM16" i="38"/>
  <c r="AL16" i="38"/>
  <c r="AK16" i="38"/>
  <c r="AJ16" i="38"/>
  <c r="AI16" i="38"/>
  <c r="AH16" i="38"/>
  <c r="AG16" i="38"/>
  <c r="AE16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C7" i="38" s="1"/>
  <c r="C16" i="38"/>
  <c r="C10" i="38" s="1"/>
  <c r="C5" i="38"/>
  <c r="C8" i="38" l="1"/>
  <c r="E79" i="38"/>
  <c r="C9" i="38"/>
  <c r="F79" i="38"/>
  <c r="G79" i="38" s="1"/>
  <c r="H79" i="38" s="1"/>
  <c r="I79" i="38" s="1"/>
  <c r="J79" i="38" s="1"/>
  <c r="K79" i="38" s="1"/>
  <c r="L79" i="38" s="1"/>
  <c r="M79" i="38" s="1"/>
  <c r="N79" i="38" s="1"/>
  <c r="O79" i="38" s="1"/>
  <c r="P79" i="38" s="1"/>
  <c r="Q79" i="38" s="1"/>
  <c r="R79" i="38" s="1"/>
  <c r="S79" i="38" s="1"/>
  <c r="T79" i="38" s="1"/>
  <c r="U79" i="38" s="1"/>
  <c r="V79" i="38" s="1"/>
  <c r="W79" i="38" s="1"/>
  <c r="X79" i="38" s="1"/>
  <c r="Y79" i="38" s="1"/>
  <c r="Z79" i="38" s="1"/>
  <c r="AA79" i="38" s="1"/>
  <c r="AB79" i="38" s="1"/>
  <c r="AC79" i="38" s="1"/>
  <c r="AD79" i="38" s="1"/>
  <c r="AE79" i="38" s="1"/>
  <c r="AF79" i="38" s="1"/>
  <c r="AG79" i="38" s="1"/>
  <c r="AH79" i="38" s="1"/>
  <c r="AI79" i="38" s="1"/>
  <c r="AJ79" i="38" s="1"/>
  <c r="AK79" i="38" s="1"/>
  <c r="AL79" i="38" s="1"/>
  <c r="AM79" i="38" s="1"/>
  <c r="AN79" i="38" s="1"/>
  <c r="AO79" i="38" s="1"/>
  <c r="AP79" i="38" s="1"/>
  <c r="AQ79" i="38" s="1"/>
  <c r="AR79" i="38" s="1"/>
  <c r="AS79" i="38" s="1"/>
  <c r="AT79" i="38" s="1"/>
  <c r="AU79" i="38" s="1"/>
  <c r="AV79" i="38" s="1"/>
  <c r="AW79" i="38" s="1"/>
  <c r="AX79" i="38" s="1"/>
  <c r="AY79" i="38" s="1"/>
  <c r="AZ79" i="38" s="1"/>
  <c r="BA79" i="38" s="1"/>
  <c r="BB79" i="38" s="1"/>
  <c r="BC79" i="38" s="1"/>
  <c r="BD79" i="38" s="1"/>
  <c r="BE79" i="38" s="1"/>
  <c r="BF79" i="38" s="1"/>
  <c r="BG79" i="38" s="1"/>
  <c r="BH79" i="38" s="1"/>
  <c r="BI79" i="38" s="1"/>
  <c r="BJ79" i="38" s="1"/>
  <c r="BK79" i="38" s="1"/>
  <c r="BL79" i="38" s="1"/>
  <c r="BM79" i="38" s="1"/>
  <c r="BN79" i="38" s="1"/>
  <c r="BO79" i="38" s="1"/>
  <c r="BP79" i="38" s="1"/>
  <c r="BQ79" i="38" s="1"/>
  <c r="BR79" i="38" s="1"/>
  <c r="BS79" i="38" s="1"/>
  <c r="BT79" i="38" s="1"/>
  <c r="BU79" i="38" s="1"/>
  <c r="BV79" i="38" s="1"/>
  <c r="BW79" i="38" s="1"/>
  <c r="BX79" i="38" s="1"/>
  <c r="BY79" i="38" s="1"/>
  <c r="BZ79" i="38" s="1"/>
  <c r="CA79" i="38" s="1"/>
  <c r="CB79" i="38" s="1"/>
  <c r="CC79" i="38" s="1"/>
  <c r="CD79" i="38" s="1"/>
  <c r="CE79" i="38" s="1"/>
  <c r="CF79" i="38" s="1"/>
  <c r="CG79" i="38" s="1"/>
  <c r="CH79" i="38" s="1"/>
  <c r="CI79" i="38" s="1"/>
  <c r="CJ79" i="38" s="1"/>
  <c r="CK79" i="38" s="1"/>
  <c r="CL79" i="38" s="1"/>
  <c r="CM79" i="38" s="1"/>
  <c r="CN79" i="38" s="1"/>
  <c r="CO79" i="38" s="1"/>
  <c r="CP79" i="38" s="1"/>
  <c r="F16" i="37"/>
  <c r="G16" i="37"/>
  <c r="H16" i="37"/>
  <c r="F26" i="37"/>
  <c r="G26" i="37"/>
  <c r="H26" i="37"/>
  <c r="C45" i="37"/>
  <c r="C44" i="37"/>
  <c r="C43" i="37"/>
  <c r="C42" i="37"/>
  <c r="S72" i="37"/>
  <c r="O72" i="37"/>
  <c r="R71" i="37"/>
  <c r="O71" i="37"/>
  <c r="J64" i="37"/>
  <c r="C60" i="37"/>
  <c r="K57" i="37"/>
  <c r="R53" i="37"/>
  <c r="L53" i="37"/>
  <c r="C53" i="37"/>
  <c r="L52" i="37"/>
  <c r="AC50" i="37"/>
  <c r="AC26" i="37" s="1"/>
  <c r="S50" i="37"/>
  <c r="R50" i="37"/>
  <c r="Q50" i="37"/>
  <c r="P50" i="37"/>
  <c r="O50" i="37"/>
  <c r="L50" i="37"/>
  <c r="K50" i="37"/>
  <c r="J50" i="37"/>
  <c r="I50" i="37"/>
  <c r="I26" i="37" s="1"/>
  <c r="C50" i="37"/>
  <c r="AJ49" i="37"/>
  <c r="L49" i="37"/>
  <c r="AG47" i="37"/>
  <c r="AG26" i="37" s="1"/>
  <c r="S47" i="37"/>
  <c r="S45" i="37"/>
  <c r="S26" i="37" s="1"/>
  <c r="L45" i="37"/>
  <c r="K45" i="37"/>
  <c r="K26" i="37" s="1"/>
  <c r="J45" i="37"/>
  <c r="V43" i="37"/>
  <c r="R43" i="37"/>
  <c r="Q43" i="37"/>
  <c r="P43" i="37"/>
  <c r="O43" i="37"/>
  <c r="O26" i="37" s="1"/>
  <c r="O38" i="37"/>
  <c r="J38" i="37"/>
  <c r="BE31" i="37"/>
  <c r="Y31" i="37"/>
  <c r="BE30" i="37"/>
  <c r="BE26" i="37" s="1"/>
  <c r="Y30" i="37"/>
  <c r="Y26" i="37" s="1"/>
  <c r="CT26" i="37"/>
  <c r="CS26" i="37"/>
  <c r="CR26" i="37"/>
  <c r="CQ26" i="37"/>
  <c r="CP26" i="37"/>
  <c r="CO26" i="37"/>
  <c r="CN26" i="37"/>
  <c r="CM26" i="37"/>
  <c r="CL26" i="37"/>
  <c r="CK26" i="37"/>
  <c r="CJ26" i="37"/>
  <c r="CI26" i="37"/>
  <c r="CH26" i="37"/>
  <c r="CG26" i="37"/>
  <c r="CF26" i="37"/>
  <c r="CE26" i="37"/>
  <c r="CD26" i="37"/>
  <c r="CC26" i="37"/>
  <c r="CB26" i="37"/>
  <c r="CA26" i="37"/>
  <c r="BZ26" i="37"/>
  <c r="BY26" i="37"/>
  <c r="BX26" i="37"/>
  <c r="BW26" i="37"/>
  <c r="BV26" i="37"/>
  <c r="BU26" i="37"/>
  <c r="BT26" i="37"/>
  <c r="BS26" i="37"/>
  <c r="BR26" i="37"/>
  <c r="BQ26" i="37"/>
  <c r="BP26" i="37"/>
  <c r="BO26" i="37"/>
  <c r="BN26" i="37"/>
  <c r="BM26" i="37"/>
  <c r="BL26" i="37"/>
  <c r="BK26" i="37"/>
  <c r="BJ26" i="37"/>
  <c r="BI26" i="37"/>
  <c r="BH26" i="37"/>
  <c r="BG26" i="37"/>
  <c r="BF26" i="37"/>
  <c r="BD26" i="37"/>
  <c r="BC26" i="37"/>
  <c r="BB26" i="37"/>
  <c r="BA26" i="37"/>
  <c r="AZ26" i="37"/>
  <c r="AY26" i="37"/>
  <c r="AX26" i="37"/>
  <c r="AW26" i="37"/>
  <c r="AV26" i="37"/>
  <c r="AU26" i="37"/>
  <c r="AT26" i="37"/>
  <c r="AS26" i="37"/>
  <c r="AR26" i="37"/>
  <c r="AQ26" i="37"/>
  <c r="AP26" i="37"/>
  <c r="AO26" i="37"/>
  <c r="AN26" i="37"/>
  <c r="AM26" i="37"/>
  <c r="AL26" i="37"/>
  <c r="AK26" i="37"/>
  <c r="AJ26" i="37"/>
  <c r="AI26" i="37"/>
  <c r="AH26" i="37"/>
  <c r="AF26" i="37"/>
  <c r="AE26" i="37"/>
  <c r="AD26" i="37"/>
  <c r="AB26" i="37"/>
  <c r="AA26" i="37"/>
  <c r="Z26" i="37"/>
  <c r="X26" i="37"/>
  <c r="W26" i="37"/>
  <c r="U26" i="37"/>
  <c r="T26" i="37"/>
  <c r="Q26" i="37"/>
  <c r="N26" i="37"/>
  <c r="M26" i="37"/>
  <c r="E26" i="37"/>
  <c r="BM24" i="37"/>
  <c r="BE24" i="37"/>
  <c r="AJ24" i="37"/>
  <c r="AJ16" i="37" s="1"/>
  <c r="AT23" i="37"/>
  <c r="AT16" i="37" s="1"/>
  <c r="Y21" i="37"/>
  <c r="I16" i="37"/>
  <c r="CT16" i="37"/>
  <c r="CS16" i="37"/>
  <c r="CR16" i="37"/>
  <c r="CQ16" i="37"/>
  <c r="CP16" i="37"/>
  <c r="CO16" i="37"/>
  <c r="CN16" i="37"/>
  <c r="CM16" i="37"/>
  <c r="CL16" i="37"/>
  <c r="CK16" i="37"/>
  <c r="CJ16" i="37"/>
  <c r="CI16" i="37"/>
  <c r="CH16" i="37"/>
  <c r="CG16" i="37"/>
  <c r="CF16" i="37"/>
  <c r="CE16" i="37"/>
  <c r="CD16" i="37"/>
  <c r="CC16" i="37"/>
  <c r="CB16" i="37"/>
  <c r="CA16" i="37"/>
  <c r="BZ16" i="37"/>
  <c r="BY16" i="37"/>
  <c r="BX16" i="37"/>
  <c r="BW16" i="37"/>
  <c r="BV16" i="37"/>
  <c r="BU16" i="37"/>
  <c r="BT16" i="37"/>
  <c r="BS16" i="37"/>
  <c r="BR16" i="37"/>
  <c r="BQ16" i="37"/>
  <c r="BP16" i="37"/>
  <c r="BO16" i="37"/>
  <c r="BN16" i="37"/>
  <c r="BM16" i="37"/>
  <c r="BL16" i="37"/>
  <c r="BK16" i="37"/>
  <c r="BJ16" i="37"/>
  <c r="BI16" i="37"/>
  <c r="BH16" i="37"/>
  <c r="BG16" i="37"/>
  <c r="BF16" i="37"/>
  <c r="BE16" i="37"/>
  <c r="BD16" i="37"/>
  <c r="BC16" i="37"/>
  <c r="BB16" i="37"/>
  <c r="BA16" i="37"/>
  <c r="AZ16" i="37"/>
  <c r="AY16" i="37"/>
  <c r="AX16" i="37"/>
  <c r="AW16" i="37"/>
  <c r="AV16" i="37"/>
  <c r="AU16" i="37"/>
  <c r="AS16" i="37"/>
  <c r="AR16" i="37"/>
  <c r="AQ16" i="37"/>
  <c r="AP16" i="37"/>
  <c r="AO16" i="37"/>
  <c r="AN16" i="37"/>
  <c r="AM16" i="37"/>
  <c r="AL16" i="37"/>
  <c r="AK16" i="37"/>
  <c r="AI16" i="37"/>
  <c r="AH16" i="37"/>
  <c r="AG16" i="37"/>
  <c r="AF16" i="37"/>
  <c r="AE16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E16" i="37"/>
  <c r="C16" i="37"/>
  <c r="C10" i="37" s="1"/>
  <c r="C2" i="37"/>
  <c r="C5" i="37" s="1"/>
  <c r="E77" i="37" s="1"/>
  <c r="F77" i="37" s="1"/>
  <c r="G77" i="37" s="1"/>
  <c r="H77" i="37" s="1"/>
  <c r="L26" i="37" l="1"/>
  <c r="C26" i="37"/>
  <c r="C11" i="37" s="1"/>
  <c r="P26" i="37"/>
  <c r="R26" i="37"/>
  <c r="J26" i="37"/>
  <c r="V26" i="37"/>
  <c r="C7" i="37"/>
  <c r="I77" i="37"/>
  <c r="J77" i="37" l="1"/>
  <c r="K77" i="37" s="1"/>
  <c r="L77" i="37" s="1"/>
  <c r="M77" i="37" s="1"/>
  <c r="N77" i="37" s="1"/>
  <c r="O77" i="37" s="1"/>
  <c r="P77" i="37" s="1"/>
  <c r="Q77" i="37" s="1"/>
  <c r="C8" i="37"/>
  <c r="R77" i="37"/>
  <c r="S77" i="37" s="1"/>
  <c r="T77" i="37" s="1"/>
  <c r="U77" i="37" s="1"/>
  <c r="V77" i="37" s="1"/>
  <c r="W77" i="37" s="1"/>
  <c r="X77" i="37" s="1"/>
  <c r="Y77" i="37" s="1"/>
  <c r="Z77" i="37" s="1"/>
  <c r="AA77" i="37" s="1"/>
  <c r="AB77" i="37" s="1"/>
  <c r="AC77" i="37" s="1"/>
  <c r="AD77" i="37" s="1"/>
  <c r="AE77" i="37" s="1"/>
  <c r="AF77" i="37" s="1"/>
  <c r="AG77" i="37" s="1"/>
  <c r="AH77" i="37" s="1"/>
  <c r="AI77" i="37" s="1"/>
  <c r="AJ77" i="37" s="1"/>
  <c r="AK77" i="37" s="1"/>
  <c r="AL77" i="37" s="1"/>
  <c r="AM77" i="37" s="1"/>
  <c r="AN77" i="37" s="1"/>
  <c r="AO77" i="37" s="1"/>
  <c r="AP77" i="37" s="1"/>
  <c r="AQ77" i="37" s="1"/>
  <c r="AR77" i="37" s="1"/>
  <c r="AS77" i="37" s="1"/>
  <c r="AT77" i="37" s="1"/>
  <c r="AU77" i="37" s="1"/>
  <c r="AV77" i="37" s="1"/>
  <c r="AW77" i="37" s="1"/>
  <c r="AX77" i="37" s="1"/>
  <c r="AY77" i="37" s="1"/>
  <c r="AZ77" i="37" s="1"/>
  <c r="BA77" i="37" s="1"/>
  <c r="BB77" i="37" s="1"/>
  <c r="BC77" i="37" s="1"/>
  <c r="BD77" i="37" s="1"/>
  <c r="BE77" i="37" s="1"/>
  <c r="BF77" i="37" s="1"/>
  <c r="BG77" i="37" s="1"/>
  <c r="BH77" i="37" s="1"/>
  <c r="BI77" i="37" s="1"/>
  <c r="BJ77" i="37" s="1"/>
  <c r="BK77" i="37" s="1"/>
  <c r="BL77" i="37" s="1"/>
  <c r="BM77" i="37" s="1"/>
  <c r="BN77" i="37" s="1"/>
  <c r="BO77" i="37" s="1"/>
  <c r="BP77" i="37" s="1"/>
  <c r="BQ77" i="37" s="1"/>
  <c r="BR77" i="37" s="1"/>
  <c r="BS77" i="37" s="1"/>
  <c r="BT77" i="37" s="1"/>
  <c r="BU77" i="37" s="1"/>
  <c r="BV77" i="37" s="1"/>
  <c r="BW77" i="37" s="1"/>
  <c r="BX77" i="37" s="1"/>
  <c r="BY77" i="37" s="1"/>
  <c r="BZ77" i="37" s="1"/>
  <c r="CA77" i="37" s="1"/>
  <c r="CB77" i="37" s="1"/>
  <c r="CC77" i="37" s="1"/>
  <c r="CD77" i="37" s="1"/>
  <c r="CE77" i="37" s="1"/>
  <c r="CF77" i="37" s="1"/>
  <c r="CG77" i="37" s="1"/>
  <c r="CH77" i="37" s="1"/>
  <c r="CI77" i="37" s="1"/>
  <c r="CJ77" i="37" s="1"/>
  <c r="CK77" i="37" s="1"/>
  <c r="CL77" i="37" s="1"/>
  <c r="CM77" i="37" s="1"/>
  <c r="CN77" i="37" s="1"/>
  <c r="CO77" i="37" s="1"/>
  <c r="CP77" i="37" s="1"/>
  <c r="CQ77" i="37" s="1"/>
  <c r="CR77" i="37" s="1"/>
  <c r="CS77" i="37" s="1"/>
  <c r="CT77" i="37" s="1"/>
  <c r="C9" i="37"/>
  <c r="AK49" i="36" l="1"/>
  <c r="J19" i="36"/>
  <c r="P38" i="36"/>
  <c r="K38" i="36"/>
  <c r="K45" i="36"/>
  <c r="E45" i="36"/>
  <c r="C2" i="36" l="1"/>
  <c r="C61" i="36"/>
  <c r="C53" i="36"/>
  <c r="C50" i="36"/>
  <c r="C45" i="36"/>
  <c r="C44" i="36"/>
  <c r="C43" i="36"/>
  <c r="C42" i="36"/>
  <c r="P73" i="36"/>
  <c r="T73" i="36"/>
  <c r="S72" i="36"/>
  <c r="P72" i="36"/>
  <c r="K65" i="36"/>
  <c r="K26" i="36" s="1"/>
  <c r="L58" i="36"/>
  <c r="M53" i="36"/>
  <c r="S53" i="36"/>
  <c r="M52" i="36"/>
  <c r="AD50" i="36"/>
  <c r="R50" i="36"/>
  <c r="R26" i="36" s="1"/>
  <c r="Q50" i="36"/>
  <c r="P50" i="36"/>
  <c r="P26" i="36" s="1"/>
  <c r="M50" i="36"/>
  <c r="L50" i="36"/>
  <c r="K50" i="36"/>
  <c r="J50" i="36"/>
  <c r="T50" i="36"/>
  <c r="S50" i="36"/>
  <c r="E26" i="36" s="1"/>
  <c r="E78" i="36" s="1"/>
  <c r="M49" i="36"/>
  <c r="AH47" i="36"/>
  <c r="AH26" i="36" s="1"/>
  <c r="T47" i="36"/>
  <c r="L45" i="36"/>
  <c r="L26" i="36" s="1"/>
  <c r="T45" i="36"/>
  <c r="J26" i="36" s="1"/>
  <c r="M45" i="36"/>
  <c r="Q44" i="36"/>
  <c r="X44" i="36"/>
  <c r="W44" i="36"/>
  <c r="S44" i="36"/>
  <c r="S43" i="36"/>
  <c r="R43" i="36"/>
  <c r="Q43" i="36"/>
  <c r="Q26" i="36" s="1"/>
  <c r="P43" i="36"/>
  <c r="W43" i="36"/>
  <c r="BF31" i="36"/>
  <c r="Z31" i="36"/>
  <c r="BF30" i="36"/>
  <c r="BF26" i="36" s="1"/>
  <c r="Z30" i="36"/>
  <c r="CU26" i="36"/>
  <c r="CT26" i="36"/>
  <c r="CS26" i="36"/>
  <c r="CR26" i="36"/>
  <c r="CQ26" i="36"/>
  <c r="CP26" i="36"/>
  <c r="CO26" i="36"/>
  <c r="CN26" i="36"/>
  <c r="CM26" i="36"/>
  <c r="CL26" i="36"/>
  <c r="CK26" i="36"/>
  <c r="CJ26" i="36"/>
  <c r="CI26" i="36"/>
  <c r="CH26" i="36"/>
  <c r="CG26" i="36"/>
  <c r="CF26" i="36"/>
  <c r="CE26" i="36"/>
  <c r="CD26" i="36"/>
  <c r="CC26" i="36"/>
  <c r="CB26" i="36"/>
  <c r="CA26" i="36"/>
  <c r="BZ26" i="36"/>
  <c r="BY26" i="36"/>
  <c r="BX26" i="36"/>
  <c r="BW26" i="36"/>
  <c r="BV26" i="36"/>
  <c r="BU26" i="36"/>
  <c r="BT26" i="36"/>
  <c r="BS26" i="36"/>
  <c r="BR26" i="36"/>
  <c r="BQ26" i="36"/>
  <c r="BP26" i="36"/>
  <c r="BO26" i="36"/>
  <c r="BN26" i="36"/>
  <c r="BM26" i="36"/>
  <c r="BL26" i="36"/>
  <c r="BK26" i="36"/>
  <c r="BJ26" i="36"/>
  <c r="BI26" i="36"/>
  <c r="BH26" i="36"/>
  <c r="BG26" i="36"/>
  <c r="BE26" i="36"/>
  <c r="BD26" i="36"/>
  <c r="BC26" i="36"/>
  <c r="BB26" i="36"/>
  <c r="BA26" i="36"/>
  <c r="AZ26" i="36"/>
  <c r="AY26" i="36"/>
  <c r="AX26" i="36"/>
  <c r="AW26" i="36"/>
  <c r="AV26" i="36"/>
  <c r="AU26" i="36"/>
  <c r="AT26" i="36"/>
  <c r="AS26" i="36"/>
  <c r="AR26" i="36"/>
  <c r="AQ26" i="36"/>
  <c r="AP26" i="36"/>
  <c r="AO26" i="36"/>
  <c r="AN26" i="36"/>
  <c r="AM26" i="36"/>
  <c r="AL26" i="36"/>
  <c r="AK26" i="36"/>
  <c r="AJ26" i="36"/>
  <c r="AI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O26" i="36"/>
  <c r="N26" i="36"/>
  <c r="M26" i="36"/>
  <c r="I26" i="36"/>
  <c r="H26" i="36"/>
  <c r="G26" i="36"/>
  <c r="C26" i="36"/>
  <c r="C11" i="36" s="1"/>
  <c r="BO24" i="36"/>
  <c r="BF24" i="36"/>
  <c r="BF16" i="36" s="1"/>
  <c r="AK24" i="36"/>
  <c r="AU23" i="36"/>
  <c r="AU16" i="36" s="1"/>
  <c r="Z21" i="36"/>
  <c r="CU16" i="36"/>
  <c r="CT16" i="36"/>
  <c r="CS16" i="36"/>
  <c r="CR16" i="36"/>
  <c r="CQ16" i="36"/>
  <c r="CP16" i="36"/>
  <c r="CO16" i="36"/>
  <c r="CN16" i="36"/>
  <c r="CM16" i="36"/>
  <c r="CL16" i="36"/>
  <c r="CK16" i="36"/>
  <c r="CJ16" i="36"/>
  <c r="CI16" i="36"/>
  <c r="CH16" i="36"/>
  <c r="CG16" i="36"/>
  <c r="CF16" i="36"/>
  <c r="CE16" i="36"/>
  <c r="CD16" i="36"/>
  <c r="CC16" i="36"/>
  <c r="CB16" i="36"/>
  <c r="CA16" i="36"/>
  <c r="BZ16" i="36"/>
  <c r="BY16" i="36"/>
  <c r="BX16" i="36"/>
  <c r="BW16" i="36"/>
  <c r="BV16" i="36"/>
  <c r="BU16" i="36"/>
  <c r="BT16" i="36"/>
  <c r="BS16" i="36"/>
  <c r="BR16" i="36"/>
  <c r="BQ16" i="36"/>
  <c r="BP16" i="36"/>
  <c r="BO16" i="36"/>
  <c r="BN16" i="36"/>
  <c r="BM16" i="36"/>
  <c r="BL16" i="36"/>
  <c r="BK16" i="36"/>
  <c r="BJ16" i="36"/>
  <c r="BI16" i="36"/>
  <c r="BH16" i="36"/>
  <c r="BG16" i="36"/>
  <c r="BE16" i="36"/>
  <c r="BD16" i="36"/>
  <c r="BC16" i="36"/>
  <c r="BB16" i="36"/>
  <c r="BA16" i="36"/>
  <c r="AZ16" i="36"/>
  <c r="AY16" i="36"/>
  <c r="AX16" i="36"/>
  <c r="AW16" i="36"/>
  <c r="AV16" i="36"/>
  <c r="AT16" i="36"/>
  <c r="AS16" i="36"/>
  <c r="AR16" i="36"/>
  <c r="AQ16" i="36"/>
  <c r="AP16" i="36"/>
  <c r="AO16" i="36"/>
  <c r="AN16" i="36"/>
  <c r="AM16" i="36"/>
  <c r="AL16" i="36"/>
  <c r="AK16" i="36"/>
  <c r="AJ16" i="36"/>
  <c r="AI16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C16" i="36"/>
  <c r="C10" i="36" s="1"/>
  <c r="C5" i="36"/>
  <c r="F26" i="36" l="1"/>
  <c r="C8" i="36" s="1"/>
  <c r="C7" i="36"/>
  <c r="G53" i="35"/>
  <c r="E53" i="35"/>
  <c r="N50" i="35"/>
  <c r="E50" i="35"/>
  <c r="M45" i="35"/>
  <c r="E45" i="35"/>
  <c r="C9" i="36" l="1"/>
  <c r="F78" i="36"/>
  <c r="G78" i="36" s="1"/>
  <c r="H78" i="36" s="1"/>
  <c r="I78" i="36" s="1"/>
  <c r="J78" i="36" s="1"/>
  <c r="K78" i="36" s="1"/>
  <c r="L78" i="36" s="1"/>
  <c r="M78" i="36" s="1"/>
  <c r="N78" i="36" s="1"/>
  <c r="O78" i="36" s="1"/>
  <c r="P78" i="36" s="1"/>
  <c r="Q78" i="36" s="1"/>
  <c r="R78" i="36" s="1"/>
  <c r="S78" i="36" s="1"/>
  <c r="T78" i="36" s="1"/>
  <c r="U78" i="36" s="1"/>
  <c r="V78" i="36" s="1"/>
  <c r="W78" i="36" s="1"/>
  <c r="X78" i="36" s="1"/>
  <c r="Y78" i="36" s="1"/>
  <c r="Z78" i="36" s="1"/>
  <c r="AA78" i="36" s="1"/>
  <c r="AB78" i="36" s="1"/>
  <c r="AC78" i="36" s="1"/>
  <c r="AD78" i="36" s="1"/>
  <c r="AE78" i="36" s="1"/>
  <c r="AF78" i="36" s="1"/>
  <c r="AG78" i="36" s="1"/>
  <c r="AH78" i="36" s="1"/>
  <c r="AI78" i="36" s="1"/>
  <c r="AJ78" i="36" s="1"/>
  <c r="AK78" i="36" s="1"/>
  <c r="AL78" i="36" s="1"/>
  <c r="AM78" i="36" s="1"/>
  <c r="AN78" i="36" s="1"/>
  <c r="AO78" i="36" s="1"/>
  <c r="AP78" i="36" s="1"/>
  <c r="AQ78" i="36" s="1"/>
  <c r="AR78" i="36" s="1"/>
  <c r="AS78" i="36" s="1"/>
  <c r="AT78" i="36" s="1"/>
  <c r="AU78" i="36" s="1"/>
  <c r="AV78" i="36" s="1"/>
  <c r="AW78" i="36" s="1"/>
  <c r="AX78" i="36" s="1"/>
  <c r="AY78" i="36" s="1"/>
  <c r="AZ78" i="36" s="1"/>
  <c r="BA78" i="36" s="1"/>
  <c r="BB78" i="36" s="1"/>
  <c r="BC78" i="36" s="1"/>
  <c r="BD78" i="36" s="1"/>
  <c r="BE78" i="36" s="1"/>
  <c r="BF78" i="36" s="1"/>
  <c r="BG78" i="36" s="1"/>
  <c r="BH78" i="36" s="1"/>
  <c r="BI78" i="36" s="1"/>
  <c r="BJ78" i="36" s="1"/>
  <c r="BK78" i="36" s="1"/>
  <c r="BL78" i="36" s="1"/>
  <c r="BM78" i="36" s="1"/>
  <c r="BN78" i="36" s="1"/>
  <c r="BO78" i="36" s="1"/>
  <c r="BP78" i="36" s="1"/>
  <c r="BQ78" i="36" s="1"/>
  <c r="BR78" i="36" s="1"/>
  <c r="BS78" i="36" s="1"/>
  <c r="BT78" i="36" s="1"/>
  <c r="BU78" i="36" s="1"/>
  <c r="BV78" i="36" s="1"/>
  <c r="BW78" i="36" s="1"/>
  <c r="BX78" i="36" s="1"/>
  <c r="BY78" i="36" s="1"/>
  <c r="BZ78" i="36" s="1"/>
  <c r="CA78" i="36" s="1"/>
  <c r="CB78" i="36" s="1"/>
  <c r="CC78" i="36" s="1"/>
  <c r="CD78" i="36" s="1"/>
  <c r="CE78" i="36" s="1"/>
  <c r="CF78" i="36" s="1"/>
  <c r="CG78" i="36" s="1"/>
  <c r="CH78" i="36" s="1"/>
  <c r="CI78" i="36" s="1"/>
  <c r="CJ78" i="36" s="1"/>
  <c r="CK78" i="36" s="1"/>
  <c r="CL78" i="36" s="1"/>
  <c r="CM78" i="36" s="1"/>
  <c r="CN78" i="36" s="1"/>
  <c r="CO78" i="36" s="1"/>
  <c r="CP78" i="36" s="1"/>
  <c r="CQ78" i="36" s="1"/>
  <c r="CR78" i="36" s="1"/>
  <c r="CS78" i="36" s="1"/>
  <c r="CT78" i="36" s="1"/>
  <c r="CU78" i="36" s="1"/>
  <c r="BP24" i="35"/>
  <c r="R44" i="35"/>
  <c r="AI47" i="35" l="1"/>
  <c r="L65" i="35"/>
  <c r="M58" i="35" l="1"/>
  <c r="C61" i="35" l="1"/>
  <c r="C53" i="35"/>
  <c r="C50" i="35"/>
  <c r="C45" i="35"/>
  <c r="C43" i="35"/>
  <c r="Q73" i="35"/>
  <c r="N73" i="35"/>
  <c r="M72" i="35"/>
  <c r="G72" i="35"/>
  <c r="N53" i="35"/>
  <c r="N52" i="35"/>
  <c r="AE50" i="35"/>
  <c r="AE26" i="35" s="1"/>
  <c r="S50" i="35"/>
  <c r="R50" i="35"/>
  <c r="Q50" i="35"/>
  <c r="M50" i="35"/>
  <c r="L50" i="35"/>
  <c r="K50" i="35"/>
  <c r="G50" i="35"/>
  <c r="F50" i="35"/>
  <c r="N49" i="35"/>
  <c r="U47" i="35"/>
  <c r="L45" i="35"/>
  <c r="K45" i="35"/>
  <c r="F45" i="35"/>
  <c r="E26" i="35"/>
  <c r="M44" i="35"/>
  <c r="M26" i="35" s="1"/>
  <c r="G44" i="35"/>
  <c r="F44" i="35"/>
  <c r="T43" i="35"/>
  <c r="T26" i="35" s="1"/>
  <c r="S43" i="35"/>
  <c r="R43" i="35"/>
  <c r="Q43" i="35"/>
  <c r="G43" i="35"/>
  <c r="F43" i="35"/>
  <c r="G42" i="35"/>
  <c r="C42" i="35"/>
  <c r="N32" i="35"/>
  <c r="BG31" i="35"/>
  <c r="AA31" i="35"/>
  <c r="BG30" i="35"/>
  <c r="AA30" i="35"/>
  <c r="CV26" i="35"/>
  <c r="CU26" i="35"/>
  <c r="CT26" i="35"/>
  <c r="CS26" i="35"/>
  <c r="CR26" i="35"/>
  <c r="CQ26" i="35"/>
  <c r="CP26" i="35"/>
  <c r="CO26" i="35"/>
  <c r="CN26" i="35"/>
  <c r="CM26" i="35"/>
  <c r="CL26" i="35"/>
  <c r="CK26" i="35"/>
  <c r="CJ26" i="35"/>
  <c r="CI26" i="35"/>
  <c r="CH26" i="35"/>
  <c r="CG26" i="35"/>
  <c r="CF26" i="35"/>
  <c r="CE26" i="35"/>
  <c r="CD26" i="35"/>
  <c r="CC26" i="35"/>
  <c r="CB26" i="35"/>
  <c r="CA26" i="35"/>
  <c r="BZ26" i="35"/>
  <c r="BY26" i="35"/>
  <c r="BX26" i="35"/>
  <c r="BW26" i="35"/>
  <c r="BV26" i="35"/>
  <c r="BU26" i="35"/>
  <c r="BT26" i="35"/>
  <c r="BS26" i="35"/>
  <c r="BR26" i="35"/>
  <c r="BQ26" i="35"/>
  <c r="BP26" i="35"/>
  <c r="BO26" i="35"/>
  <c r="BN26" i="35"/>
  <c r="BM26" i="35"/>
  <c r="BL26" i="35"/>
  <c r="BK26" i="35"/>
  <c r="BJ26" i="35"/>
  <c r="BI26" i="35"/>
  <c r="BH26" i="35"/>
  <c r="BG26" i="35"/>
  <c r="BF26" i="35"/>
  <c r="BE26" i="35"/>
  <c r="BD26" i="35"/>
  <c r="BC26" i="35"/>
  <c r="BB26" i="35"/>
  <c r="BA26" i="35"/>
  <c r="AZ26" i="35"/>
  <c r="AY26" i="35"/>
  <c r="AX26" i="35"/>
  <c r="AW26" i="35"/>
  <c r="AV26" i="35"/>
  <c r="AU26" i="35"/>
  <c r="AT26" i="35"/>
  <c r="AS26" i="35"/>
  <c r="AR26" i="35"/>
  <c r="AQ26" i="35"/>
  <c r="AP26" i="35"/>
  <c r="AO26" i="35"/>
  <c r="AN26" i="35"/>
  <c r="AM26" i="35"/>
  <c r="AL26" i="35"/>
  <c r="AK26" i="35"/>
  <c r="AJ26" i="35"/>
  <c r="AI26" i="35"/>
  <c r="AH26" i="35"/>
  <c r="AG26" i="35"/>
  <c r="AF26" i="35"/>
  <c r="AD26" i="35"/>
  <c r="AC26" i="35"/>
  <c r="AB26" i="35"/>
  <c r="AA26" i="35"/>
  <c r="Z26" i="35"/>
  <c r="Y26" i="35"/>
  <c r="X26" i="35"/>
  <c r="W26" i="35"/>
  <c r="V26" i="35"/>
  <c r="U26" i="35"/>
  <c r="S26" i="35"/>
  <c r="Q26" i="35"/>
  <c r="P26" i="35"/>
  <c r="O26" i="35"/>
  <c r="K26" i="35"/>
  <c r="J26" i="35"/>
  <c r="I26" i="35"/>
  <c r="H26" i="35"/>
  <c r="G26" i="35"/>
  <c r="C26" i="35"/>
  <c r="C11" i="35" s="1"/>
  <c r="BG24" i="35"/>
  <c r="AL24" i="35"/>
  <c r="AL16" i="35" s="1"/>
  <c r="AV23" i="35"/>
  <c r="AA21" i="35"/>
  <c r="AA16" i="35" s="1"/>
  <c r="CV16" i="35"/>
  <c r="CU16" i="35"/>
  <c r="CT16" i="35"/>
  <c r="CS16" i="35"/>
  <c r="CR16" i="35"/>
  <c r="CQ16" i="35"/>
  <c r="CP16" i="35"/>
  <c r="CO16" i="35"/>
  <c r="CN16" i="35"/>
  <c r="CM16" i="35"/>
  <c r="CL16" i="35"/>
  <c r="CK16" i="35"/>
  <c r="CJ16" i="35"/>
  <c r="CI16" i="35"/>
  <c r="CH16" i="35"/>
  <c r="CG16" i="35"/>
  <c r="CF16" i="35"/>
  <c r="CE16" i="35"/>
  <c r="CD16" i="35"/>
  <c r="CC16" i="35"/>
  <c r="CB16" i="35"/>
  <c r="CA16" i="35"/>
  <c r="BZ16" i="35"/>
  <c r="BY16" i="35"/>
  <c r="BX16" i="35"/>
  <c r="BW16" i="35"/>
  <c r="BV16" i="35"/>
  <c r="BU16" i="35"/>
  <c r="BT16" i="35"/>
  <c r="BS16" i="35"/>
  <c r="BR16" i="35"/>
  <c r="BQ16" i="35"/>
  <c r="BP16" i="35"/>
  <c r="BO16" i="35"/>
  <c r="BN16" i="35"/>
  <c r="BM16" i="35"/>
  <c r="BL16" i="35"/>
  <c r="BK16" i="35"/>
  <c r="BJ16" i="35"/>
  <c r="BI16" i="35"/>
  <c r="BH16" i="35"/>
  <c r="BG16" i="35"/>
  <c r="BF16" i="35"/>
  <c r="BE16" i="35"/>
  <c r="BD16" i="35"/>
  <c r="BC16" i="35"/>
  <c r="BB16" i="35"/>
  <c r="BA16" i="35"/>
  <c r="AZ16" i="35"/>
  <c r="AY16" i="35"/>
  <c r="AX16" i="35"/>
  <c r="AW16" i="35"/>
  <c r="AV16" i="35"/>
  <c r="AU16" i="35"/>
  <c r="AT16" i="35"/>
  <c r="AS16" i="35"/>
  <c r="AR16" i="35"/>
  <c r="AQ16" i="35"/>
  <c r="AP16" i="35"/>
  <c r="AO16" i="35"/>
  <c r="AN16" i="35"/>
  <c r="AM16" i="35"/>
  <c r="AK16" i="35"/>
  <c r="AJ16" i="35"/>
  <c r="AI16" i="35"/>
  <c r="AH16" i="35"/>
  <c r="AG16" i="35"/>
  <c r="AF16" i="35"/>
  <c r="AE16" i="35"/>
  <c r="AD16" i="35"/>
  <c r="AC16" i="35"/>
  <c r="AB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C16" i="35"/>
  <c r="C10" i="35" s="1"/>
  <c r="C5" i="35"/>
  <c r="E78" i="35" l="1"/>
  <c r="N26" i="35"/>
  <c r="R26" i="35"/>
  <c r="L26" i="35"/>
  <c r="F26" i="35"/>
  <c r="C7" i="35"/>
  <c r="F78" i="35"/>
  <c r="G78" i="35" s="1"/>
  <c r="H78" i="35" s="1"/>
  <c r="I78" i="35" s="1"/>
  <c r="J78" i="35" s="1"/>
  <c r="K78" i="35" s="1"/>
  <c r="O50" i="34"/>
  <c r="E50" i="34"/>
  <c r="E53" i="34"/>
  <c r="O53" i="34"/>
  <c r="L50" i="34"/>
  <c r="M45" i="34"/>
  <c r="E45" i="34"/>
  <c r="E43" i="34"/>
  <c r="O32" i="34"/>
  <c r="H53" i="34"/>
  <c r="H50" i="34"/>
  <c r="H44" i="34"/>
  <c r="H43" i="34"/>
  <c r="H42" i="34"/>
  <c r="L78" i="35" l="1"/>
  <c r="M78" i="35" s="1"/>
  <c r="N78" i="35" s="1"/>
  <c r="O78" i="35" s="1"/>
  <c r="P78" i="35" s="1"/>
  <c r="Q78" i="35" s="1"/>
  <c r="R78" i="35" s="1"/>
  <c r="S78" i="35" s="1"/>
  <c r="T78" i="35" s="1"/>
  <c r="U78" i="35" s="1"/>
  <c r="V78" i="35" s="1"/>
  <c r="W78" i="35" s="1"/>
  <c r="X78" i="35" s="1"/>
  <c r="Y78" i="35" s="1"/>
  <c r="Z78" i="35" s="1"/>
  <c r="AA78" i="35" s="1"/>
  <c r="AB78" i="35" s="1"/>
  <c r="AC78" i="35" s="1"/>
  <c r="AD78" i="35" s="1"/>
  <c r="AE78" i="35" s="1"/>
  <c r="AF78" i="35" s="1"/>
  <c r="AG78" i="35" s="1"/>
  <c r="AH78" i="35" s="1"/>
  <c r="AI78" i="35" s="1"/>
  <c r="AJ78" i="35" s="1"/>
  <c r="AK78" i="35" s="1"/>
  <c r="AL78" i="35" s="1"/>
  <c r="AM78" i="35" s="1"/>
  <c r="AN78" i="35" s="1"/>
  <c r="AO78" i="35" s="1"/>
  <c r="AP78" i="35" s="1"/>
  <c r="AQ78" i="35" s="1"/>
  <c r="AR78" i="35" s="1"/>
  <c r="AS78" i="35" s="1"/>
  <c r="AT78" i="35" s="1"/>
  <c r="AU78" i="35" s="1"/>
  <c r="AV78" i="35" s="1"/>
  <c r="AW78" i="35" s="1"/>
  <c r="AX78" i="35" s="1"/>
  <c r="AY78" i="35" s="1"/>
  <c r="AZ78" i="35" s="1"/>
  <c r="BA78" i="35" s="1"/>
  <c r="BB78" i="35" s="1"/>
  <c r="BC78" i="35" s="1"/>
  <c r="BD78" i="35" s="1"/>
  <c r="BE78" i="35" s="1"/>
  <c r="BF78" i="35" s="1"/>
  <c r="BG78" i="35" s="1"/>
  <c r="BH78" i="35" s="1"/>
  <c r="BI78" i="35" s="1"/>
  <c r="BJ78" i="35" s="1"/>
  <c r="BK78" i="35" s="1"/>
  <c r="BL78" i="35" s="1"/>
  <c r="BM78" i="35" s="1"/>
  <c r="BN78" i="35" s="1"/>
  <c r="BO78" i="35" s="1"/>
  <c r="BP78" i="35" s="1"/>
  <c r="BQ78" i="35" s="1"/>
  <c r="BR78" i="35" s="1"/>
  <c r="BS78" i="35" s="1"/>
  <c r="BT78" i="35" s="1"/>
  <c r="BU78" i="35" s="1"/>
  <c r="BV78" i="35" s="1"/>
  <c r="BW78" i="35" s="1"/>
  <c r="BX78" i="35" s="1"/>
  <c r="BY78" i="35" s="1"/>
  <c r="BZ78" i="35" s="1"/>
  <c r="CA78" i="35" s="1"/>
  <c r="CB78" i="35" s="1"/>
  <c r="CC78" i="35" s="1"/>
  <c r="CD78" i="35" s="1"/>
  <c r="CE78" i="35" s="1"/>
  <c r="CF78" i="35" s="1"/>
  <c r="CG78" i="35" s="1"/>
  <c r="CH78" i="35" s="1"/>
  <c r="CI78" i="35" s="1"/>
  <c r="CJ78" i="35" s="1"/>
  <c r="CK78" i="35" s="1"/>
  <c r="CL78" i="35" s="1"/>
  <c r="CM78" i="35" s="1"/>
  <c r="CN78" i="35" s="1"/>
  <c r="CO78" i="35" s="1"/>
  <c r="CP78" i="35" s="1"/>
  <c r="CQ78" i="35" s="1"/>
  <c r="CR78" i="35" s="1"/>
  <c r="CS78" i="35" s="1"/>
  <c r="CT78" i="35" s="1"/>
  <c r="CU78" i="35" s="1"/>
  <c r="CV78" i="35" s="1"/>
  <c r="C8" i="35"/>
  <c r="C9" i="35" s="1"/>
  <c r="AF50" i="34"/>
  <c r="AW23" i="34" l="1"/>
  <c r="L45" i="34" l="1"/>
  <c r="C50" i="34"/>
  <c r="C44" i="34"/>
  <c r="R72" i="34"/>
  <c r="O72" i="34"/>
  <c r="N71" i="34"/>
  <c r="E71" i="34"/>
  <c r="F60" i="34"/>
  <c r="C60" i="34"/>
  <c r="C53" i="34"/>
  <c r="O52" i="34"/>
  <c r="T50" i="34"/>
  <c r="S50" i="34"/>
  <c r="R50" i="34"/>
  <c r="N50" i="34"/>
  <c r="M50" i="34"/>
  <c r="G50" i="34"/>
  <c r="F50" i="34"/>
  <c r="O49" i="34"/>
  <c r="O26" i="34" s="1"/>
  <c r="V47" i="34"/>
  <c r="V26" i="34" s="1"/>
  <c r="G45" i="34"/>
  <c r="F45" i="34"/>
  <c r="C45" i="34"/>
  <c r="N44" i="34"/>
  <c r="G44" i="34"/>
  <c r="F44" i="34"/>
  <c r="U43" i="34"/>
  <c r="U26" i="34" s="1"/>
  <c r="T43" i="34"/>
  <c r="S43" i="34"/>
  <c r="S26" i="34" s="1"/>
  <c r="R43" i="34"/>
  <c r="G43" i="34"/>
  <c r="G26" i="34" s="1"/>
  <c r="C42" i="34"/>
  <c r="BH31" i="34"/>
  <c r="AB31" i="34"/>
  <c r="BH30" i="34"/>
  <c r="BH26" i="34" s="1"/>
  <c r="AB30" i="34"/>
  <c r="AB26" i="34" s="1"/>
  <c r="CW26" i="34"/>
  <c r="CV26" i="34"/>
  <c r="CU26" i="34"/>
  <c r="CT26" i="34"/>
  <c r="CS26" i="34"/>
  <c r="CR26" i="34"/>
  <c r="CQ26" i="34"/>
  <c r="CP26" i="34"/>
  <c r="CO26" i="34"/>
  <c r="CN26" i="34"/>
  <c r="CM26" i="34"/>
  <c r="CL26" i="34"/>
  <c r="CK26" i="34"/>
  <c r="CJ26" i="34"/>
  <c r="CI26" i="34"/>
  <c r="CH26" i="34"/>
  <c r="CG26" i="34"/>
  <c r="CF26" i="34"/>
  <c r="CE26" i="34"/>
  <c r="CD26" i="34"/>
  <c r="CC26" i="34"/>
  <c r="CB26" i="34"/>
  <c r="CA26" i="34"/>
  <c r="BZ26" i="34"/>
  <c r="BY26" i="34"/>
  <c r="BX26" i="34"/>
  <c r="BW26" i="34"/>
  <c r="BV26" i="34"/>
  <c r="BU26" i="34"/>
  <c r="BT26" i="34"/>
  <c r="BS26" i="34"/>
  <c r="BR26" i="34"/>
  <c r="BQ26" i="34"/>
  <c r="BP26" i="34"/>
  <c r="BO26" i="34"/>
  <c r="BN26" i="34"/>
  <c r="BM26" i="34"/>
  <c r="BL26" i="34"/>
  <c r="BK26" i="34"/>
  <c r="BJ26" i="34"/>
  <c r="BI26" i="34"/>
  <c r="BG26" i="34"/>
  <c r="BF26" i="34"/>
  <c r="BE26" i="34"/>
  <c r="BD26" i="34"/>
  <c r="BC26" i="34"/>
  <c r="BB26" i="34"/>
  <c r="BA26" i="34"/>
  <c r="AZ26" i="34"/>
  <c r="AY26" i="34"/>
  <c r="AX26" i="34"/>
  <c r="AW26" i="34"/>
  <c r="AV26" i="34"/>
  <c r="AU26" i="34"/>
  <c r="AT26" i="34"/>
  <c r="AS26" i="34"/>
  <c r="AR26" i="34"/>
  <c r="AQ26" i="34"/>
  <c r="AP26" i="34"/>
  <c r="AO26" i="34"/>
  <c r="AN26" i="34"/>
  <c r="AM26" i="34"/>
  <c r="AL26" i="34"/>
  <c r="AK26" i="34"/>
  <c r="AJ26" i="34"/>
  <c r="AI26" i="34"/>
  <c r="AH26" i="34"/>
  <c r="AG26" i="34"/>
  <c r="AF26" i="34"/>
  <c r="AE26" i="34"/>
  <c r="AD26" i="34"/>
  <c r="AC26" i="34"/>
  <c r="AA26" i="34"/>
  <c r="Z26" i="34"/>
  <c r="Y26" i="34"/>
  <c r="X26" i="34"/>
  <c r="W26" i="34"/>
  <c r="Q26" i="34"/>
  <c r="P26" i="34"/>
  <c r="M26" i="34"/>
  <c r="L26" i="34"/>
  <c r="K26" i="34"/>
  <c r="J26" i="34"/>
  <c r="I26" i="34"/>
  <c r="BH24" i="34"/>
  <c r="AM24" i="34"/>
  <c r="AM16" i="34" s="1"/>
  <c r="AB21" i="34"/>
  <c r="AB16" i="34" s="1"/>
  <c r="CW16" i="34"/>
  <c r="CV16" i="34"/>
  <c r="CU16" i="34"/>
  <c r="CT16" i="34"/>
  <c r="CS16" i="34"/>
  <c r="CR16" i="34"/>
  <c r="CQ16" i="34"/>
  <c r="CP16" i="34"/>
  <c r="CO16" i="34"/>
  <c r="CN16" i="34"/>
  <c r="CM16" i="34"/>
  <c r="CL16" i="34"/>
  <c r="CK16" i="34"/>
  <c r="CJ16" i="34"/>
  <c r="CI16" i="34"/>
  <c r="CH16" i="34"/>
  <c r="CG16" i="34"/>
  <c r="CF16" i="34"/>
  <c r="CE16" i="34"/>
  <c r="CD16" i="34"/>
  <c r="CC16" i="34"/>
  <c r="CB16" i="34"/>
  <c r="CA16" i="34"/>
  <c r="BZ16" i="34"/>
  <c r="BY16" i="34"/>
  <c r="BX16" i="34"/>
  <c r="BW16" i="34"/>
  <c r="BV16" i="34"/>
  <c r="BU16" i="34"/>
  <c r="BT16" i="34"/>
  <c r="BS16" i="34"/>
  <c r="BR16" i="34"/>
  <c r="BQ16" i="34"/>
  <c r="BP16" i="34"/>
  <c r="BO16" i="34"/>
  <c r="BN16" i="34"/>
  <c r="BM16" i="34"/>
  <c r="BL16" i="34"/>
  <c r="BK16" i="34"/>
  <c r="BJ16" i="34"/>
  <c r="BI16" i="34"/>
  <c r="BH16" i="34"/>
  <c r="BG16" i="34"/>
  <c r="BF16" i="34"/>
  <c r="BE16" i="34"/>
  <c r="BD16" i="34"/>
  <c r="BC16" i="34"/>
  <c r="BB16" i="34"/>
  <c r="BA16" i="34"/>
  <c r="AZ16" i="34"/>
  <c r="AY16" i="34"/>
  <c r="AX16" i="34"/>
  <c r="AW16" i="34"/>
  <c r="AV16" i="34"/>
  <c r="AU16" i="34"/>
  <c r="AT16" i="34"/>
  <c r="AS16" i="34"/>
  <c r="AR16" i="34"/>
  <c r="AQ16" i="34"/>
  <c r="AP16" i="34"/>
  <c r="AO16" i="34"/>
  <c r="AN16" i="34"/>
  <c r="AL16" i="34"/>
  <c r="AK16" i="34"/>
  <c r="AJ16" i="34"/>
  <c r="AI16" i="34"/>
  <c r="AH16" i="34"/>
  <c r="AG16" i="34"/>
  <c r="AF16" i="34"/>
  <c r="AE16" i="34"/>
  <c r="AD16" i="34"/>
  <c r="AC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C16" i="34"/>
  <c r="C10" i="34" s="1"/>
  <c r="C5" i="34"/>
  <c r="E26" i="34" l="1"/>
  <c r="E77" i="34" s="1"/>
  <c r="F77" i="34" s="1"/>
  <c r="G77" i="34" s="1"/>
  <c r="F26" i="34"/>
  <c r="N26" i="34"/>
  <c r="R26" i="34"/>
  <c r="T26" i="34"/>
  <c r="C26" i="34"/>
  <c r="C11" i="34" s="1"/>
  <c r="H26" i="34"/>
  <c r="C7" i="34"/>
  <c r="CF16" i="33"/>
  <c r="CG16" i="33"/>
  <c r="CH16" i="33"/>
  <c r="CI16" i="33"/>
  <c r="CJ16" i="33"/>
  <c r="CK16" i="33"/>
  <c r="CL16" i="33"/>
  <c r="CM16" i="33"/>
  <c r="CN16" i="33"/>
  <c r="CO16" i="33"/>
  <c r="CP16" i="33"/>
  <c r="CQ16" i="33"/>
  <c r="CR16" i="33"/>
  <c r="CS16" i="33"/>
  <c r="CT16" i="33"/>
  <c r="CU16" i="33"/>
  <c r="CV16" i="33"/>
  <c r="CW16" i="33"/>
  <c r="CX16" i="33"/>
  <c r="CY16" i="33"/>
  <c r="CZ16" i="33"/>
  <c r="DA16" i="33"/>
  <c r="DB16" i="33"/>
  <c r="CF26" i="33"/>
  <c r="CG26" i="33"/>
  <c r="CH26" i="33"/>
  <c r="CI26" i="33"/>
  <c r="CJ26" i="33"/>
  <c r="CK26" i="33"/>
  <c r="CL26" i="33"/>
  <c r="CM26" i="33"/>
  <c r="CN26" i="33"/>
  <c r="CO26" i="33"/>
  <c r="CP26" i="33"/>
  <c r="CQ26" i="33"/>
  <c r="CR26" i="33"/>
  <c r="CS26" i="33"/>
  <c r="CT26" i="33"/>
  <c r="CU26" i="33"/>
  <c r="CV26" i="33"/>
  <c r="CW26" i="33"/>
  <c r="CX26" i="33"/>
  <c r="CY26" i="33"/>
  <c r="CZ26" i="33"/>
  <c r="DA26" i="33"/>
  <c r="DB26" i="33"/>
  <c r="C8" i="34" l="1"/>
  <c r="H77" i="34"/>
  <c r="I77" i="34" s="1"/>
  <c r="J77" i="34" s="1"/>
  <c r="K77" i="34" s="1"/>
  <c r="L77" i="34" s="1"/>
  <c r="M77" i="34" s="1"/>
  <c r="N77" i="34" s="1"/>
  <c r="O77" i="34" s="1"/>
  <c r="P77" i="34" s="1"/>
  <c r="Q77" i="34" s="1"/>
  <c r="R77" i="34" s="1"/>
  <c r="S77" i="34" s="1"/>
  <c r="T77" i="34" s="1"/>
  <c r="U77" i="34" s="1"/>
  <c r="V77" i="34" s="1"/>
  <c r="W77" i="34" s="1"/>
  <c r="X77" i="34" s="1"/>
  <c r="Y77" i="34" s="1"/>
  <c r="Z77" i="34" s="1"/>
  <c r="AA77" i="34" s="1"/>
  <c r="AB77" i="34" s="1"/>
  <c r="AC77" i="34" s="1"/>
  <c r="AD77" i="34" s="1"/>
  <c r="AE77" i="34" s="1"/>
  <c r="AF77" i="34" s="1"/>
  <c r="AG77" i="34" s="1"/>
  <c r="AH77" i="34" s="1"/>
  <c r="AI77" i="34" s="1"/>
  <c r="AJ77" i="34" s="1"/>
  <c r="AK77" i="34" s="1"/>
  <c r="AL77" i="34" s="1"/>
  <c r="AM77" i="34" s="1"/>
  <c r="AN77" i="34" s="1"/>
  <c r="AO77" i="34" s="1"/>
  <c r="AP77" i="34" s="1"/>
  <c r="AQ77" i="34" s="1"/>
  <c r="AR77" i="34" s="1"/>
  <c r="AS77" i="34" s="1"/>
  <c r="AT77" i="34" s="1"/>
  <c r="AU77" i="34" s="1"/>
  <c r="AV77" i="34" s="1"/>
  <c r="AW77" i="34" s="1"/>
  <c r="AX77" i="34" s="1"/>
  <c r="AY77" i="34" s="1"/>
  <c r="AZ77" i="34" s="1"/>
  <c r="BA77" i="34" s="1"/>
  <c r="BB77" i="34" s="1"/>
  <c r="BC77" i="34" s="1"/>
  <c r="BD77" i="34" s="1"/>
  <c r="BE77" i="34" s="1"/>
  <c r="BF77" i="34" s="1"/>
  <c r="BG77" i="34" s="1"/>
  <c r="BH77" i="34" s="1"/>
  <c r="BI77" i="34" s="1"/>
  <c r="BJ77" i="34" s="1"/>
  <c r="BK77" i="34" s="1"/>
  <c r="BL77" i="34" s="1"/>
  <c r="BM77" i="34" s="1"/>
  <c r="BN77" i="34" s="1"/>
  <c r="BO77" i="34" s="1"/>
  <c r="BP77" i="34" s="1"/>
  <c r="BQ77" i="34" s="1"/>
  <c r="BR77" i="34" s="1"/>
  <c r="BS77" i="34" s="1"/>
  <c r="BT77" i="34" s="1"/>
  <c r="BU77" i="34" s="1"/>
  <c r="BV77" i="34" s="1"/>
  <c r="BW77" i="34" s="1"/>
  <c r="BX77" i="34" s="1"/>
  <c r="BY77" i="34" s="1"/>
  <c r="BZ77" i="34" s="1"/>
  <c r="CA77" i="34" s="1"/>
  <c r="CB77" i="34" s="1"/>
  <c r="CC77" i="34" s="1"/>
  <c r="CD77" i="34" s="1"/>
  <c r="CE77" i="34" s="1"/>
  <c r="CF77" i="34" s="1"/>
  <c r="CG77" i="34" s="1"/>
  <c r="CH77" i="34" s="1"/>
  <c r="CI77" i="34" s="1"/>
  <c r="CJ77" i="34" s="1"/>
  <c r="CK77" i="34" s="1"/>
  <c r="CL77" i="34" s="1"/>
  <c r="CM77" i="34" s="1"/>
  <c r="CN77" i="34" s="1"/>
  <c r="CO77" i="34" s="1"/>
  <c r="CP77" i="34" s="1"/>
  <c r="CQ77" i="34" s="1"/>
  <c r="CR77" i="34" s="1"/>
  <c r="CS77" i="34" s="1"/>
  <c r="CT77" i="34" s="1"/>
  <c r="CU77" i="34" s="1"/>
  <c r="CV77" i="34" s="1"/>
  <c r="CW77" i="34" s="1"/>
  <c r="C9" i="34"/>
  <c r="BM24" i="33"/>
  <c r="C59" i="33" l="1"/>
  <c r="C53" i="33"/>
  <c r="C43" i="33"/>
  <c r="C42" i="33"/>
  <c r="W68" i="33"/>
  <c r="T68" i="33"/>
  <c r="L67" i="33"/>
  <c r="J67" i="33"/>
  <c r="M62" i="33"/>
  <c r="K59" i="33"/>
  <c r="AH26" i="33"/>
  <c r="AF26" i="33"/>
  <c r="AD26" i="33"/>
  <c r="Z26" i="33"/>
  <c r="M53" i="33"/>
  <c r="J53" i="33"/>
  <c r="I53" i="33"/>
  <c r="I26" i="33" s="1"/>
  <c r="T52" i="33"/>
  <c r="Y50" i="33"/>
  <c r="Y26" i="33" s="1"/>
  <c r="X50" i="33"/>
  <c r="X26" i="33" s="1"/>
  <c r="W50" i="33"/>
  <c r="W26" i="33" s="1"/>
  <c r="T50" i="33"/>
  <c r="S50" i="33"/>
  <c r="R50" i="33"/>
  <c r="Z50" i="33"/>
  <c r="M50" i="33"/>
  <c r="L50" i="33"/>
  <c r="K50" i="33"/>
  <c r="J50" i="33"/>
  <c r="I50" i="33"/>
  <c r="E50" i="33"/>
  <c r="E26" i="33" s="1"/>
  <c r="C50" i="33"/>
  <c r="T49" i="33"/>
  <c r="AA47" i="33"/>
  <c r="L45" i="33"/>
  <c r="K45" i="33"/>
  <c r="J45" i="33"/>
  <c r="J26" i="33" s="1"/>
  <c r="C45" i="33"/>
  <c r="S44" i="33"/>
  <c r="L44" i="33"/>
  <c r="K44" i="33"/>
  <c r="K26" i="33" s="1"/>
  <c r="J44" i="33"/>
  <c r="I44" i="33"/>
  <c r="Z43" i="33"/>
  <c r="Y43" i="33"/>
  <c r="S26" i="33" s="1"/>
  <c r="X43" i="33"/>
  <c r="R26" i="33" s="1"/>
  <c r="W43" i="33"/>
  <c r="L43" i="33"/>
  <c r="M42" i="33"/>
  <c r="BM31" i="33"/>
  <c r="AG31" i="33"/>
  <c r="BM30" i="33"/>
  <c r="AG30" i="33"/>
  <c r="CE26" i="33"/>
  <c r="CD26" i="33"/>
  <c r="CC26" i="33"/>
  <c r="CB26" i="33"/>
  <c r="CA26" i="33"/>
  <c r="BZ26" i="33"/>
  <c r="BY26" i="33"/>
  <c r="BX26" i="33"/>
  <c r="BW26" i="33"/>
  <c r="BV26" i="33"/>
  <c r="BU26" i="33"/>
  <c r="BT26" i="33"/>
  <c r="BS26" i="33"/>
  <c r="BR26" i="33"/>
  <c r="BQ26" i="33"/>
  <c r="BP26" i="33"/>
  <c r="BO26" i="33"/>
  <c r="BN26" i="33"/>
  <c r="BM26" i="33"/>
  <c r="BL26" i="33"/>
  <c r="BK26" i="33"/>
  <c r="BJ26" i="33"/>
  <c r="BI26" i="33"/>
  <c r="BH26" i="33"/>
  <c r="BG26" i="33"/>
  <c r="BF26" i="33"/>
  <c r="BE26" i="33"/>
  <c r="BD26" i="33"/>
  <c r="BC26" i="33"/>
  <c r="BB26" i="33"/>
  <c r="BA26" i="33"/>
  <c r="AZ26" i="33"/>
  <c r="AY26" i="33"/>
  <c r="AX26" i="33"/>
  <c r="AW26" i="33"/>
  <c r="AV26" i="33"/>
  <c r="AU26" i="33"/>
  <c r="AT26" i="33"/>
  <c r="AS26" i="33"/>
  <c r="AR26" i="33"/>
  <c r="AQ26" i="33"/>
  <c r="AP26" i="33"/>
  <c r="AO26" i="33"/>
  <c r="AN26" i="33"/>
  <c r="AM26" i="33"/>
  <c r="AL26" i="33"/>
  <c r="AK26" i="33"/>
  <c r="AJ26" i="33"/>
  <c r="AI26" i="33"/>
  <c r="AG26" i="33"/>
  <c r="AE26" i="33"/>
  <c r="AC26" i="33"/>
  <c r="AB26" i="33"/>
  <c r="AA26" i="33"/>
  <c r="V26" i="33"/>
  <c r="U26" i="33"/>
  <c r="Q26" i="33"/>
  <c r="P26" i="33"/>
  <c r="O26" i="33"/>
  <c r="N26" i="33"/>
  <c r="M26" i="33"/>
  <c r="H26" i="33"/>
  <c r="G26" i="33"/>
  <c r="F26" i="33"/>
  <c r="AR24" i="33"/>
  <c r="P16" i="33" s="1"/>
  <c r="AM23" i="33"/>
  <c r="AG21" i="33"/>
  <c r="AG16" i="33" s="1"/>
  <c r="CE16" i="33"/>
  <c r="CD16" i="33"/>
  <c r="CC16" i="33"/>
  <c r="CB16" i="33"/>
  <c r="CA16" i="33"/>
  <c r="BZ16" i="33"/>
  <c r="BY16" i="33"/>
  <c r="BX16" i="33"/>
  <c r="BW16" i="33"/>
  <c r="BV16" i="33"/>
  <c r="BU16" i="33"/>
  <c r="BT16" i="33"/>
  <c r="BS16" i="33"/>
  <c r="BR16" i="33"/>
  <c r="BQ16" i="33"/>
  <c r="BP16" i="33"/>
  <c r="BO16" i="33"/>
  <c r="BN16" i="33"/>
  <c r="BM16" i="33"/>
  <c r="BL16" i="33"/>
  <c r="BK16" i="33"/>
  <c r="BJ16" i="33"/>
  <c r="BI16" i="33"/>
  <c r="BH16" i="33"/>
  <c r="BG16" i="33"/>
  <c r="BF16" i="33"/>
  <c r="BE16" i="33"/>
  <c r="BD16" i="33"/>
  <c r="BC16" i="33"/>
  <c r="BB16" i="33"/>
  <c r="BA16" i="33"/>
  <c r="AZ16" i="33"/>
  <c r="AY16" i="33"/>
  <c r="AX16" i="33"/>
  <c r="AW16" i="33"/>
  <c r="AV16" i="33"/>
  <c r="AU16" i="33"/>
  <c r="AT16" i="33"/>
  <c r="AS16" i="33"/>
  <c r="AR16" i="33"/>
  <c r="AQ16" i="33"/>
  <c r="AP16" i="33"/>
  <c r="AO16" i="33"/>
  <c r="AN16" i="33"/>
  <c r="AM16" i="33"/>
  <c r="AL16" i="33"/>
  <c r="AK16" i="33"/>
  <c r="AJ16" i="33"/>
  <c r="AI16" i="33"/>
  <c r="AH16" i="33"/>
  <c r="AF16" i="33"/>
  <c r="AE16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O16" i="33"/>
  <c r="N16" i="33"/>
  <c r="M16" i="33"/>
  <c r="L16" i="33"/>
  <c r="K16" i="33"/>
  <c r="J16" i="33"/>
  <c r="I16" i="33"/>
  <c r="H16" i="33"/>
  <c r="G16" i="33"/>
  <c r="F16" i="33"/>
  <c r="E16" i="33"/>
  <c r="C16" i="33"/>
  <c r="C10" i="33" s="1"/>
  <c r="C5" i="33"/>
  <c r="E73" i="33" l="1"/>
  <c r="F73" i="33" s="1"/>
  <c r="G73" i="33" s="1"/>
  <c r="H73" i="33" s="1"/>
  <c r="I73" i="33" s="1"/>
  <c r="J73" i="33" s="1"/>
  <c r="K73" i="33" s="1"/>
  <c r="C26" i="33"/>
  <c r="C11" i="33" s="1"/>
  <c r="L26" i="33"/>
  <c r="C7" i="33"/>
  <c r="T26" i="33"/>
  <c r="C8" i="33" s="1"/>
  <c r="N50" i="32"/>
  <c r="N42" i="32"/>
  <c r="F50" i="32"/>
  <c r="T44" i="32"/>
  <c r="K66" i="32"/>
  <c r="L73" i="33" l="1"/>
  <c r="M73" i="33" s="1"/>
  <c r="N73" i="33" s="1"/>
  <c r="O73" i="33" s="1"/>
  <c r="P73" i="33" s="1"/>
  <c r="Q73" i="33" s="1"/>
  <c r="R73" i="33" s="1"/>
  <c r="S73" i="33" s="1"/>
  <c r="T73" i="33" s="1"/>
  <c r="U73" i="33" s="1"/>
  <c r="V73" i="33" s="1"/>
  <c r="W73" i="33" s="1"/>
  <c r="X73" i="33" s="1"/>
  <c r="Y73" i="33" s="1"/>
  <c r="Z73" i="33" s="1"/>
  <c r="AA73" i="33" s="1"/>
  <c r="AB73" i="33" s="1"/>
  <c r="AC73" i="33" s="1"/>
  <c r="AD73" i="33" s="1"/>
  <c r="AE73" i="33" s="1"/>
  <c r="AF73" i="33" s="1"/>
  <c r="AG73" i="33" s="1"/>
  <c r="AH73" i="33" s="1"/>
  <c r="AI73" i="33" s="1"/>
  <c r="AJ73" i="33" s="1"/>
  <c r="AK73" i="33" s="1"/>
  <c r="AL73" i="33" s="1"/>
  <c r="AM73" i="33" s="1"/>
  <c r="AN73" i="33" s="1"/>
  <c r="AO73" i="33" s="1"/>
  <c r="AP73" i="33" s="1"/>
  <c r="AQ73" i="33" s="1"/>
  <c r="AR73" i="33" s="1"/>
  <c r="AS73" i="33" s="1"/>
  <c r="AT73" i="33" s="1"/>
  <c r="AU73" i="33" s="1"/>
  <c r="AV73" i="33" s="1"/>
  <c r="AW73" i="33" s="1"/>
  <c r="AX73" i="33" s="1"/>
  <c r="AY73" i="33" s="1"/>
  <c r="AZ73" i="33" s="1"/>
  <c r="BA73" i="33" s="1"/>
  <c r="BB73" i="33" s="1"/>
  <c r="BC73" i="33" s="1"/>
  <c r="BD73" i="33" s="1"/>
  <c r="BE73" i="33" s="1"/>
  <c r="BF73" i="33" s="1"/>
  <c r="BG73" i="33" s="1"/>
  <c r="BH73" i="33" s="1"/>
  <c r="BI73" i="33" s="1"/>
  <c r="BJ73" i="33" s="1"/>
  <c r="BK73" i="33" s="1"/>
  <c r="BL73" i="33" s="1"/>
  <c r="BM73" i="33" s="1"/>
  <c r="BN73" i="33" s="1"/>
  <c r="BO73" i="33" s="1"/>
  <c r="BP73" i="33" s="1"/>
  <c r="BQ73" i="33" s="1"/>
  <c r="BR73" i="33" s="1"/>
  <c r="BS73" i="33" s="1"/>
  <c r="BT73" i="33" s="1"/>
  <c r="BU73" i="33" s="1"/>
  <c r="BV73" i="33" s="1"/>
  <c r="BW73" i="33" s="1"/>
  <c r="BX73" i="33" s="1"/>
  <c r="BY73" i="33" s="1"/>
  <c r="BZ73" i="33" s="1"/>
  <c r="CA73" i="33" s="1"/>
  <c r="CB73" i="33" s="1"/>
  <c r="CC73" i="33" s="1"/>
  <c r="CD73" i="33" s="1"/>
  <c r="CE73" i="33" s="1"/>
  <c r="CF73" i="33" s="1"/>
  <c r="CG73" i="33" s="1"/>
  <c r="CH73" i="33" s="1"/>
  <c r="CI73" i="33" s="1"/>
  <c r="CJ73" i="33" s="1"/>
  <c r="CK73" i="33" s="1"/>
  <c r="CL73" i="33" s="1"/>
  <c r="CM73" i="33" s="1"/>
  <c r="CN73" i="33" s="1"/>
  <c r="CO73" i="33" s="1"/>
  <c r="CP73" i="33" s="1"/>
  <c r="CQ73" i="33" s="1"/>
  <c r="CR73" i="33" s="1"/>
  <c r="CS73" i="33" s="1"/>
  <c r="CT73" i="33" s="1"/>
  <c r="CU73" i="33" s="1"/>
  <c r="CV73" i="33" s="1"/>
  <c r="CW73" i="33" s="1"/>
  <c r="CX73" i="33" s="1"/>
  <c r="CY73" i="33" s="1"/>
  <c r="CZ73" i="33" s="1"/>
  <c r="DA73" i="33" s="1"/>
  <c r="DB73" i="33" s="1"/>
  <c r="C9" i="33"/>
  <c r="N53" i="32"/>
  <c r="E53" i="32"/>
  <c r="AN23" i="32" l="1"/>
  <c r="BN31" i="32" l="1"/>
  <c r="BN30" i="32"/>
  <c r="AL16" i="32"/>
  <c r="AM16" i="32"/>
  <c r="AN16" i="32"/>
  <c r="AO16" i="32"/>
  <c r="AP16" i="32"/>
  <c r="AQ16" i="32"/>
  <c r="AR16" i="32"/>
  <c r="AS16" i="32"/>
  <c r="AT16" i="32"/>
  <c r="AU16" i="32"/>
  <c r="AV16" i="32"/>
  <c r="AW16" i="32"/>
  <c r="AX16" i="32"/>
  <c r="AY16" i="32"/>
  <c r="AZ16" i="32"/>
  <c r="BA16" i="32"/>
  <c r="BB16" i="32"/>
  <c r="BC16" i="32"/>
  <c r="BD16" i="32"/>
  <c r="BE16" i="32"/>
  <c r="BF16" i="32"/>
  <c r="BG16" i="32"/>
  <c r="BH16" i="32"/>
  <c r="BI16" i="32"/>
  <c r="BJ16" i="32"/>
  <c r="BK16" i="32"/>
  <c r="BL16" i="32"/>
  <c r="BM16" i="32"/>
  <c r="BN16" i="32"/>
  <c r="BO16" i="32"/>
  <c r="BP16" i="32"/>
  <c r="BQ16" i="32"/>
  <c r="BR16" i="32"/>
  <c r="BS16" i="32"/>
  <c r="BT16" i="32"/>
  <c r="BU16" i="32"/>
  <c r="BV16" i="32"/>
  <c r="BW16" i="32"/>
  <c r="BX16" i="32"/>
  <c r="BY16" i="32"/>
  <c r="BZ16" i="32"/>
  <c r="CA16" i="32"/>
  <c r="CB16" i="32"/>
  <c r="CC16" i="32"/>
  <c r="CD16" i="32"/>
  <c r="CE16" i="32"/>
  <c r="CF16" i="32"/>
  <c r="AL26" i="32"/>
  <c r="AM26" i="32"/>
  <c r="AN26" i="32"/>
  <c r="AO26" i="32"/>
  <c r="AP26" i="32"/>
  <c r="AQ26" i="32"/>
  <c r="AR26" i="32"/>
  <c r="AS26" i="32"/>
  <c r="AT26" i="32"/>
  <c r="AU26" i="32"/>
  <c r="AV26" i="32"/>
  <c r="AW26" i="32"/>
  <c r="AX26" i="32"/>
  <c r="AY26" i="32"/>
  <c r="AZ26" i="32"/>
  <c r="BA26" i="32"/>
  <c r="BB26" i="32"/>
  <c r="BC26" i="32"/>
  <c r="BD26" i="32"/>
  <c r="BE26" i="32"/>
  <c r="BF26" i="32"/>
  <c r="BG26" i="32"/>
  <c r="BH26" i="32"/>
  <c r="BI26" i="32"/>
  <c r="BJ26" i="32"/>
  <c r="BK26" i="32"/>
  <c r="BL26" i="32"/>
  <c r="BM26" i="32"/>
  <c r="BN26" i="32"/>
  <c r="BO26" i="32"/>
  <c r="BP26" i="32"/>
  <c r="BQ26" i="32"/>
  <c r="BR26" i="32"/>
  <c r="BS26" i="32"/>
  <c r="BT26" i="32"/>
  <c r="BU26" i="32"/>
  <c r="BV26" i="32"/>
  <c r="BW26" i="32"/>
  <c r="BX26" i="32"/>
  <c r="BY26" i="32"/>
  <c r="BZ26" i="32"/>
  <c r="CA26" i="32"/>
  <c r="CB26" i="32"/>
  <c r="CC26" i="32"/>
  <c r="CD26" i="32"/>
  <c r="CE26" i="32"/>
  <c r="CF26" i="32"/>
  <c r="T67" i="32"/>
  <c r="Q67" i="32"/>
  <c r="M66" i="32"/>
  <c r="N61" i="32"/>
  <c r="M58" i="32"/>
  <c r="L58" i="32"/>
  <c r="C58" i="32"/>
  <c r="AI55" i="32"/>
  <c r="AH55" i="32"/>
  <c r="AG55" i="32"/>
  <c r="AF55" i="32"/>
  <c r="AF26" i="32" s="1"/>
  <c r="AE55" i="32"/>
  <c r="AB55" i="32"/>
  <c r="AA55" i="32"/>
  <c r="Z55" i="32"/>
  <c r="Y55" i="32"/>
  <c r="X55" i="32"/>
  <c r="U55" i="32"/>
  <c r="T55" i="32"/>
  <c r="S55" i="32"/>
  <c r="R55" i="32"/>
  <c r="M55" i="32"/>
  <c r="L55" i="32"/>
  <c r="K55" i="32"/>
  <c r="J55" i="32"/>
  <c r="J53" i="32"/>
  <c r="K53" i="32"/>
  <c r="C53" i="32"/>
  <c r="U52" i="32"/>
  <c r="Z50" i="32"/>
  <c r="Z26" i="32" s="1"/>
  <c r="Y50" i="32"/>
  <c r="X50" i="32"/>
  <c r="X26" i="32" s="1"/>
  <c r="U50" i="32"/>
  <c r="T50" i="32"/>
  <c r="S50" i="32"/>
  <c r="R50" i="32"/>
  <c r="R26" i="32" s="1"/>
  <c r="M50" i="32"/>
  <c r="L50" i="32"/>
  <c r="K50" i="32"/>
  <c r="J50" i="32"/>
  <c r="C50" i="32"/>
  <c r="N49" i="32"/>
  <c r="N26" i="32" s="1"/>
  <c r="AB47" i="32"/>
  <c r="M45" i="32"/>
  <c r="L45" i="32"/>
  <c r="K45" i="32"/>
  <c r="C45" i="32"/>
  <c r="M44" i="32"/>
  <c r="L44" i="32"/>
  <c r="K44" i="32"/>
  <c r="J44" i="32"/>
  <c r="C44" i="32"/>
  <c r="U43" i="32"/>
  <c r="T43" i="32"/>
  <c r="S43" i="32"/>
  <c r="R43" i="32"/>
  <c r="M43" i="32"/>
  <c r="C43" i="32"/>
  <c r="C42" i="32"/>
  <c r="AH31" i="32"/>
  <c r="AH30" i="32"/>
  <c r="AK26" i="32"/>
  <c r="AJ26" i="32"/>
  <c r="AI26" i="32"/>
  <c r="AG26" i="32"/>
  <c r="AE26" i="32"/>
  <c r="AD26" i="32"/>
  <c r="AC26" i="32"/>
  <c r="AA26" i="32"/>
  <c r="Y26" i="32"/>
  <c r="W26" i="32"/>
  <c r="V26" i="32"/>
  <c r="Q26" i="32"/>
  <c r="P26" i="32"/>
  <c r="O26" i="32"/>
  <c r="I26" i="32"/>
  <c r="H26" i="32"/>
  <c r="G26" i="32"/>
  <c r="AI24" i="32"/>
  <c r="AI16" i="32" s="1"/>
  <c r="Q24" i="32"/>
  <c r="AH21" i="32"/>
  <c r="AH16" i="32" s="1"/>
  <c r="AK16" i="32"/>
  <c r="AJ16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C16" i="32"/>
  <c r="C10" i="32" s="1"/>
  <c r="C5" i="32"/>
  <c r="AH26" i="32" l="1"/>
  <c r="J26" i="32"/>
  <c r="AB26" i="32"/>
  <c r="F26" i="32"/>
  <c r="C26" i="32"/>
  <c r="C11" i="32" s="1"/>
  <c r="M26" i="32"/>
  <c r="S26" i="32"/>
  <c r="U26" i="32"/>
  <c r="E26" i="32"/>
  <c r="E72" i="32" s="1"/>
  <c r="K26" i="32"/>
  <c r="L26" i="32"/>
  <c r="T26" i="32"/>
  <c r="C7" i="32"/>
  <c r="E30" i="31"/>
  <c r="C8" i="32" l="1"/>
  <c r="C9" i="32" s="1"/>
  <c r="F72" i="32"/>
  <c r="G72" i="32" s="1"/>
  <c r="H72" i="32" s="1"/>
  <c r="I72" i="32" s="1"/>
  <c r="J72" i="32" s="1"/>
  <c r="K72" i="32" s="1"/>
  <c r="L72" i="32" s="1"/>
  <c r="M72" i="32" s="1"/>
  <c r="N72" i="32" s="1"/>
  <c r="O72" i="32" s="1"/>
  <c r="P72" i="32" s="1"/>
  <c r="Q72" i="32" s="1"/>
  <c r="R72" i="32" s="1"/>
  <c r="S72" i="32" s="1"/>
  <c r="T72" i="32" s="1"/>
  <c r="U72" i="32" s="1"/>
  <c r="V72" i="32" s="1"/>
  <c r="W72" i="32" s="1"/>
  <c r="X72" i="32" s="1"/>
  <c r="Y72" i="32" s="1"/>
  <c r="Z72" i="32" s="1"/>
  <c r="AA72" i="32" s="1"/>
  <c r="AB72" i="32" s="1"/>
  <c r="AC72" i="32" s="1"/>
  <c r="AD72" i="32" s="1"/>
  <c r="AE72" i="32" s="1"/>
  <c r="AF72" i="32" s="1"/>
  <c r="AG72" i="32" s="1"/>
  <c r="AH72" i="32" s="1"/>
  <c r="AI72" i="32" s="1"/>
  <c r="AJ72" i="32" s="1"/>
  <c r="AK72" i="32" s="1"/>
  <c r="AL72" i="32" s="1"/>
  <c r="AM72" i="32" s="1"/>
  <c r="AN72" i="32" s="1"/>
  <c r="AO72" i="32" s="1"/>
  <c r="AP72" i="32" s="1"/>
  <c r="AQ72" i="32" s="1"/>
  <c r="AR72" i="32" s="1"/>
  <c r="AS72" i="32" s="1"/>
  <c r="AT72" i="32" s="1"/>
  <c r="AU72" i="32" s="1"/>
  <c r="AV72" i="32" s="1"/>
  <c r="AW72" i="32" s="1"/>
  <c r="AX72" i="32" s="1"/>
  <c r="AY72" i="32" s="1"/>
  <c r="AZ72" i="32" s="1"/>
  <c r="BA72" i="32" s="1"/>
  <c r="BB72" i="32" s="1"/>
  <c r="BC72" i="32" s="1"/>
  <c r="BD72" i="32" s="1"/>
  <c r="BE72" i="32" s="1"/>
  <c r="BF72" i="32" s="1"/>
  <c r="BG72" i="32" s="1"/>
  <c r="BH72" i="32" s="1"/>
  <c r="BI72" i="32" s="1"/>
  <c r="BJ72" i="32" s="1"/>
  <c r="BK72" i="32" s="1"/>
  <c r="BL72" i="32" s="1"/>
  <c r="BM72" i="32" s="1"/>
  <c r="BN72" i="32" s="1"/>
  <c r="BO72" i="32" s="1"/>
  <c r="BP72" i="32" s="1"/>
  <c r="BQ72" i="32" s="1"/>
  <c r="BR72" i="32" s="1"/>
  <c r="BS72" i="32" s="1"/>
  <c r="BT72" i="32" s="1"/>
  <c r="BU72" i="32" s="1"/>
  <c r="BV72" i="32" s="1"/>
  <c r="BW72" i="32" s="1"/>
  <c r="BX72" i="32" s="1"/>
  <c r="BY72" i="32" s="1"/>
  <c r="BZ72" i="32" s="1"/>
  <c r="CA72" i="32" s="1"/>
  <c r="CB72" i="32" s="1"/>
  <c r="CC72" i="32" s="1"/>
  <c r="CD72" i="32" s="1"/>
  <c r="CE72" i="32" s="1"/>
  <c r="CF72" i="32" s="1"/>
  <c r="C45" i="31"/>
  <c r="C50" i="31"/>
  <c r="C51" i="30"/>
  <c r="C44" i="31"/>
  <c r="C43" i="31"/>
  <c r="C42" i="31"/>
  <c r="U67" i="31"/>
  <c r="L67" i="31"/>
  <c r="N66" i="31"/>
  <c r="L66" i="31"/>
  <c r="O61" i="31"/>
  <c r="N58" i="31"/>
  <c r="M58" i="31"/>
  <c r="C58" i="31"/>
  <c r="AJ55" i="31"/>
  <c r="AJ26" i="31" s="1"/>
  <c r="AI55" i="31"/>
  <c r="AH55" i="31"/>
  <c r="AH26" i="31" s="1"/>
  <c r="AG55" i="31"/>
  <c r="AF55" i="31"/>
  <c r="AF26" i="31" s="1"/>
  <c r="AC55" i="31"/>
  <c r="AB55" i="31"/>
  <c r="AB26" i="31" s="1"/>
  <c r="AA55" i="31"/>
  <c r="Z55" i="31"/>
  <c r="Y55" i="31"/>
  <c r="V55" i="31"/>
  <c r="U55" i="31"/>
  <c r="T55" i="31"/>
  <c r="S55" i="31"/>
  <c r="N55" i="31"/>
  <c r="M55" i="31"/>
  <c r="L55" i="31"/>
  <c r="K55" i="31"/>
  <c r="K53" i="31"/>
  <c r="G53" i="31"/>
  <c r="F53" i="31"/>
  <c r="C53" i="31"/>
  <c r="V52" i="31"/>
  <c r="Z50" i="31"/>
  <c r="Y50" i="31"/>
  <c r="V50" i="31"/>
  <c r="U50" i="31"/>
  <c r="T50" i="31"/>
  <c r="S50" i="31"/>
  <c r="N50" i="31"/>
  <c r="M50" i="31"/>
  <c r="L50" i="31"/>
  <c r="K50" i="31"/>
  <c r="G50" i="31"/>
  <c r="F50" i="31"/>
  <c r="AA50" i="31"/>
  <c r="K49" i="31"/>
  <c r="AC47" i="31"/>
  <c r="N45" i="31"/>
  <c r="M45" i="31"/>
  <c r="L45" i="31"/>
  <c r="N44" i="31"/>
  <c r="M44" i="31"/>
  <c r="L44" i="31"/>
  <c r="K44" i="31"/>
  <c r="F44" i="31"/>
  <c r="V43" i="31"/>
  <c r="U43" i="31"/>
  <c r="T43" i="31"/>
  <c r="S43" i="31"/>
  <c r="N43" i="31"/>
  <c r="AI31" i="31"/>
  <c r="E31" i="31"/>
  <c r="AI30" i="31"/>
  <c r="AI26" i="31" s="1"/>
  <c r="AL26" i="31"/>
  <c r="AK26" i="31"/>
  <c r="AG26" i="31"/>
  <c r="AE26" i="31"/>
  <c r="AD26" i="31"/>
  <c r="AA26" i="31"/>
  <c r="X26" i="31"/>
  <c r="W26" i="31"/>
  <c r="R26" i="31"/>
  <c r="Q26" i="31"/>
  <c r="P26" i="31"/>
  <c r="O26" i="31"/>
  <c r="J26" i="31"/>
  <c r="I26" i="31"/>
  <c r="H26" i="31"/>
  <c r="AJ24" i="31"/>
  <c r="AJ16" i="31" s="1"/>
  <c r="R24" i="31"/>
  <c r="AI21" i="31"/>
  <c r="AI16" i="31" s="1"/>
  <c r="AL16" i="31"/>
  <c r="AK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C16" i="31"/>
  <c r="C10" i="31" s="1"/>
  <c r="C5" i="31"/>
  <c r="E26" i="31" l="1"/>
  <c r="E72" i="31" s="1"/>
  <c r="S26" i="31"/>
  <c r="K26" i="31"/>
  <c r="AC26" i="31"/>
  <c r="U26" i="31"/>
  <c r="Y26" i="31"/>
  <c r="G26" i="31"/>
  <c r="C26" i="31"/>
  <c r="C11" i="31" s="1"/>
  <c r="C7" i="31"/>
  <c r="M26" i="31"/>
  <c r="L26" i="31"/>
  <c r="N26" i="31"/>
  <c r="T26" i="31"/>
  <c r="V26" i="31"/>
  <c r="Z26" i="31"/>
  <c r="F26" i="31"/>
  <c r="AJ21" i="30"/>
  <c r="F72" i="31" l="1"/>
  <c r="G72" i="31" s="1"/>
  <c r="H72" i="31" s="1"/>
  <c r="I72" i="31" s="1"/>
  <c r="J72" i="31" s="1"/>
  <c r="K72" i="31" s="1"/>
  <c r="L72" i="31" s="1"/>
  <c r="M72" i="31" s="1"/>
  <c r="N72" i="31" s="1"/>
  <c r="O72" i="31" s="1"/>
  <c r="P72" i="31" s="1"/>
  <c r="Q72" i="31" s="1"/>
  <c r="R72" i="31" s="1"/>
  <c r="S72" i="31" s="1"/>
  <c r="T72" i="31" s="1"/>
  <c r="U72" i="31" s="1"/>
  <c r="V72" i="31" s="1"/>
  <c r="W72" i="31" s="1"/>
  <c r="X72" i="31" s="1"/>
  <c r="Y72" i="31" s="1"/>
  <c r="Z72" i="31" s="1"/>
  <c r="AA72" i="31" s="1"/>
  <c r="AB72" i="31" s="1"/>
  <c r="AC72" i="31" s="1"/>
  <c r="AD72" i="31" s="1"/>
  <c r="AE72" i="31" s="1"/>
  <c r="AF72" i="31" s="1"/>
  <c r="AG72" i="31" s="1"/>
  <c r="AH72" i="31" s="1"/>
  <c r="AI72" i="31" s="1"/>
  <c r="AJ72" i="31" s="1"/>
  <c r="AK72" i="31" s="1"/>
  <c r="AL72" i="31" s="1"/>
  <c r="C8" i="31"/>
  <c r="C9" i="31" s="1"/>
  <c r="O45" i="30"/>
  <c r="O63" i="30"/>
  <c r="W43" i="30"/>
  <c r="AJ31" i="30" l="1"/>
  <c r="F31" i="30"/>
  <c r="AK24" i="30"/>
  <c r="AJ30" i="30"/>
  <c r="F30" i="30"/>
  <c r="AH59" i="30" l="1"/>
  <c r="AI59" i="30"/>
  <c r="AI26" i="30" s="1"/>
  <c r="AJ59" i="30"/>
  <c r="AK59" i="30"/>
  <c r="AK26" i="30" s="1"/>
  <c r="AG59" i="30"/>
  <c r="AD59" i="30"/>
  <c r="AA59" i="30"/>
  <c r="AB59" i="30"/>
  <c r="AC59" i="30"/>
  <c r="Z59" i="30"/>
  <c r="U59" i="30"/>
  <c r="V59" i="30"/>
  <c r="W59" i="30"/>
  <c r="T59" i="30"/>
  <c r="M59" i="30"/>
  <c r="N59" i="30"/>
  <c r="O59" i="30"/>
  <c r="L59" i="30"/>
  <c r="Z51" i="30"/>
  <c r="AA51" i="30"/>
  <c r="N63" i="30"/>
  <c r="W54" i="30"/>
  <c r="W51" i="30"/>
  <c r="O51" i="30"/>
  <c r="V51" i="30"/>
  <c r="N51" i="30"/>
  <c r="U51" i="30"/>
  <c r="M51" i="30"/>
  <c r="T51" i="30"/>
  <c r="L51" i="30"/>
  <c r="M71" i="30"/>
  <c r="O71" i="30"/>
  <c r="O43" i="30"/>
  <c r="V72" i="30"/>
  <c r="M72" i="30"/>
  <c r="J26" i="30" s="1"/>
  <c r="E72" i="30"/>
  <c r="AH26" i="30"/>
  <c r="AB26" i="30"/>
  <c r="Z26" i="30"/>
  <c r="H66" i="30"/>
  <c r="C63" i="30"/>
  <c r="H57" i="30"/>
  <c r="G57" i="30"/>
  <c r="L57" i="30"/>
  <c r="C57" i="30"/>
  <c r="H51" i="30"/>
  <c r="G51" i="30"/>
  <c r="F51" i="30"/>
  <c r="L50" i="30"/>
  <c r="AD48" i="30"/>
  <c r="AD26" i="30" s="1"/>
  <c r="H46" i="30"/>
  <c r="G46" i="30"/>
  <c r="F46" i="30"/>
  <c r="E51" i="30"/>
  <c r="N45" i="30"/>
  <c r="M45" i="30"/>
  <c r="L45" i="30"/>
  <c r="F45" i="30"/>
  <c r="G45" i="30"/>
  <c r="G26" i="30" s="1"/>
  <c r="C45" i="30"/>
  <c r="E44" i="30"/>
  <c r="E26" i="30" s="1"/>
  <c r="C44" i="30"/>
  <c r="W26" i="30"/>
  <c r="V43" i="30"/>
  <c r="U43" i="30"/>
  <c r="T43" i="30"/>
  <c r="F43" i="30"/>
  <c r="C43" i="30"/>
  <c r="C42" i="30"/>
  <c r="AM26" i="30"/>
  <c r="AL26" i="30"/>
  <c r="AJ26" i="30"/>
  <c r="AG26" i="30"/>
  <c r="AF26" i="30"/>
  <c r="AE26" i="30"/>
  <c r="AC26" i="30"/>
  <c r="AA26" i="30"/>
  <c r="Y26" i="30"/>
  <c r="X26" i="30"/>
  <c r="U26" i="30"/>
  <c r="S26" i="30"/>
  <c r="R26" i="30"/>
  <c r="Q26" i="30"/>
  <c r="P26" i="30"/>
  <c r="L26" i="30"/>
  <c r="K26" i="30"/>
  <c r="I26" i="30"/>
  <c r="S24" i="30"/>
  <c r="S16" i="30" s="1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C16" i="30"/>
  <c r="C10" i="30"/>
  <c r="C5" i="30"/>
  <c r="H50" i="28"/>
  <c r="E50" i="28"/>
  <c r="N26" i="30" l="1"/>
  <c r="C26" i="30"/>
  <c r="C11" i="30" s="1"/>
  <c r="H26" i="30"/>
  <c r="M26" i="30"/>
  <c r="O26" i="30"/>
  <c r="F26" i="30"/>
  <c r="E77" i="30"/>
  <c r="T26" i="30"/>
  <c r="V26" i="30"/>
  <c r="C7" i="30"/>
  <c r="Y71" i="28"/>
  <c r="M71" i="28"/>
  <c r="K71" i="28"/>
  <c r="H70" i="28"/>
  <c r="F77" i="30" l="1"/>
  <c r="G77" i="30" s="1"/>
  <c r="H77" i="30" s="1"/>
  <c r="I77" i="30" s="1"/>
  <c r="J77" i="30" s="1"/>
  <c r="K77" i="30" s="1"/>
  <c r="L77" i="30" s="1"/>
  <c r="M77" i="30" s="1"/>
  <c r="N77" i="30" s="1"/>
  <c r="O77" i="30" s="1"/>
  <c r="P77" i="30" s="1"/>
  <c r="Q77" i="30" s="1"/>
  <c r="R77" i="30" s="1"/>
  <c r="S77" i="30" s="1"/>
  <c r="T77" i="30" s="1"/>
  <c r="U77" i="30" s="1"/>
  <c r="V77" i="30" s="1"/>
  <c r="W77" i="30" s="1"/>
  <c r="X77" i="30" s="1"/>
  <c r="Y77" i="30" s="1"/>
  <c r="Z77" i="30" s="1"/>
  <c r="AA77" i="30" s="1"/>
  <c r="AB77" i="30" s="1"/>
  <c r="AC77" i="30" s="1"/>
  <c r="AD77" i="30" s="1"/>
  <c r="AE77" i="30" s="1"/>
  <c r="AF77" i="30" s="1"/>
  <c r="AG77" i="30" s="1"/>
  <c r="AH77" i="30" s="1"/>
  <c r="AI77" i="30" s="1"/>
  <c r="AJ77" i="30" s="1"/>
  <c r="AK77" i="30" s="1"/>
  <c r="AL77" i="30" s="1"/>
  <c r="AM77" i="30" s="1"/>
  <c r="C8" i="30"/>
  <c r="C9" i="30" s="1"/>
  <c r="C62" i="28" l="1"/>
  <c r="C56" i="28"/>
  <c r="C43" i="28"/>
  <c r="C42" i="28"/>
  <c r="AL65" i="28"/>
  <c r="AK65" i="28"/>
  <c r="AK25" i="28" s="1"/>
  <c r="AJ65" i="28"/>
  <c r="AG65" i="28"/>
  <c r="AG25" i="28" s="1"/>
  <c r="AF65" i="28"/>
  <c r="AE65" i="28"/>
  <c r="AE25" i="28" s="1"/>
  <c r="AD65" i="28"/>
  <c r="AC65" i="28"/>
  <c r="AC25" i="28" s="1"/>
  <c r="Z65" i="28"/>
  <c r="Y65" i="28"/>
  <c r="Y25" i="28" s="1"/>
  <c r="K65" i="28"/>
  <c r="O61" i="28"/>
  <c r="R58" i="28"/>
  <c r="Q58" i="28"/>
  <c r="Q25" i="28" s="1"/>
  <c r="P58" i="28"/>
  <c r="O58" i="28"/>
  <c r="O25" i="28" s="1"/>
  <c r="K56" i="28"/>
  <c r="J56" i="28"/>
  <c r="J25" i="28" s="1"/>
  <c r="H56" i="28"/>
  <c r="R50" i="28"/>
  <c r="Q50" i="28"/>
  <c r="P50" i="28"/>
  <c r="O50" i="28"/>
  <c r="K50" i="28"/>
  <c r="J50" i="28"/>
  <c r="I50" i="28"/>
  <c r="C50" i="28"/>
  <c r="K49" i="28"/>
  <c r="AG47" i="28"/>
  <c r="K45" i="28"/>
  <c r="J45" i="28"/>
  <c r="I45" i="28"/>
  <c r="H45" i="28"/>
  <c r="R44" i="28"/>
  <c r="Q44" i="28"/>
  <c r="P44" i="28"/>
  <c r="P25" i="28" s="1"/>
  <c r="O44" i="28"/>
  <c r="K44" i="28"/>
  <c r="K25" i="28" s="1"/>
  <c r="I44" i="28"/>
  <c r="H44" i="28"/>
  <c r="H25" i="28" s="1"/>
  <c r="E44" i="28"/>
  <c r="C44" i="28"/>
  <c r="E43" i="28"/>
  <c r="Z42" i="28"/>
  <c r="Z25" i="28" s="1"/>
  <c r="Y42" i="28"/>
  <c r="X42" i="28"/>
  <c r="X25" i="28" s="1"/>
  <c r="W42" i="28"/>
  <c r="I42" i="28"/>
  <c r="I25" i="28" s="1"/>
  <c r="C41" i="28"/>
  <c r="E31" i="28"/>
  <c r="AP25" i="28"/>
  <c r="AO25" i="28"/>
  <c r="AN25" i="28"/>
  <c r="AM25" i="28"/>
  <c r="AL25" i="28"/>
  <c r="AJ25" i="28"/>
  <c r="AI25" i="28"/>
  <c r="AH25" i="28"/>
  <c r="AF25" i="28"/>
  <c r="AD25" i="28"/>
  <c r="AB25" i="28"/>
  <c r="AA25" i="28"/>
  <c r="W25" i="28"/>
  <c r="V25" i="28"/>
  <c r="U25" i="28"/>
  <c r="T25" i="28"/>
  <c r="S25" i="28"/>
  <c r="N25" i="28"/>
  <c r="M25" i="28"/>
  <c r="L25" i="28"/>
  <c r="G25" i="28"/>
  <c r="F25" i="28"/>
  <c r="V23" i="28"/>
  <c r="V16" i="28" s="1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C16" i="28"/>
  <c r="C10" i="28" s="1"/>
  <c r="C5" i="28"/>
  <c r="R25" i="28" l="1"/>
  <c r="C7" i="28"/>
  <c r="E25" i="28"/>
  <c r="E76" i="28" s="1"/>
  <c r="F76" i="28" s="1"/>
  <c r="G76" i="28" s="1"/>
  <c r="H76" i="28" s="1"/>
  <c r="I76" i="28" s="1"/>
  <c r="J76" i="28" s="1"/>
  <c r="K76" i="28" s="1"/>
  <c r="L76" i="28" s="1"/>
  <c r="M76" i="28" s="1"/>
  <c r="N76" i="28" s="1"/>
  <c r="O76" i="28" s="1"/>
  <c r="P76" i="28" s="1"/>
  <c r="Q76" i="28" s="1"/>
  <c r="R76" i="28" s="1"/>
  <c r="S76" i="28" s="1"/>
  <c r="T76" i="28" s="1"/>
  <c r="U76" i="28" s="1"/>
  <c r="V76" i="28" s="1"/>
  <c r="W76" i="28" s="1"/>
  <c r="X76" i="28" s="1"/>
  <c r="Y76" i="28" s="1"/>
  <c r="Z76" i="28" s="1"/>
  <c r="AA76" i="28" s="1"/>
  <c r="AB76" i="28" s="1"/>
  <c r="AC76" i="28" s="1"/>
  <c r="AD76" i="28" s="1"/>
  <c r="AE76" i="28" s="1"/>
  <c r="AF76" i="28" s="1"/>
  <c r="AG76" i="28" s="1"/>
  <c r="AH76" i="28" s="1"/>
  <c r="AI76" i="28" s="1"/>
  <c r="AJ76" i="28" s="1"/>
  <c r="AK76" i="28" s="1"/>
  <c r="AL76" i="28" s="1"/>
  <c r="AM76" i="28" s="1"/>
  <c r="AN76" i="28" s="1"/>
  <c r="AO76" i="28" s="1"/>
  <c r="AP76" i="28" s="1"/>
  <c r="C25" i="28"/>
  <c r="C11" i="28" s="1"/>
  <c r="C62" i="27"/>
  <c r="P61" i="27"/>
  <c r="C8" i="28" l="1"/>
  <c r="C9" i="28" s="1"/>
  <c r="C43" i="27"/>
  <c r="C50" i="27"/>
  <c r="C46" i="26"/>
  <c r="C44" i="27"/>
  <c r="C42" i="27"/>
  <c r="AM65" i="27"/>
  <c r="AL65" i="27"/>
  <c r="AK65" i="27"/>
  <c r="AH65" i="27"/>
  <c r="AG65" i="27"/>
  <c r="AG25" i="27" s="1"/>
  <c r="AF65" i="27"/>
  <c r="AE65" i="27"/>
  <c r="AE25" i="27" s="1"/>
  <c r="AD65" i="27"/>
  <c r="AA65" i="27"/>
  <c r="Z65" i="27"/>
  <c r="F65" i="27"/>
  <c r="S58" i="27"/>
  <c r="R58" i="27"/>
  <c r="Q58" i="27"/>
  <c r="P58" i="27"/>
  <c r="L56" i="27"/>
  <c r="K56" i="27"/>
  <c r="I56" i="27"/>
  <c r="E56" i="27"/>
  <c r="C56" i="27"/>
  <c r="E55" i="27"/>
  <c r="E25" i="27" s="1"/>
  <c r="S50" i="27"/>
  <c r="R50" i="27"/>
  <c r="R25" i="27" s="1"/>
  <c r="Q50" i="27"/>
  <c r="P50" i="27"/>
  <c r="L50" i="27"/>
  <c r="K50" i="27"/>
  <c r="J50" i="27"/>
  <c r="I50" i="27"/>
  <c r="F50" i="27"/>
  <c r="L49" i="27"/>
  <c r="AH47" i="27"/>
  <c r="AH25" i="27" s="1"/>
  <c r="L45" i="27"/>
  <c r="K45" i="27"/>
  <c r="J45" i="27"/>
  <c r="I45" i="27"/>
  <c r="S44" i="27"/>
  <c r="S25" i="27" s="1"/>
  <c r="R44" i="27"/>
  <c r="Q44" i="27"/>
  <c r="Q25" i="27" s="1"/>
  <c r="P44" i="27"/>
  <c r="L44" i="27"/>
  <c r="L25" i="27" s="1"/>
  <c r="J44" i="27"/>
  <c r="I44" i="27"/>
  <c r="I25" i="27" s="1"/>
  <c r="F44" i="27"/>
  <c r="F43" i="27"/>
  <c r="E43" i="27"/>
  <c r="AA42" i="27"/>
  <c r="AA25" i="27" s="1"/>
  <c r="Z42" i="27"/>
  <c r="Z25" i="27" s="1"/>
  <c r="Y42" i="27"/>
  <c r="X42" i="27"/>
  <c r="X25" i="27" s="1"/>
  <c r="J42" i="27"/>
  <c r="C41" i="27"/>
  <c r="F31" i="27"/>
  <c r="F25" i="27" s="1"/>
  <c r="AQ25" i="27"/>
  <c r="AP25" i="27"/>
  <c r="AO25" i="27"/>
  <c r="AN25" i="27"/>
  <c r="AM25" i="27"/>
  <c r="AL25" i="27"/>
  <c r="AK25" i="27"/>
  <c r="AJ25" i="27"/>
  <c r="AI25" i="27"/>
  <c r="AF25" i="27"/>
  <c r="AD25" i="27"/>
  <c r="AC25" i="27"/>
  <c r="AB25" i="27"/>
  <c r="Y25" i="27"/>
  <c r="W25" i="27"/>
  <c r="V25" i="27"/>
  <c r="U25" i="27"/>
  <c r="T25" i="27"/>
  <c r="P25" i="27"/>
  <c r="O25" i="27"/>
  <c r="N25" i="27"/>
  <c r="M25" i="27"/>
  <c r="K25" i="27"/>
  <c r="H25" i="27"/>
  <c r="G25" i="27"/>
  <c r="W23" i="27"/>
  <c r="W16" i="27" s="1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C16" i="27"/>
  <c r="C10" i="27" s="1"/>
  <c r="C5" i="27"/>
  <c r="C25" i="27" l="1"/>
  <c r="C11" i="27" s="1"/>
  <c r="C7" i="27"/>
  <c r="J25" i="27"/>
  <c r="C8" i="27" s="1"/>
  <c r="C9" i="27" s="1"/>
  <c r="E76" i="27"/>
  <c r="F76" i="27" s="1"/>
  <c r="G76" i="27" s="1"/>
  <c r="H76" i="27" s="1"/>
  <c r="I76" i="27" s="1"/>
  <c r="K42" i="26"/>
  <c r="J76" i="27" l="1"/>
  <c r="K76" i="27" s="1"/>
  <c r="L76" i="27" s="1"/>
  <c r="M76" i="27" s="1"/>
  <c r="N76" i="27" s="1"/>
  <c r="O76" i="27" s="1"/>
  <c r="P76" i="27" s="1"/>
  <c r="Q76" i="27" s="1"/>
  <c r="R76" i="27" s="1"/>
  <c r="S76" i="27" s="1"/>
  <c r="T76" i="27" s="1"/>
  <c r="U76" i="27" s="1"/>
  <c r="V76" i="27" s="1"/>
  <c r="W76" i="27" s="1"/>
  <c r="X76" i="27" s="1"/>
  <c r="Y76" i="27" s="1"/>
  <c r="Z76" i="27" s="1"/>
  <c r="AA76" i="27" s="1"/>
  <c r="AB76" i="27" s="1"/>
  <c r="AC76" i="27" s="1"/>
  <c r="AD76" i="27" s="1"/>
  <c r="AE76" i="27" s="1"/>
  <c r="AF76" i="27" s="1"/>
  <c r="AG76" i="27" s="1"/>
  <c r="AH76" i="27" s="1"/>
  <c r="AI76" i="27" s="1"/>
  <c r="AJ76" i="27" s="1"/>
  <c r="AK76" i="27" s="1"/>
  <c r="AL76" i="27" s="1"/>
  <c r="AM76" i="27" s="1"/>
  <c r="AN76" i="27" s="1"/>
  <c r="AO76" i="27" s="1"/>
  <c r="AP76" i="27" s="1"/>
  <c r="AQ76" i="27" s="1"/>
  <c r="F31" i="26"/>
  <c r="F55" i="26"/>
  <c r="C49" i="26" l="1"/>
  <c r="C43" i="26"/>
  <c r="C42" i="26"/>
  <c r="AN64" i="26"/>
  <c r="AN25" i="26" s="1"/>
  <c r="AM64" i="26"/>
  <c r="AM25" i="26" s="1"/>
  <c r="AL64" i="26"/>
  <c r="AI64" i="26"/>
  <c r="AH64" i="26"/>
  <c r="AH25" i="26" s="1"/>
  <c r="AG64" i="26"/>
  <c r="AG25" i="26" s="1"/>
  <c r="AF64" i="26"/>
  <c r="AE64" i="26"/>
  <c r="AE25" i="26" s="1"/>
  <c r="AB64" i="26"/>
  <c r="AA64" i="26"/>
  <c r="G64" i="26"/>
  <c r="C61" i="26"/>
  <c r="T57" i="26"/>
  <c r="S57" i="26"/>
  <c r="R57" i="26"/>
  <c r="Q57" i="26"/>
  <c r="M55" i="26"/>
  <c r="L55" i="26"/>
  <c r="J55" i="26"/>
  <c r="C55" i="26"/>
  <c r="F54" i="26"/>
  <c r="T49" i="26"/>
  <c r="S49" i="26"/>
  <c r="R49" i="26"/>
  <c r="R25" i="26" s="1"/>
  <c r="Q49" i="26"/>
  <c r="M49" i="26"/>
  <c r="L49" i="26"/>
  <c r="K49" i="26"/>
  <c r="J49" i="26"/>
  <c r="G49" i="26"/>
  <c r="E49" i="26"/>
  <c r="J48" i="26"/>
  <c r="AI46" i="26"/>
  <c r="E46" i="26"/>
  <c r="M45" i="26"/>
  <c r="L45" i="26"/>
  <c r="L25" i="26" s="1"/>
  <c r="K45" i="26"/>
  <c r="J45" i="26"/>
  <c r="C45" i="26"/>
  <c r="T44" i="26"/>
  <c r="S44" i="26"/>
  <c r="R44" i="26"/>
  <c r="Q44" i="26"/>
  <c r="M44" i="26"/>
  <c r="K44" i="26"/>
  <c r="J44" i="26"/>
  <c r="G44" i="26"/>
  <c r="C44" i="26"/>
  <c r="G43" i="26"/>
  <c r="F43" i="26"/>
  <c r="E43" i="26"/>
  <c r="AB42" i="26"/>
  <c r="AB25" i="26" s="1"/>
  <c r="AA42" i="26"/>
  <c r="AA25" i="26" s="1"/>
  <c r="Z42" i="26"/>
  <c r="Y42" i="26"/>
  <c r="Y25" i="26" s="1"/>
  <c r="C41" i="26"/>
  <c r="G31" i="26"/>
  <c r="AR25" i="26"/>
  <c r="AQ25" i="26"/>
  <c r="AP25" i="26"/>
  <c r="AO25" i="26"/>
  <c r="AL25" i="26"/>
  <c r="AK25" i="26"/>
  <c r="AJ25" i="26"/>
  <c r="AF25" i="26"/>
  <c r="AD25" i="26"/>
  <c r="AC25" i="26"/>
  <c r="Z25" i="26"/>
  <c r="X25" i="26"/>
  <c r="W25" i="26"/>
  <c r="V25" i="26"/>
  <c r="U25" i="26"/>
  <c r="P25" i="26"/>
  <c r="O25" i="26"/>
  <c r="N25" i="26"/>
  <c r="I25" i="26"/>
  <c r="H25" i="26"/>
  <c r="F25" i="26"/>
  <c r="X23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C7" i="26" s="1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C16" i="26"/>
  <c r="C10" i="26" s="1"/>
  <c r="C5" i="26"/>
  <c r="J25" i="26" l="1"/>
  <c r="T25" i="26"/>
  <c r="G25" i="26"/>
  <c r="E25" i="26"/>
  <c r="M25" i="26"/>
  <c r="K25" i="26"/>
  <c r="Q25" i="26"/>
  <c r="S25" i="26"/>
  <c r="AI25" i="26"/>
  <c r="C25" i="26"/>
  <c r="C11" i="26" s="1"/>
  <c r="AJ46" i="25"/>
  <c r="C8" i="26" l="1"/>
  <c r="C9" i="26" s="1"/>
  <c r="E75" i="26"/>
  <c r="F75" i="26" s="1"/>
  <c r="G75" i="26" s="1"/>
  <c r="H75" i="26" s="1"/>
  <c r="I75" i="26" s="1"/>
  <c r="J75" i="26" s="1"/>
  <c r="K75" i="26" s="1"/>
  <c r="L75" i="26" s="1"/>
  <c r="M75" i="26" s="1"/>
  <c r="N75" i="26" s="1"/>
  <c r="O75" i="26" s="1"/>
  <c r="P75" i="26" s="1"/>
  <c r="Q75" i="26" s="1"/>
  <c r="R75" i="26" s="1"/>
  <c r="S75" i="26" s="1"/>
  <c r="T75" i="26" s="1"/>
  <c r="U75" i="26" s="1"/>
  <c r="V75" i="26" s="1"/>
  <c r="W75" i="26" s="1"/>
  <c r="X75" i="26" s="1"/>
  <c r="Y75" i="26" s="1"/>
  <c r="Z75" i="26" s="1"/>
  <c r="AA75" i="26" s="1"/>
  <c r="AB75" i="26" s="1"/>
  <c r="AC75" i="26" s="1"/>
  <c r="AD75" i="26" s="1"/>
  <c r="AE75" i="26" s="1"/>
  <c r="AF75" i="26" s="1"/>
  <c r="AG75" i="26" s="1"/>
  <c r="AH75" i="26" s="1"/>
  <c r="AI75" i="26" s="1"/>
  <c r="AJ75" i="26" s="1"/>
  <c r="AK75" i="26" s="1"/>
  <c r="AL75" i="26" s="1"/>
  <c r="AM75" i="26" s="1"/>
  <c r="AN75" i="26" s="1"/>
  <c r="AO75" i="26" s="1"/>
  <c r="AP75" i="26" s="1"/>
  <c r="AQ75" i="26" s="1"/>
  <c r="AR75" i="26" s="1"/>
  <c r="F22" i="25"/>
  <c r="E16" i="25" s="1"/>
  <c r="C63" i="25"/>
  <c r="C61" i="25"/>
  <c r="C55" i="25"/>
  <c r="C49" i="25"/>
  <c r="C46" i="25"/>
  <c r="C44" i="25"/>
  <c r="C43" i="25"/>
  <c r="C42" i="25"/>
  <c r="C41" i="25"/>
  <c r="AO64" i="25"/>
  <c r="AO25" i="25" s="1"/>
  <c r="AN64" i="25"/>
  <c r="AN25" i="25" s="1"/>
  <c r="AM64" i="25"/>
  <c r="AJ64" i="25"/>
  <c r="AJ25" i="25" s="1"/>
  <c r="AI64" i="25"/>
  <c r="AI25" i="25" s="1"/>
  <c r="AH64" i="25"/>
  <c r="AH25" i="25" s="1"/>
  <c r="AG64" i="25"/>
  <c r="AF64" i="25"/>
  <c r="AF25" i="25" s="1"/>
  <c r="AC64" i="25"/>
  <c r="AC25" i="25" s="1"/>
  <c r="AB64" i="25"/>
  <c r="H64" i="25"/>
  <c r="U57" i="25"/>
  <c r="T57" i="25"/>
  <c r="S57" i="25"/>
  <c r="R57" i="25"/>
  <c r="N55" i="25"/>
  <c r="M55" i="25"/>
  <c r="K55" i="25"/>
  <c r="H55" i="25"/>
  <c r="F55" i="25"/>
  <c r="F54" i="25"/>
  <c r="U49" i="25"/>
  <c r="T49" i="25"/>
  <c r="S49" i="25"/>
  <c r="R49" i="25"/>
  <c r="N49" i="25"/>
  <c r="M49" i="25"/>
  <c r="L49" i="25"/>
  <c r="K49" i="25"/>
  <c r="H49" i="25"/>
  <c r="F49" i="25"/>
  <c r="E49" i="25"/>
  <c r="K48" i="25"/>
  <c r="F46" i="25"/>
  <c r="E46" i="25"/>
  <c r="N45" i="25"/>
  <c r="M45" i="25"/>
  <c r="M25" i="25" s="1"/>
  <c r="L45" i="25"/>
  <c r="K45" i="25"/>
  <c r="C45" i="25"/>
  <c r="U44" i="25"/>
  <c r="T44" i="25"/>
  <c r="S44" i="25"/>
  <c r="S25" i="25" s="1"/>
  <c r="R44" i="25"/>
  <c r="N44" i="25"/>
  <c r="L44" i="25"/>
  <c r="L25" i="25" s="1"/>
  <c r="K44" i="25"/>
  <c r="H44" i="25"/>
  <c r="F44" i="25"/>
  <c r="H43" i="25"/>
  <c r="G43" i="25"/>
  <c r="G25" i="25" s="1"/>
  <c r="F43" i="25"/>
  <c r="E43" i="25"/>
  <c r="AC42" i="25"/>
  <c r="AB42" i="25"/>
  <c r="AA42" i="25"/>
  <c r="Z42" i="25"/>
  <c r="Z25" i="25" s="1"/>
  <c r="H31" i="25"/>
  <c r="F31" i="25"/>
  <c r="AS25" i="25"/>
  <c r="AR25" i="25"/>
  <c r="AQ25" i="25"/>
  <c r="AP25" i="25"/>
  <c r="AM25" i="25"/>
  <c r="AL25" i="25"/>
  <c r="AK25" i="25"/>
  <c r="AG25" i="25"/>
  <c r="AE25" i="25"/>
  <c r="AD25" i="25"/>
  <c r="AA25" i="25"/>
  <c r="Y25" i="25"/>
  <c r="X25" i="25"/>
  <c r="W25" i="25"/>
  <c r="V25" i="25"/>
  <c r="U25" i="25"/>
  <c r="Q25" i="25"/>
  <c r="P25" i="25"/>
  <c r="O25" i="25"/>
  <c r="K25" i="25"/>
  <c r="J25" i="25"/>
  <c r="I25" i="25"/>
  <c r="E25" i="25"/>
  <c r="Y23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C16" i="25"/>
  <c r="C10" i="25"/>
  <c r="C5" i="25"/>
  <c r="F31" i="23"/>
  <c r="C25" i="25" l="1"/>
  <c r="C11" i="25" s="1"/>
  <c r="E75" i="25"/>
  <c r="C7" i="25"/>
  <c r="H25" i="25"/>
  <c r="F25" i="25"/>
  <c r="R25" i="25"/>
  <c r="T25" i="25"/>
  <c r="N25" i="25"/>
  <c r="AB25" i="25"/>
  <c r="E22" i="23"/>
  <c r="C49" i="23"/>
  <c r="C45" i="23"/>
  <c r="F75" i="25" l="1"/>
  <c r="G75" i="25" s="1"/>
  <c r="H75" i="25" s="1"/>
  <c r="I75" i="25" s="1"/>
  <c r="J75" i="25" s="1"/>
  <c r="K75" i="25" s="1"/>
  <c r="L75" i="25" s="1"/>
  <c r="M75" i="25" s="1"/>
  <c r="N75" i="25" s="1"/>
  <c r="O75" i="25" s="1"/>
  <c r="P75" i="25" s="1"/>
  <c r="Q75" i="25" s="1"/>
  <c r="R75" i="25" s="1"/>
  <c r="S75" i="25" s="1"/>
  <c r="T75" i="25" s="1"/>
  <c r="U75" i="25" s="1"/>
  <c r="V75" i="25" s="1"/>
  <c r="W75" i="25" s="1"/>
  <c r="X75" i="25" s="1"/>
  <c r="Y75" i="25" s="1"/>
  <c r="Z75" i="25" s="1"/>
  <c r="AA75" i="25" s="1"/>
  <c r="AB75" i="25" s="1"/>
  <c r="AC75" i="25" s="1"/>
  <c r="AD75" i="25" s="1"/>
  <c r="AE75" i="25" s="1"/>
  <c r="AF75" i="25" s="1"/>
  <c r="AG75" i="25" s="1"/>
  <c r="AH75" i="25" s="1"/>
  <c r="AI75" i="25" s="1"/>
  <c r="AJ75" i="25" s="1"/>
  <c r="AK75" i="25" s="1"/>
  <c r="AL75" i="25" s="1"/>
  <c r="AM75" i="25" s="1"/>
  <c r="AN75" i="25" s="1"/>
  <c r="AO75" i="25" s="1"/>
  <c r="AP75" i="25" s="1"/>
  <c r="AQ75" i="25" s="1"/>
  <c r="AR75" i="25" s="1"/>
  <c r="AS75" i="25" s="1"/>
  <c r="C8" i="25"/>
  <c r="C9" i="25" s="1"/>
  <c r="C42" i="23"/>
  <c r="C44" i="23"/>
  <c r="C43" i="23"/>
  <c r="AP64" i="23"/>
  <c r="AP25" i="23" s="1"/>
  <c r="AO64" i="23"/>
  <c r="AN64" i="23"/>
  <c r="AN25" i="23" s="1"/>
  <c r="AK64" i="23"/>
  <c r="AJ64" i="23"/>
  <c r="AJ25" i="23" s="1"/>
  <c r="AI64" i="23"/>
  <c r="AH64" i="23"/>
  <c r="AH25" i="23" s="1"/>
  <c r="AG64" i="23"/>
  <c r="AD64" i="23"/>
  <c r="AC64" i="23"/>
  <c r="I64" i="23"/>
  <c r="V57" i="23"/>
  <c r="U57" i="23"/>
  <c r="T57" i="23"/>
  <c r="S57" i="23"/>
  <c r="O55" i="23"/>
  <c r="N55" i="23"/>
  <c r="L55" i="23"/>
  <c r="I55" i="23"/>
  <c r="G55" i="23"/>
  <c r="E55" i="23"/>
  <c r="C55" i="23"/>
  <c r="G54" i="23"/>
  <c r="V49" i="23"/>
  <c r="U49" i="23"/>
  <c r="T49" i="23"/>
  <c r="S49" i="23"/>
  <c r="O49" i="23"/>
  <c r="N49" i="23"/>
  <c r="M49" i="23"/>
  <c r="L49" i="23"/>
  <c r="I49" i="23"/>
  <c r="G49" i="23"/>
  <c r="F49" i="23"/>
  <c r="E49" i="23"/>
  <c r="L48" i="23"/>
  <c r="G46" i="23"/>
  <c r="F46" i="23"/>
  <c r="E46" i="23"/>
  <c r="C46" i="23"/>
  <c r="O45" i="23"/>
  <c r="N45" i="23"/>
  <c r="M45" i="23"/>
  <c r="L45" i="23"/>
  <c r="V44" i="23"/>
  <c r="V25" i="23" s="1"/>
  <c r="U44" i="23"/>
  <c r="U25" i="23" s="1"/>
  <c r="T44" i="23"/>
  <c r="T25" i="23" s="1"/>
  <c r="S44" i="23"/>
  <c r="O44" i="23"/>
  <c r="M44" i="23"/>
  <c r="M25" i="23" s="1"/>
  <c r="L44" i="23"/>
  <c r="I44" i="23"/>
  <c r="I25" i="23" s="1"/>
  <c r="G44" i="23"/>
  <c r="E44" i="23"/>
  <c r="E25" i="23" s="1"/>
  <c r="I43" i="23"/>
  <c r="H43" i="23"/>
  <c r="H25" i="23" s="1"/>
  <c r="G43" i="23"/>
  <c r="F43" i="23"/>
  <c r="E43" i="23"/>
  <c r="AD42" i="23"/>
  <c r="AC42" i="23"/>
  <c r="AB42" i="23"/>
  <c r="AB25" i="23" s="1"/>
  <c r="AA42" i="23"/>
  <c r="C41" i="23"/>
  <c r="C25" i="23" s="1"/>
  <c r="C11" i="23" s="1"/>
  <c r="I31" i="23"/>
  <c r="AT25" i="23"/>
  <c r="AS25" i="23"/>
  <c r="AR25" i="23"/>
  <c r="AQ25" i="23"/>
  <c r="AO25" i="23"/>
  <c r="AM25" i="23"/>
  <c r="AL25" i="23"/>
  <c r="AK25" i="23"/>
  <c r="AI25" i="23"/>
  <c r="AG25" i="23"/>
  <c r="AF25" i="23"/>
  <c r="AE25" i="23"/>
  <c r="AC25" i="23"/>
  <c r="AA25" i="23"/>
  <c r="Z25" i="23"/>
  <c r="Y25" i="23"/>
  <c r="X25" i="23"/>
  <c r="W25" i="23"/>
  <c r="S25" i="23"/>
  <c r="R25" i="23"/>
  <c r="Q25" i="23"/>
  <c r="P25" i="23"/>
  <c r="O25" i="23"/>
  <c r="K25" i="23"/>
  <c r="J25" i="23"/>
  <c r="Z23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C16" i="23"/>
  <c r="C10" i="23" s="1"/>
  <c r="C5" i="23"/>
  <c r="O50" i="22"/>
  <c r="G25" i="23" l="1"/>
  <c r="C7" i="23"/>
  <c r="N25" i="23"/>
  <c r="AD25" i="23"/>
  <c r="L25" i="23"/>
  <c r="F25" i="23"/>
  <c r="E75" i="23"/>
  <c r="C51" i="22"/>
  <c r="C45" i="22"/>
  <c r="C44" i="22"/>
  <c r="AS66" i="22"/>
  <c r="AR66" i="22"/>
  <c r="AR25" i="22" s="1"/>
  <c r="AQ66" i="22"/>
  <c r="AN66" i="22"/>
  <c r="AN25" i="22" s="1"/>
  <c r="AM66" i="22"/>
  <c r="AL66" i="22"/>
  <c r="AL25" i="22" s="1"/>
  <c r="AK66" i="22"/>
  <c r="AJ66" i="22"/>
  <c r="AJ25" i="22" s="1"/>
  <c r="AG66" i="22"/>
  <c r="AF66" i="22"/>
  <c r="AF25" i="22" s="1"/>
  <c r="H66" i="22"/>
  <c r="Y59" i="22"/>
  <c r="X59" i="22"/>
  <c r="W59" i="22"/>
  <c r="V59" i="22"/>
  <c r="R57" i="22"/>
  <c r="Q57" i="22"/>
  <c r="O57" i="22"/>
  <c r="L57" i="22"/>
  <c r="J57" i="22"/>
  <c r="H57" i="22"/>
  <c r="C57" i="22"/>
  <c r="C25" i="22" s="1"/>
  <c r="C11" i="22" s="1"/>
  <c r="J56" i="22"/>
  <c r="E56" i="22"/>
  <c r="Y51" i="22"/>
  <c r="X51" i="22"/>
  <c r="W51" i="22"/>
  <c r="V51" i="22"/>
  <c r="R51" i="22"/>
  <c r="Q51" i="22"/>
  <c r="P51" i="22"/>
  <c r="O51" i="22"/>
  <c r="L51" i="22"/>
  <c r="J51" i="22"/>
  <c r="I51" i="22"/>
  <c r="H51" i="22"/>
  <c r="J48" i="22"/>
  <c r="I48" i="22"/>
  <c r="I25" i="22" s="1"/>
  <c r="H48" i="22"/>
  <c r="C48" i="22"/>
  <c r="R47" i="22"/>
  <c r="Q47" i="22"/>
  <c r="P47" i="22"/>
  <c r="O47" i="22"/>
  <c r="O25" i="22" s="1"/>
  <c r="Y46" i="22"/>
  <c r="X46" i="22"/>
  <c r="W46" i="22"/>
  <c r="W25" i="22" s="1"/>
  <c r="V46" i="22"/>
  <c r="R46" i="22"/>
  <c r="P46" i="22"/>
  <c r="O46" i="22"/>
  <c r="L46" i="22"/>
  <c r="J46" i="22"/>
  <c r="H46" i="22"/>
  <c r="C46" i="22"/>
  <c r="L45" i="22"/>
  <c r="K45" i="22"/>
  <c r="J45" i="22"/>
  <c r="I45" i="22"/>
  <c r="H45" i="22"/>
  <c r="E45" i="22"/>
  <c r="E44" i="22"/>
  <c r="AG42" i="22"/>
  <c r="AF42" i="22"/>
  <c r="AE42" i="22"/>
  <c r="AD42" i="22"/>
  <c r="E42" i="22"/>
  <c r="E25" i="22" s="1"/>
  <c r="C42" i="22"/>
  <c r="C41" i="22"/>
  <c r="L31" i="22"/>
  <c r="AW25" i="22"/>
  <c r="AV25" i="22"/>
  <c r="AU25" i="22"/>
  <c r="AT25" i="22"/>
  <c r="AS25" i="22"/>
  <c r="AQ25" i="22"/>
  <c r="AP25" i="22"/>
  <c r="AO25" i="22"/>
  <c r="AM25" i="22"/>
  <c r="AK25" i="22"/>
  <c r="AI25" i="22"/>
  <c r="AH25" i="22"/>
  <c r="AG25" i="22"/>
  <c r="AE25" i="22"/>
  <c r="AD25" i="22"/>
  <c r="AC25" i="22"/>
  <c r="AB25" i="22"/>
  <c r="AA25" i="22"/>
  <c r="Z25" i="22"/>
  <c r="Y25" i="22"/>
  <c r="U25" i="22"/>
  <c r="T25" i="22"/>
  <c r="S25" i="22"/>
  <c r="N25" i="22"/>
  <c r="M25" i="22"/>
  <c r="K25" i="22"/>
  <c r="G25" i="22"/>
  <c r="F25" i="22"/>
  <c r="AC23" i="22"/>
  <c r="H22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C16" i="22"/>
  <c r="C10" i="22"/>
  <c r="C5" i="22"/>
  <c r="C8" i="23" l="1"/>
  <c r="C9" i="23" s="1"/>
  <c r="F75" i="23"/>
  <c r="G75" i="23" s="1"/>
  <c r="H75" i="23" s="1"/>
  <c r="I75" i="23" s="1"/>
  <c r="J75" i="23" s="1"/>
  <c r="K75" i="23" s="1"/>
  <c r="L75" i="23" s="1"/>
  <c r="M75" i="23" s="1"/>
  <c r="N75" i="23" s="1"/>
  <c r="O75" i="23" s="1"/>
  <c r="P75" i="23" s="1"/>
  <c r="Q75" i="23" s="1"/>
  <c r="R75" i="23" s="1"/>
  <c r="S75" i="23" s="1"/>
  <c r="T75" i="23" s="1"/>
  <c r="U75" i="23" s="1"/>
  <c r="V75" i="23" s="1"/>
  <c r="W75" i="23" s="1"/>
  <c r="X75" i="23" s="1"/>
  <c r="Y75" i="23" s="1"/>
  <c r="Z75" i="23" s="1"/>
  <c r="AA75" i="23" s="1"/>
  <c r="AB75" i="23" s="1"/>
  <c r="AC75" i="23" s="1"/>
  <c r="AD75" i="23" s="1"/>
  <c r="AE75" i="23" s="1"/>
  <c r="AF75" i="23" s="1"/>
  <c r="AG75" i="23" s="1"/>
  <c r="AH75" i="23" s="1"/>
  <c r="AI75" i="23" s="1"/>
  <c r="AJ75" i="23" s="1"/>
  <c r="AK75" i="23" s="1"/>
  <c r="AL75" i="23" s="1"/>
  <c r="AM75" i="23" s="1"/>
  <c r="AN75" i="23" s="1"/>
  <c r="AO75" i="23" s="1"/>
  <c r="AP75" i="23" s="1"/>
  <c r="AQ75" i="23" s="1"/>
  <c r="AR75" i="23" s="1"/>
  <c r="AS75" i="23" s="1"/>
  <c r="AT75" i="23" s="1"/>
  <c r="Q25" i="22"/>
  <c r="C7" i="22"/>
  <c r="H25" i="22"/>
  <c r="L25" i="22"/>
  <c r="P25" i="22"/>
  <c r="V25" i="22"/>
  <c r="X25" i="22"/>
  <c r="J25" i="22"/>
  <c r="R25" i="22"/>
  <c r="E77" i="22"/>
  <c r="F77" i="22" s="1"/>
  <c r="G77" i="22" s="1"/>
  <c r="C8" i="22" l="1"/>
  <c r="C9" i="22" s="1"/>
  <c r="H77" i="22"/>
  <c r="I77" i="22" s="1"/>
  <c r="J77" i="22" s="1"/>
  <c r="K77" i="22" s="1"/>
  <c r="L77" i="22" s="1"/>
  <c r="M77" i="22" s="1"/>
  <c r="N77" i="22" s="1"/>
  <c r="O77" i="22" s="1"/>
  <c r="P77" i="22" s="1"/>
  <c r="Q77" i="22" s="1"/>
  <c r="R77" i="22" s="1"/>
  <c r="S77" i="22" s="1"/>
  <c r="T77" i="22" s="1"/>
  <c r="U77" i="22" s="1"/>
  <c r="V77" i="22" s="1"/>
  <c r="W77" i="22" s="1"/>
  <c r="X77" i="22" s="1"/>
  <c r="Y77" i="22" s="1"/>
  <c r="Z77" i="22" s="1"/>
  <c r="AA77" i="22" s="1"/>
  <c r="AB77" i="22" s="1"/>
  <c r="AC77" i="22" s="1"/>
  <c r="AD77" i="22" s="1"/>
  <c r="AE77" i="22" s="1"/>
  <c r="AF77" i="22" s="1"/>
  <c r="AG77" i="22" s="1"/>
  <c r="AH77" i="22" s="1"/>
  <c r="AI77" i="22" s="1"/>
  <c r="AJ77" i="22" s="1"/>
  <c r="AK77" i="22" s="1"/>
  <c r="AL77" i="22" s="1"/>
  <c r="AM77" i="22" s="1"/>
  <c r="AN77" i="22" s="1"/>
  <c r="AO77" i="22" s="1"/>
  <c r="AP77" i="22" s="1"/>
  <c r="AQ77" i="22" s="1"/>
  <c r="AR77" i="22" s="1"/>
  <c r="AS77" i="22" s="1"/>
  <c r="AT77" i="22" s="1"/>
  <c r="AU77" i="22" s="1"/>
  <c r="AV77" i="22" s="1"/>
  <c r="AW77" i="22" s="1"/>
  <c r="Q46" i="21"/>
  <c r="F46" i="21"/>
  <c r="F42" i="21"/>
  <c r="AT66" i="21"/>
  <c r="AS66" i="21"/>
  <c r="AR66" i="21"/>
  <c r="AO66" i="21"/>
  <c r="AL66" i="21"/>
  <c r="AM66" i="21"/>
  <c r="AN66" i="21"/>
  <c r="AK66" i="21"/>
  <c r="AH66" i="21"/>
  <c r="AG66" i="21"/>
  <c r="X59" i="21"/>
  <c r="Y59" i="21"/>
  <c r="Z59" i="21"/>
  <c r="W59" i="21"/>
  <c r="AF42" i="21"/>
  <c r="AG42" i="21"/>
  <c r="AH42" i="21"/>
  <c r="AE42" i="21"/>
  <c r="X46" i="21"/>
  <c r="Y46" i="21"/>
  <c r="Z46" i="21"/>
  <c r="W46" i="21"/>
  <c r="Q47" i="21"/>
  <c r="R47" i="21"/>
  <c r="S47" i="21"/>
  <c r="P47" i="21"/>
  <c r="Z51" i="21"/>
  <c r="Y51" i="21"/>
  <c r="X51" i="21"/>
  <c r="W51" i="21"/>
  <c r="Q51" i="21"/>
  <c r="R51" i="21"/>
  <c r="S51" i="21"/>
  <c r="P51" i="21"/>
  <c r="M51" i="21"/>
  <c r="K51" i="21"/>
  <c r="J51" i="21"/>
  <c r="I51" i="21"/>
  <c r="E51" i="21"/>
  <c r="C51" i="21"/>
  <c r="C45" i="21"/>
  <c r="C44" i="21"/>
  <c r="F44" i="21"/>
  <c r="E44" i="21"/>
  <c r="C65" i="21" l="1"/>
  <c r="C42" i="21"/>
  <c r="I66" i="21"/>
  <c r="P57" i="21"/>
  <c r="P25" i="21" s="1"/>
  <c r="M57" i="21"/>
  <c r="S57" i="21"/>
  <c r="S25" i="21" s="1"/>
  <c r="K57" i="21"/>
  <c r="R57" i="21"/>
  <c r="R25" i="21" s="1"/>
  <c r="I57" i="21"/>
  <c r="C57" i="21"/>
  <c r="F56" i="21"/>
  <c r="K56" i="21"/>
  <c r="K48" i="21"/>
  <c r="J48" i="21"/>
  <c r="I48" i="21"/>
  <c r="C48" i="21"/>
  <c r="S46" i="21"/>
  <c r="K46" i="21"/>
  <c r="P46" i="21"/>
  <c r="I46" i="21"/>
  <c r="M46" i="21"/>
  <c r="C46" i="21"/>
  <c r="M45" i="21"/>
  <c r="L45" i="21"/>
  <c r="K45" i="21"/>
  <c r="J45" i="21"/>
  <c r="I45" i="21"/>
  <c r="F45" i="21"/>
  <c r="E45" i="21"/>
  <c r="C41" i="21"/>
  <c r="M31" i="21"/>
  <c r="N25" i="21" s="1"/>
  <c r="AX25" i="21"/>
  <c r="AW25" i="21"/>
  <c r="AV25" i="21"/>
  <c r="AU25" i="21"/>
  <c r="AT25" i="21"/>
  <c r="AS25" i="21"/>
  <c r="AR25" i="21"/>
  <c r="AQ25" i="21"/>
  <c r="AP25" i="21"/>
  <c r="AO25" i="21"/>
  <c r="AN25" i="21"/>
  <c r="AM25" i="21"/>
  <c r="AL25" i="21"/>
  <c r="AK25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Q25" i="21"/>
  <c r="O25" i="21"/>
  <c r="M25" i="21"/>
  <c r="H25" i="21"/>
  <c r="G25" i="21"/>
  <c r="AD23" i="21"/>
  <c r="I22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C16" i="21"/>
  <c r="C10" i="21" s="1"/>
  <c r="C5" i="21"/>
  <c r="C7" i="21" l="1"/>
  <c r="K25" i="21"/>
  <c r="C25" i="21"/>
  <c r="C11" i="21" s="1"/>
  <c r="F25" i="21"/>
  <c r="L25" i="21"/>
  <c r="I25" i="21"/>
  <c r="J25" i="21"/>
  <c r="E25" i="21"/>
  <c r="C65" i="20"/>
  <c r="K47" i="20"/>
  <c r="C46" i="20"/>
  <c r="C45" i="20"/>
  <c r="C44" i="20"/>
  <c r="E76" i="19"/>
  <c r="J66" i="20"/>
  <c r="Q57" i="20"/>
  <c r="Q25" i="20" s="1"/>
  <c r="N57" i="20"/>
  <c r="M57" i="20"/>
  <c r="L57" i="20"/>
  <c r="K57" i="20"/>
  <c r="J57" i="20"/>
  <c r="C57" i="20"/>
  <c r="G56" i="20"/>
  <c r="F56" i="20"/>
  <c r="N51" i="20"/>
  <c r="C51" i="20"/>
  <c r="K51" i="20" s="1"/>
  <c r="L48" i="20"/>
  <c r="K48" i="20"/>
  <c r="J48" i="20"/>
  <c r="C48" i="20"/>
  <c r="M46" i="20"/>
  <c r="L46" i="20"/>
  <c r="K46" i="20"/>
  <c r="J46" i="20"/>
  <c r="G46" i="20"/>
  <c r="F46" i="20"/>
  <c r="N45" i="20"/>
  <c r="M45" i="20"/>
  <c r="L45" i="20"/>
  <c r="K45" i="20"/>
  <c r="J45" i="20"/>
  <c r="G45" i="20"/>
  <c r="F45" i="20"/>
  <c r="E45" i="20"/>
  <c r="G44" i="20"/>
  <c r="F44" i="20"/>
  <c r="E44" i="20"/>
  <c r="C41" i="20"/>
  <c r="O31" i="20"/>
  <c r="O25" i="20" s="1"/>
  <c r="AY25" i="20"/>
  <c r="AX25" i="20"/>
  <c r="AW25" i="20"/>
  <c r="AV25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P25" i="20"/>
  <c r="N25" i="20"/>
  <c r="I25" i="20"/>
  <c r="H25" i="20"/>
  <c r="AE23" i="20"/>
  <c r="J22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C7" i="20" s="1"/>
  <c r="C16" i="20"/>
  <c r="C10" i="20"/>
  <c r="C5" i="20"/>
  <c r="E77" i="21" l="1"/>
  <c r="F77" i="21" s="1"/>
  <c r="G77" i="21" s="1"/>
  <c r="H77" i="21" s="1"/>
  <c r="I77" i="21" s="1"/>
  <c r="J77" i="21" s="1"/>
  <c r="K77" i="21" s="1"/>
  <c r="L77" i="21" s="1"/>
  <c r="M77" i="21" s="1"/>
  <c r="N77" i="21" s="1"/>
  <c r="O77" i="21" s="1"/>
  <c r="P77" i="21" s="1"/>
  <c r="Q77" i="21" s="1"/>
  <c r="R77" i="21" s="1"/>
  <c r="S77" i="21" s="1"/>
  <c r="T77" i="21" s="1"/>
  <c r="U77" i="21" s="1"/>
  <c r="V77" i="21" s="1"/>
  <c r="W77" i="21" s="1"/>
  <c r="X77" i="21" s="1"/>
  <c r="Y77" i="21" s="1"/>
  <c r="Z77" i="21" s="1"/>
  <c r="AA77" i="21" s="1"/>
  <c r="AB77" i="21" s="1"/>
  <c r="AC77" i="21" s="1"/>
  <c r="AD77" i="21" s="1"/>
  <c r="AE77" i="21" s="1"/>
  <c r="AF77" i="21" s="1"/>
  <c r="AG77" i="21" s="1"/>
  <c r="AH77" i="21" s="1"/>
  <c r="AI77" i="21" s="1"/>
  <c r="AJ77" i="21" s="1"/>
  <c r="AK77" i="21" s="1"/>
  <c r="AL77" i="21" s="1"/>
  <c r="AM77" i="21" s="1"/>
  <c r="AN77" i="21" s="1"/>
  <c r="AO77" i="21" s="1"/>
  <c r="AP77" i="21" s="1"/>
  <c r="AQ77" i="21" s="1"/>
  <c r="AR77" i="21" s="1"/>
  <c r="AS77" i="21" s="1"/>
  <c r="AT77" i="21" s="1"/>
  <c r="AU77" i="21" s="1"/>
  <c r="AV77" i="21" s="1"/>
  <c r="AW77" i="21" s="1"/>
  <c r="AX77" i="21" s="1"/>
  <c r="C8" i="21"/>
  <c r="C9" i="21" s="1"/>
  <c r="L51" i="20"/>
  <c r="L25" i="20" s="1"/>
  <c r="G25" i="20"/>
  <c r="M25" i="20"/>
  <c r="E51" i="20"/>
  <c r="E25" i="20" s="1"/>
  <c r="E77" i="20" s="1"/>
  <c r="C25" i="20"/>
  <c r="C11" i="20" s="1"/>
  <c r="K25" i="20"/>
  <c r="J51" i="20"/>
  <c r="J25" i="20" s="1"/>
  <c r="F51" i="20"/>
  <c r="F25" i="20" s="1"/>
  <c r="R56" i="19"/>
  <c r="O44" i="19"/>
  <c r="E44" i="19"/>
  <c r="N45" i="19"/>
  <c r="C47" i="19"/>
  <c r="C49" i="19"/>
  <c r="H43" i="19"/>
  <c r="C8" i="20" l="1"/>
  <c r="C9" i="20" s="1"/>
  <c r="F77" i="20"/>
  <c r="G77" i="20" s="1"/>
  <c r="H77" i="20" s="1"/>
  <c r="I77" i="20" s="1"/>
  <c r="J77" i="20" s="1"/>
  <c r="K77" i="20" s="1"/>
  <c r="L77" i="20" s="1"/>
  <c r="M77" i="20" s="1"/>
  <c r="N77" i="20" s="1"/>
  <c r="O77" i="20" s="1"/>
  <c r="P77" i="20" s="1"/>
  <c r="Q77" i="20" s="1"/>
  <c r="R77" i="20" s="1"/>
  <c r="S77" i="20" s="1"/>
  <c r="T77" i="20" s="1"/>
  <c r="U77" i="20" s="1"/>
  <c r="V77" i="20" s="1"/>
  <c r="W77" i="20" s="1"/>
  <c r="X77" i="20" s="1"/>
  <c r="Y77" i="20" s="1"/>
  <c r="Z77" i="20" s="1"/>
  <c r="AA77" i="20" s="1"/>
  <c r="AB77" i="20" s="1"/>
  <c r="AC77" i="20" s="1"/>
  <c r="AD77" i="20" s="1"/>
  <c r="AE77" i="20" s="1"/>
  <c r="AF77" i="20" s="1"/>
  <c r="AG77" i="20" s="1"/>
  <c r="AH77" i="20" s="1"/>
  <c r="AI77" i="20" s="1"/>
  <c r="AJ77" i="20" s="1"/>
  <c r="AK77" i="20" s="1"/>
  <c r="AL77" i="20" s="1"/>
  <c r="AM77" i="20" s="1"/>
  <c r="AN77" i="20" s="1"/>
  <c r="AO77" i="20" s="1"/>
  <c r="AP77" i="20" s="1"/>
  <c r="AQ77" i="20" s="1"/>
  <c r="AR77" i="20" s="1"/>
  <c r="AS77" i="20" s="1"/>
  <c r="AT77" i="20" s="1"/>
  <c r="AU77" i="20" s="1"/>
  <c r="AV77" i="20" s="1"/>
  <c r="AW77" i="20" s="1"/>
  <c r="AX77" i="20" s="1"/>
  <c r="AY77" i="20" s="1"/>
  <c r="C50" i="19"/>
  <c r="L50" i="19" s="1"/>
  <c r="C46" i="19"/>
  <c r="C44" i="19"/>
  <c r="C43" i="19"/>
  <c r="C40" i="19"/>
  <c r="K65" i="19"/>
  <c r="O56" i="19"/>
  <c r="N56" i="19"/>
  <c r="M56" i="19"/>
  <c r="L56" i="19"/>
  <c r="K56" i="19"/>
  <c r="C56" i="19"/>
  <c r="H55" i="19"/>
  <c r="G55" i="19"/>
  <c r="O50" i="19"/>
  <c r="E49" i="19"/>
  <c r="M47" i="19"/>
  <c r="L47" i="19"/>
  <c r="K47" i="19"/>
  <c r="E46" i="19"/>
  <c r="M45" i="19"/>
  <c r="L45" i="19"/>
  <c r="K45" i="19"/>
  <c r="H45" i="19"/>
  <c r="G45" i="19"/>
  <c r="N44" i="19"/>
  <c r="N25" i="19" s="1"/>
  <c r="M44" i="19"/>
  <c r="L44" i="19"/>
  <c r="K44" i="19"/>
  <c r="H44" i="19"/>
  <c r="H25" i="19" s="1"/>
  <c r="G44" i="19"/>
  <c r="F44" i="19"/>
  <c r="G43" i="19"/>
  <c r="F43" i="19"/>
  <c r="E43" i="19"/>
  <c r="P31" i="19"/>
  <c r="P25" i="19" s="1"/>
  <c r="AZ25" i="19"/>
  <c r="AY25" i="19"/>
  <c r="AX25" i="19"/>
  <c r="AW25" i="19"/>
  <c r="AV25" i="19"/>
  <c r="AU25" i="19"/>
  <c r="AT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J25" i="19"/>
  <c r="I25" i="19"/>
  <c r="E25" i="19"/>
  <c r="AF23" i="19"/>
  <c r="K22" i="19"/>
  <c r="J16" i="19" s="1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I16" i="19"/>
  <c r="H16" i="19"/>
  <c r="G16" i="19"/>
  <c r="F16" i="19"/>
  <c r="E16" i="19"/>
  <c r="C16" i="19"/>
  <c r="C10" i="19" s="1"/>
  <c r="C5" i="19"/>
  <c r="F48" i="18"/>
  <c r="G45" i="18"/>
  <c r="E45" i="18"/>
  <c r="E42" i="18"/>
  <c r="C7" i="19" l="1"/>
  <c r="O25" i="19"/>
  <c r="C25" i="19"/>
  <c r="C11" i="19" s="1"/>
  <c r="L25" i="19"/>
  <c r="F50" i="19"/>
  <c r="F25" i="19" s="1"/>
  <c r="K50" i="19"/>
  <c r="K25" i="19" s="1"/>
  <c r="M50" i="19"/>
  <c r="M25" i="19" s="1"/>
  <c r="G50" i="19"/>
  <c r="G25" i="19" s="1"/>
  <c r="L64" i="18"/>
  <c r="C45" i="18"/>
  <c r="C43" i="18"/>
  <c r="C42" i="18"/>
  <c r="C8" i="19" l="1"/>
  <c r="C9" i="19" s="1"/>
  <c r="F76" i="19"/>
  <c r="G76" i="19" s="1"/>
  <c r="H76" i="19" s="1"/>
  <c r="I76" i="19" s="1"/>
  <c r="J76" i="19" s="1"/>
  <c r="K76" i="19" s="1"/>
  <c r="L76" i="19" s="1"/>
  <c r="M76" i="19" s="1"/>
  <c r="N76" i="19" s="1"/>
  <c r="O76" i="19" s="1"/>
  <c r="P76" i="19" s="1"/>
  <c r="Q76" i="19" s="1"/>
  <c r="R76" i="19" s="1"/>
  <c r="S76" i="19" s="1"/>
  <c r="T76" i="19" s="1"/>
  <c r="U76" i="19" s="1"/>
  <c r="V76" i="19" s="1"/>
  <c r="W76" i="19" s="1"/>
  <c r="X76" i="19" s="1"/>
  <c r="Y76" i="19" s="1"/>
  <c r="Z76" i="19" s="1"/>
  <c r="AA76" i="19" s="1"/>
  <c r="AB76" i="19" s="1"/>
  <c r="AC76" i="19" s="1"/>
  <c r="AD76" i="19" s="1"/>
  <c r="AE76" i="19" s="1"/>
  <c r="AF76" i="19" s="1"/>
  <c r="AG76" i="19" s="1"/>
  <c r="AH76" i="19" s="1"/>
  <c r="AI76" i="19" s="1"/>
  <c r="AJ76" i="19" s="1"/>
  <c r="AK76" i="19" s="1"/>
  <c r="AL76" i="19" s="1"/>
  <c r="AM76" i="19" s="1"/>
  <c r="AN76" i="19" s="1"/>
  <c r="AO76" i="19" s="1"/>
  <c r="AP76" i="19" s="1"/>
  <c r="AQ76" i="19" s="1"/>
  <c r="AR76" i="19" s="1"/>
  <c r="AS76" i="19" s="1"/>
  <c r="AT76" i="19" s="1"/>
  <c r="AU76" i="19" s="1"/>
  <c r="AV76" i="19" s="1"/>
  <c r="AW76" i="19" s="1"/>
  <c r="AX76" i="19" s="1"/>
  <c r="AY76" i="19" s="1"/>
  <c r="AZ76" i="19" s="1"/>
  <c r="C63" i="18"/>
  <c r="O55" i="18"/>
  <c r="N55" i="18"/>
  <c r="M55" i="18"/>
  <c r="F55" i="18"/>
  <c r="P55" i="18"/>
  <c r="C55" i="18"/>
  <c r="I54" i="18"/>
  <c r="H54" i="18"/>
  <c r="E54" i="18"/>
  <c r="P49" i="18"/>
  <c r="C49" i="18"/>
  <c r="N49" i="18" s="1"/>
  <c r="C48" i="18"/>
  <c r="P46" i="18"/>
  <c r="O46" i="18"/>
  <c r="N46" i="18"/>
  <c r="O44" i="18"/>
  <c r="N44" i="18"/>
  <c r="M44" i="18"/>
  <c r="L44" i="18"/>
  <c r="I44" i="18"/>
  <c r="H44" i="18"/>
  <c r="F44" i="18"/>
  <c r="C44" i="18"/>
  <c r="O43" i="18"/>
  <c r="N43" i="18"/>
  <c r="M43" i="18"/>
  <c r="L43" i="18"/>
  <c r="I43" i="18"/>
  <c r="I25" i="18" s="1"/>
  <c r="H43" i="18"/>
  <c r="G43" i="18"/>
  <c r="F43" i="18"/>
  <c r="E43" i="18"/>
  <c r="H42" i="18"/>
  <c r="G42" i="18"/>
  <c r="F42" i="18"/>
  <c r="C40" i="18"/>
  <c r="Q31" i="18"/>
  <c r="Q25" i="18" s="1"/>
  <c r="BA25" i="18"/>
  <c r="AZ25" i="18"/>
  <c r="AY25" i="18"/>
  <c r="AX25" i="18"/>
  <c r="AW25" i="18"/>
  <c r="AV25" i="18"/>
  <c r="AU25" i="18"/>
  <c r="AT25" i="18"/>
  <c r="AS25" i="18"/>
  <c r="AR25" i="18"/>
  <c r="AQ25" i="18"/>
  <c r="AP25" i="18"/>
  <c r="AO25" i="18"/>
  <c r="AN25" i="18"/>
  <c r="AM25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S25" i="18"/>
  <c r="R25" i="18"/>
  <c r="K25" i="18"/>
  <c r="J25" i="18"/>
  <c r="AG23" i="18"/>
  <c r="K22" i="18"/>
  <c r="K16" i="18" s="1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J16" i="18"/>
  <c r="I16" i="18"/>
  <c r="H16" i="18"/>
  <c r="G16" i="18"/>
  <c r="F16" i="18"/>
  <c r="E16" i="18"/>
  <c r="C16" i="18"/>
  <c r="C10" i="18" s="1"/>
  <c r="C5" i="18"/>
  <c r="P25" i="18" l="1"/>
  <c r="E25" i="18"/>
  <c r="O25" i="18"/>
  <c r="L49" i="18"/>
  <c r="L25" i="18" s="1"/>
  <c r="C7" i="18"/>
  <c r="C25" i="18"/>
  <c r="C11" i="18" s="1"/>
  <c r="N25" i="18"/>
  <c r="E75" i="18"/>
  <c r="M49" i="18"/>
  <c r="F25" i="18" s="1"/>
  <c r="H49" i="18"/>
  <c r="H25" i="18" s="1"/>
  <c r="G49" i="18"/>
  <c r="G25" i="18" s="1"/>
  <c r="M25" i="18" l="1"/>
  <c r="C8" i="18" s="1"/>
  <c r="C9" i="18" s="1"/>
  <c r="F75" i="18"/>
  <c r="G75" i="18" s="1"/>
  <c r="H75" i="18" s="1"/>
  <c r="I75" i="18" s="1"/>
  <c r="J75" i="18" s="1"/>
  <c r="K75" i="18" s="1"/>
  <c r="L75" i="18" s="1"/>
  <c r="M75" i="18" s="1"/>
  <c r="N75" i="18" s="1"/>
  <c r="O75" i="18" s="1"/>
  <c r="P75" i="18" s="1"/>
  <c r="Q75" i="18" s="1"/>
  <c r="R75" i="18" s="1"/>
  <c r="S75" i="18" s="1"/>
  <c r="T75" i="18" s="1"/>
  <c r="U75" i="18" s="1"/>
  <c r="V75" i="18" s="1"/>
  <c r="W75" i="18" s="1"/>
  <c r="X75" i="18" s="1"/>
  <c r="Y75" i="18" s="1"/>
  <c r="Z75" i="18" s="1"/>
  <c r="AA75" i="18" s="1"/>
  <c r="AB75" i="18" s="1"/>
  <c r="AC75" i="18" s="1"/>
  <c r="AD75" i="18" s="1"/>
  <c r="AE75" i="18" s="1"/>
  <c r="AF75" i="18" s="1"/>
  <c r="AG75" i="18" s="1"/>
  <c r="AH75" i="18" s="1"/>
  <c r="AI75" i="18" s="1"/>
  <c r="AJ75" i="18" s="1"/>
  <c r="AK75" i="18" s="1"/>
  <c r="AL75" i="18" s="1"/>
  <c r="AM75" i="18" s="1"/>
  <c r="AN75" i="18" s="1"/>
  <c r="AO75" i="18" s="1"/>
  <c r="AP75" i="18" s="1"/>
  <c r="AQ75" i="18" s="1"/>
  <c r="AR75" i="18" s="1"/>
  <c r="AS75" i="18" s="1"/>
  <c r="AT75" i="18" s="1"/>
  <c r="AU75" i="18" s="1"/>
  <c r="AV75" i="18" s="1"/>
  <c r="AW75" i="18" s="1"/>
  <c r="AX75" i="18" s="1"/>
  <c r="AY75" i="18" s="1"/>
  <c r="AZ75" i="18" s="1"/>
  <c r="BA75" i="18" s="1"/>
  <c r="E41" i="16"/>
  <c r="J45" i="16"/>
  <c r="C39" i="16"/>
  <c r="P54" i="16"/>
  <c r="I54" i="16"/>
  <c r="J54" i="16"/>
  <c r="K54" i="16"/>
  <c r="H54" i="16"/>
  <c r="E54" i="16"/>
  <c r="C54" i="16"/>
  <c r="I47" i="16"/>
  <c r="H47" i="16"/>
  <c r="C44" i="16"/>
  <c r="I43" i="16"/>
  <c r="C43" i="16"/>
  <c r="L42" i="16"/>
  <c r="K42" i="16"/>
  <c r="P42" i="16"/>
  <c r="J42" i="16"/>
  <c r="O42" i="16"/>
  <c r="R42" i="16"/>
  <c r="I42" i="16"/>
  <c r="Q42" i="16"/>
  <c r="H42" i="16"/>
  <c r="E42" i="16"/>
  <c r="C42" i="16"/>
  <c r="S39" i="16"/>
  <c r="H53" i="16"/>
  <c r="K44" i="16"/>
  <c r="K41" i="16"/>
  <c r="I41" i="16"/>
  <c r="J38" i="16"/>
  <c r="C65" i="16" l="1"/>
  <c r="J53" i="16"/>
  <c r="E25" i="16"/>
  <c r="I53" i="16"/>
  <c r="S48" i="16"/>
  <c r="C48" i="16"/>
  <c r="Q48" i="16" s="1"/>
  <c r="I45" i="16"/>
  <c r="H45" i="16"/>
  <c r="H44" i="16"/>
  <c r="E44" i="16"/>
  <c r="S25" i="16"/>
  <c r="R25" i="16"/>
  <c r="Q43" i="16"/>
  <c r="P43" i="16"/>
  <c r="P25" i="16" s="1"/>
  <c r="O43" i="16"/>
  <c r="O25" i="16" s="1"/>
  <c r="L43" i="16"/>
  <c r="K43" i="16"/>
  <c r="J43" i="16"/>
  <c r="H43" i="16"/>
  <c r="J41" i="16"/>
  <c r="H41" i="16"/>
  <c r="C41" i="16"/>
  <c r="Q38" i="16"/>
  <c r="T31" i="16"/>
  <c r="T25" i="16" s="1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Q25" i="16"/>
  <c r="N25" i="16"/>
  <c r="M25" i="16"/>
  <c r="G25" i="16"/>
  <c r="F25" i="16"/>
  <c r="AJ23" i="16"/>
  <c r="N22" i="16"/>
  <c r="N16" i="16" s="1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M16" i="16"/>
  <c r="L16" i="16"/>
  <c r="K16" i="16"/>
  <c r="J16" i="16"/>
  <c r="I16" i="16"/>
  <c r="H16" i="16"/>
  <c r="G16" i="16"/>
  <c r="F16" i="16"/>
  <c r="E16" i="16"/>
  <c r="C16" i="16"/>
  <c r="C10" i="16" s="1"/>
  <c r="C5" i="16"/>
  <c r="C25" i="16" l="1"/>
  <c r="C11" i="16" s="1"/>
  <c r="L25" i="16"/>
  <c r="E77" i="16"/>
  <c r="F77" i="16" s="1"/>
  <c r="G77" i="16" s="1"/>
  <c r="C7" i="16"/>
  <c r="I48" i="16"/>
  <c r="I25" i="16" s="1"/>
  <c r="K48" i="16"/>
  <c r="K25" i="16" s="1"/>
  <c r="H48" i="16"/>
  <c r="H25" i="16" s="1"/>
  <c r="J48" i="16"/>
  <c r="J25" i="16" s="1"/>
  <c r="M53" i="15"/>
  <c r="L53" i="15"/>
  <c r="C8" i="16" l="1"/>
  <c r="C9" i="16" s="1"/>
  <c r="H77" i="16"/>
  <c r="I77" i="16" s="1"/>
  <c r="J77" i="16" s="1"/>
  <c r="K77" i="16" s="1"/>
  <c r="L77" i="16" s="1"/>
  <c r="M77" i="16" s="1"/>
  <c r="N77" i="16" s="1"/>
  <c r="O77" i="16" s="1"/>
  <c r="P77" i="16" s="1"/>
  <c r="Q77" i="16" s="1"/>
  <c r="R77" i="16" s="1"/>
  <c r="S77" i="16" s="1"/>
  <c r="T77" i="16" s="1"/>
  <c r="U77" i="16" s="1"/>
  <c r="V77" i="16" s="1"/>
  <c r="W77" i="16" s="1"/>
  <c r="X77" i="16" s="1"/>
  <c r="Y77" i="16" s="1"/>
  <c r="Z77" i="16" s="1"/>
  <c r="AA77" i="16" s="1"/>
  <c r="AB77" i="16" s="1"/>
  <c r="AC77" i="16" s="1"/>
  <c r="AD77" i="16" s="1"/>
  <c r="AE77" i="16" s="1"/>
  <c r="AF77" i="16" s="1"/>
  <c r="AG77" i="16" s="1"/>
  <c r="AH77" i="16" s="1"/>
  <c r="AI77" i="16" s="1"/>
  <c r="AJ77" i="16" s="1"/>
  <c r="AK77" i="16" s="1"/>
  <c r="AL77" i="16" s="1"/>
  <c r="AM77" i="16" s="1"/>
  <c r="AN77" i="16" s="1"/>
  <c r="AO77" i="16" s="1"/>
  <c r="AP77" i="16" s="1"/>
  <c r="AQ77" i="16" s="1"/>
  <c r="AR77" i="16" s="1"/>
  <c r="AS77" i="16" s="1"/>
  <c r="AT77" i="16" s="1"/>
  <c r="AU77" i="16" s="1"/>
  <c r="AV77" i="16" s="1"/>
  <c r="AW77" i="16" s="1"/>
  <c r="AX77" i="16" s="1"/>
  <c r="AY77" i="16" s="1"/>
  <c r="AZ77" i="16" s="1"/>
  <c r="BA77" i="16" s="1"/>
  <c r="BB77" i="16" s="1"/>
  <c r="BC77" i="16" s="1"/>
  <c r="BD77" i="16" s="1"/>
  <c r="C65" i="15"/>
  <c r="C44" i="15"/>
  <c r="C43" i="15"/>
  <c r="C39" i="15"/>
  <c r="C38" i="15"/>
  <c r="C54" i="15"/>
  <c r="G53" i="15"/>
  <c r="F53" i="15"/>
  <c r="O48" i="15"/>
  <c r="O25" i="15" s="1"/>
  <c r="C48" i="15"/>
  <c r="M48" i="15" s="1"/>
  <c r="G47" i="15"/>
  <c r="G45" i="15"/>
  <c r="F45" i="15"/>
  <c r="E45" i="15"/>
  <c r="J44" i="15"/>
  <c r="G44" i="15"/>
  <c r="F44" i="15"/>
  <c r="U43" i="15"/>
  <c r="U25" i="15" s="1"/>
  <c r="T43" i="15"/>
  <c r="S43" i="15"/>
  <c r="S25" i="15" s="1"/>
  <c r="R43" i="15"/>
  <c r="Q43" i="15"/>
  <c r="Q25" i="15" s="1"/>
  <c r="N43" i="15"/>
  <c r="M43" i="15"/>
  <c r="M25" i="15" s="1"/>
  <c r="L43" i="15"/>
  <c r="K43" i="15"/>
  <c r="J43" i="15"/>
  <c r="G43" i="15"/>
  <c r="L41" i="15"/>
  <c r="K41" i="15"/>
  <c r="J41" i="15"/>
  <c r="G41" i="15"/>
  <c r="E41" i="15"/>
  <c r="C41" i="15"/>
  <c r="G39" i="15"/>
  <c r="N38" i="15"/>
  <c r="G34" i="15"/>
  <c r="V31" i="15"/>
  <c r="V25" i="15" s="1"/>
  <c r="BF25" i="15"/>
  <c r="BE25" i="15"/>
  <c r="BD25" i="15"/>
  <c r="BC25" i="15"/>
  <c r="BB25" i="15"/>
  <c r="BA25" i="15"/>
  <c r="AZ25" i="15"/>
  <c r="AY25" i="15"/>
  <c r="AX25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T25" i="15"/>
  <c r="R25" i="15"/>
  <c r="P25" i="15"/>
  <c r="I25" i="15"/>
  <c r="H25" i="15"/>
  <c r="F25" i="15"/>
  <c r="AL23" i="15"/>
  <c r="P22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C7" i="15" s="1"/>
  <c r="E16" i="15"/>
  <c r="C16" i="15"/>
  <c r="C10" i="15"/>
  <c r="C5" i="15"/>
  <c r="L48" i="15" l="1"/>
  <c r="L25" i="15" s="1"/>
  <c r="G25" i="15"/>
  <c r="E25" i="15"/>
  <c r="E77" i="15" s="1"/>
  <c r="F77" i="15" s="1"/>
  <c r="G77" i="15" s="1"/>
  <c r="H77" i="15" s="1"/>
  <c r="I77" i="15" s="1"/>
  <c r="J77" i="15" s="1"/>
  <c r="J48" i="15"/>
  <c r="J25" i="15" s="1"/>
  <c r="N48" i="15"/>
  <c r="N25" i="15" s="1"/>
  <c r="C25" i="15"/>
  <c r="C11" i="15" s="1"/>
  <c r="K48" i="15"/>
  <c r="K25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G77" i="15" s="1"/>
  <c r="AH77" i="15" s="1"/>
  <c r="AI77" i="15" s="1"/>
  <c r="AJ77" i="15" s="1"/>
  <c r="AK77" i="15" s="1"/>
  <c r="AL77" i="15" s="1"/>
  <c r="AM77" i="15" s="1"/>
  <c r="AN77" i="15" s="1"/>
  <c r="AO77" i="15" s="1"/>
  <c r="AP77" i="15" s="1"/>
  <c r="AQ77" i="15" s="1"/>
  <c r="AR77" i="15" s="1"/>
  <c r="AS77" i="15" s="1"/>
  <c r="AT77" i="15" s="1"/>
  <c r="AU77" i="15" s="1"/>
  <c r="AV77" i="15" s="1"/>
  <c r="AW77" i="15" s="1"/>
  <c r="AX77" i="15" s="1"/>
  <c r="AY77" i="15" s="1"/>
  <c r="AZ77" i="15" s="1"/>
  <c r="BA77" i="15" s="1"/>
  <c r="BB77" i="15" s="1"/>
  <c r="BC77" i="15" s="1"/>
  <c r="BD77" i="15" s="1"/>
  <c r="BE77" i="15" s="1"/>
  <c r="BF77" i="15" s="1"/>
  <c r="C8" i="15" l="1"/>
  <c r="C9" i="15" s="1"/>
  <c r="H44" i="14" l="1"/>
  <c r="E44" i="14"/>
  <c r="M41" i="14"/>
  <c r="G53" i="14"/>
  <c r="O38" i="14"/>
  <c r="H39" i="14"/>
  <c r="H47" i="14"/>
  <c r="E47" i="14"/>
  <c r="H34" i="14"/>
  <c r="C65" i="14" l="1"/>
  <c r="C44" i="14"/>
  <c r="C43" i="14"/>
  <c r="C39" i="14"/>
  <c r="C38" i="14"/>
  <c r="C54" i="14" l="1"/>
  <c r="H53" i="14"/>
  <c r="P48" i="14"/>
  <c r="P25" i="14" s="1"/>
  <c r="C48" i="14"/>
  <c r="O48" i="14" s="1"/>
  <c r="H25" i="14"/>
  <c r="G45" i="14"/>
  <c r="F45" i="14"/>
  <c r="H45" i="14"/>
  <c r="K44" i="14"/>
  <c r="G44" i="14"/>
  <c r="V43" i="14"/>
  <c r="V25" i="14" s="1"/>
  <c r="U43" i="14"/>
  <c r="U25" i="14" s="1"/>
  <c r="T43" i="14"/>
  <c r="T25" i="14" s="1"/>
  <c r="S43" i="14"/>
  <c r="R43" i="14"/>
  <c r="R25" i="14" s="1"/>
  <c r="O43" i="14"/>
  <c r="N43" i="14"/>
  <c r="M43" i="14"/>
  <c r="L43" i="14"/>
  <c r="K43" i="14"/>
  <c r="H43" i="14"/>
  <c r="L41" i="14"/>
  <c r="K41" i="14"/>
  <c r="H41" i="14"/>
  <c r="F41" i="14"/>
  <c r="C41" i="14"/>
  <c r="W31" i="14"/>
  <c r="BG25" i="14"/>
  <c r="BF25" i="14"/>
  <c r="BE25" i="14"/>
  <c r="BD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S25" i="14"/>
  <c r="Q25" i="14"/>
  <c r="J25" i="14"/>
  <c r="I25" i="14"/>
  <c r="G25" i="14"/>
  <c r="F25" i="14"/>
  <c r="E25" i="14"/>
  <c r="AM23" i="14"/>
  <c r="Q22" i="14"/>
  <c r="Q16" i="14" s="1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C16" i="14"/>
  <c r="C10" i="14" s="1"/>
  <c r="C5" i="14"/>
  <c r="E77" i="14" s="1"/>
  <c r="O25" i="14" l="1"/>
  <c r="C7" i="14"/>
  <c r="C25" i="14"/>
  <c r="C11" i="14" s="1"/>
  <c r="F77" i="14"/>
  <c r="G77" i="14" s="1"/>
  <c r="H77" i="14" s="1"/>
  <c r="I77" i="14" s="1"/>
  <c r="J77" i="14" s="1"/>
  <c r="L48" i="14"/>
  <c r="L25" i="14" s="1"/>
  <c r="N48" i="14"/>
  <c r="N25" i="14" s="1"/>
  <c r="K48" i="14"/>
  <c r="K25" i="14" s="1"/>
  <c r="M48" i="14"/>
  <c r="M25" i="14" s="1"/>
  <c r="I47" i="13"/>
  <c r="C8" i="14" l="1"/>
  <c r="C9" i="14" s="1"/>
  <c r="K77" i="14"/>
  <c r="L77" i="14" s="1"/>
  <c r="M77" i="14" s="1"/>
  <c r="N77" i="14" s="1"/>
  <c r="O77" i="14" s="1"/>
  <c r="P77" i="14" s="1"/>
  <c r="Q77" i="14" s="1"/>
  <c r="R77" i="14" s="1"/>
  <c r="S77" i="14" s="1"/>
  <c r="T77" i="14" s="1"/>
  <c r="U77" i="14" s="1"/>
  <c r="V77" i="14" s="1"/>
  <c r="W77" i="14" s="1"/>
  <c r="X77" i="14" s="1"/>
  <c r="Y77" i="14" s="1"/>
  <c r="Z77" i="14" s="1"/>
  <c r="AA77" i="14" s="1"/>
  <c r="AB77" i="14" s="1"/>
  <c r="AC77" i="14" s="1"/>
  <c r="AD77" i="14" s="1"/>
  <c r="AE77" i="14" s="1"/>
  <c r="AF77" i="14" s="1"/>
  <c r="AG77" i="14" s="1"/>
  <c r="AH77" i="14" s="1"/>
  <c r="AI77" i="14" s="1"/>
  <c r="AJ77" i="14" s="1"/>
  <c r="AK77" i="14" s="1"/>
  <c r="AL77" i="14" s="1"/>
  <c r="AM77" i="14" s="1"/>
  <c r="AN77" i="14" s="1"/>
  <c r="AO77" i="14" s="1"/>
  <c r="AP77" i="14" s="1"/>
  <c r="AQ77" i="14" s="1"/>
  <c r="AR77" i="14" s="1"/>
  <c r="AS77" i="14" s="1"/>
  <c r="AT77" i="14" s="1"/>
  <c r="AU77" i="14" s="1"/>
  <c r="AV77" i="14" s="1"/>
  <c r="AW77" i="14" s="1"/>
  <c r="AX77" i="14" s="1"/>
  <c r="AY77" i="14" s="1"/>
  <c r="AZ77" i="14" s="1"/>
  <c r="BA77" i="14" s="1"/>
  <c r="BB77" i="14" s="1"/>
  <c r="BC77" i="14" s="1"/>
  <c r="BD77" i="14" s="1"/>
  <c r="BE77" i="14" s="1"/>
  <c r="BF77" i="14" s="1"/>
  <c r="BG77" i="14" s="1"/>
  <c r="F41" i="13"/>
  <c r="G41" i="13"/>
  <c r="I41" i="13"/>
  <c r="L41" i="13"/>
  <c r="M41" i="13"/>
  <c r="AN23" i="13"/>
  <c r="H44" i="13"/>
  <c r="E44" i="13"/>
  <c r="I34" i="13"/>
  <c r="L44" i="13"/>
  <c r="H45" i="13"/>
  <c r="G45" i="13"/>
  <c r="F45" i="13"/>
  <c r="C16" i="13"/>
  <c r="C54" i="13" l="1"/>
  <c r="I53" i="13"/>
  <c r="F53" i="13"/>
  <c r="F25" i="13" s="1"/>
  <c r="Q48" i="13"/>
  <c r="C48" i="13"/>
  <c r="O48" i="13" s="1"/>
  <c r="W43" i="13"/>
  <c r="W25" i="13" s="1"/>
  <c r="V43" i="13"/>
  <c r="U43" i="13"/>
  <c r="U25" i="13" s="1"/>
  <c r="T43" i="13"/>
  <c r="S43" i="13"/>
  <c r="S25" i="13" s="1"/>
  <c r="P43" i="13"/>
  <c r="O43" i="13"/>
  <c r="N43" i="13"/>
  <c r="M43" i="13"/>
  <c r="L43" i="13"/>
  <c r="I43" i="13"/>
  <c r="C43" i="13"/>
  <c r="G25" i="13"/>
  <c r="E25" i="13"/>
  <c r="C41" i="13"/>
  <c r="X31" i="13"/>
  <c r="X25" i="13" s="1"/>
  <c r="BH25" i="13"/>
  <c r="BG25" i="13"/>
  <c r="BF25" i="13"/>
  <c r="BE25" i="13"/>
  <c r="BD25" i="13"/>
  <c r="BC25" i="13"/>
  <c r="BB25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V25" i="13"/>
  <c r="T25" i="13"/>
  <c r="R25" i="13"/>
  <c r="Q25" i="13"/>
  <c r="K25" i="13"/>
  <c r="J25" i="13"/>
  <c r="R22" i="13"/>
  <c r="R16" i="13" s="1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C10" i="13"/>
  <c r="C5" i="13"/>
  <c r="C25" i="13" l="1"/>
  <c r="C11" i="13" s="1"/>
  <c r="C7" i="13"/>
  <c r="I25" i="13"/>
  <c r="O25" i="13"/>
  <c r="E77" i="13"/>
  <c r="F77" i="13" s="1"/>
  <c r="G77" i="13" s="1"/>
  <c r="L48" i="13"/>
  <c r="L25" i="13" s="1"/>
  <c r="N48" i="13"/>
  <c r="N25" i="13" s="1"/>
  <c r="P48" i="13"/>
  <c r="P25" i="13" s="1"/>
  <c r="M48" i="13"/>
  <c r="M25" i="13" s="1"/>
  <c r="E44" i="12"/>
  <c r="O41" i="12"/>
  <c r="E41" i="12"/>
  <c r="L44" i="12"/>
  <c r="C43" i="12"/>
  <c r="C52" i="12"/>
  <c r="L51" i="12"/>
  <c r="I51" i="12"/>
  <c r="T47" i="12"/>
  <c r="M25" i="12" s="1"/>
  <c r="C47" i="12"/>
  <c r="S47" i="12" s="1"/>
  <c r="L46" i="12"/>
  <c r="H45" i="12"/>
  <c r="H44" i="12"/>
  <c r="Z43" i="12"/>
  <c r="Y43" i="12"/>
  <c r="X43" i="12"/>
  <c r="W43" i="12"/>
  <c r="V43" i="12"/>
  <c r="S43" i="12"/>
  <c r="R43" i="12"/>
  <c r="Q43" i="12"/>
  <c r="P43" i="12"/>
  <c r="O43" i="12"/>
  <c r="L43" i="12"/>
  <c r="P41" i="12"/>
  <c r="L41" i="12"/>
  <c r="J41" i="12"/>
  <c r="I41" i="12"/>
  <c r="H41" i="12"/>
  <c r="C41" i="12"/>
  <c r="E33" i="12"/>
  <c r="AA31" i="12"/>
  <c r="AA25" i="12" s="1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G25" i="12"/>
  <c r="F25" i="12"/>
  <c r="E25" i="12"/>
  <c r="U22" i="12"/>
  <c r="U16" i="12" s="1"/>
  <c r="C7" i="12" s="1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C10" i="12"/>
  <c r="C5" i="12"/>
  <c r="E73" i="12" l="1"/>
  <c r="F73" i="12" s="1"/>
  <c r="G73" i="12" s="1"/>
  <c r="C25" i="12"/>
  <c r="C11" i="12" s="1"/>
  <c r="L25" i="12"/>
  <c r="P47" i="12"/>
  <c r="I25" i="12" s="1"/>
  <c r="R47" i="12"/>
  <c r="K25" i="12" s="1"/>
  <c r="O47" i="12"/>
  <c r="H25" i="12" s="1"/>
  <c r="Q47" i="12"/>
  <c r="J25" i="12" s="1"/>
  <c r="E44" i="11"/>
  <c r="C8" i="12" l="1"/>
  <c r="C9" i="12" s="1"/>
  <c r="H73" i="12"/>
  <c r="I73" i="12" s="1"/>
  <c r="J73" i="12" s="1"/>
  <c r="K73" i="12" s="1"/>
  <c r="L73" i="12" s="1"/>
  <c r="M73" i="12" s="1"/>
  <c r="N73" i="12" s="1"/>
  <c r="O73" i="12" s="1"/>
  <c r="P73" i="12" s="1"/>
  <c r="Q73" i="12" s="1"/>
  <c r="R73" i="12" s="1"/>
  <c r="S73" i="12" s="1"/>
  <c r="T73" i="12" s="1"/>
  <c r="U73" i="12" s="1"/>
  <c r="V73" i="12" s="1"/>
  <c r="W73" i="12" s="1"/>
  <c r="X73" i="12" s="1"/>
  <c r="Y73" i="12" s="1"/>
  <c r="Z73" i="12" s="1"/>
  <c r="AA73" i="12" s="1"/>
  <c r="AB73" i="12" s="1"/>
  <c r="AC73" i="12" s="1"/>
  <c r="AD73" i="12" s="1"/>
  <c r="AE73" i="12" s="1"/>
  <c r="AF73" i="12" s="1"/>
  <c r="AG73" i="12" s="1"/>
  <c r="AH73" i="12" s="1"/>
  <c r="AI73" i="12" s="1"/>
  <c r="AJ73" i="12" s="1"/>
  <c r="AK73" i="12" s="1"/>
  <c r="AL73" i="12" s="1"/>
  <c r="AM73" i="12" s="1"/>
  <c r="AN73" i="12" s="1"/>
  <c r="AO73" i="12" s="1"/>
  <c r="AP73" i="12" s="1"/>
  <c r="AQ73" i="12" s="1"/>
  <c r="AR73" i="12" s="1"/>
  <c r="AS73" i="12" s="1"/>
  <c r="AT73" i="12" s="1"/>
  <c r="AU73" i="12" s="1"/>
  <c r="AV73" i="12" s="1"/>
  <c r="AW73" i="12" s="1"/>
  <c r="AX73" i="12" s="1"/>
  <c r="AY73" i="12" s="1"/>
  <c r="AZ73" i="12" s="1"/>
  <c r="BA73" i="12" s="1"/>
  <c r="BB73" i="12" s="1"/>
  <c r="BC73" i="12" s="1"/>
  <c r="BD73" i="12" s="1"/>
  <c r="BE73" i="12" s="1"/>
  <c r="BF73" i="12" s="1"/>
  <c r="BG73" i="12" s="1"/>
  <c r="BH73" i="12" s="1"/>
  <c r="BI73" i="12" s="1"/>
  <c r="BJ73" i="12" s="1"/>
  <c r="BK73" i="12" s="1"/>
  <c r="Q41" i="11"/>
  <c r="AA43" i="11" l="1"/>
  <c r="Z43" i="11"/>
  <c r="Y43" i="11"/>
  <c r="X43" i="11"/>
  <c r="W43" i="11"/>
  <c r="Q43" i="11"/>
  <c r="R43" i="11"/>
  <c r="S43" i="11"/>
  <c r="T43" i="11"/>
  <c r="P43" i="11"/>
  <c r="M43" i="11"/>
  <c r="C43" i="11" l="1"/>
  <c r="M46" i="11" l="1"/>
  <c r="C52" i="11"/>
  <c r="M51" i="11"/>
  <c r="J51" i="11"/>
  <c r="N47" i="11"/>
  <c r="N25" i="11" s="1"/>
  <c r="C47" i="11"/>
  <c r="L47" i="11" s="1"/>
  <c r="L25" i="11" s="1"/>
  <c r="I45" i="11"/>
  <c r="I44" i="11"/>
  <c r="F44" i="11"/>
  <c r="C44" i="11"/>
  <c r="W25" i="11"/>
  <c r="M41" i="11"/>
  <c r="K41" i="11"/>
  <c r="J41" i="11"/>
  <c r="I41" i="11"/>
  <c r="F41" i="11"/>
  <c r="E25" i="11"/>
  <c r="C41" i="11"/>
  <c r="F33" i="11"/>
  <c r="AB31" i="11"/>
  <c r="AB25" i="11" s="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A25" i="11"/>
  <c r="Z25" i="11"/>
  <c r="Y25" i="11"/>
  <c r="X25" i="11"/>
  <c r="V25" i="11"/>
  <c r="U25" i="11"/>
  <c r="T25" i="11"/>
  <c r="S25" i="11"/>
  <c r="R25" i="11"/>
  <c r="Q25" i="11"/>
  <c r="P25" i="11"/>
  <c r="O25" i="11"/>
  <c r="H25" i="11"/>
  <c r="G25" i="11"/>
  <c r="V22" i="11"/>
  <c r="V16" i="11" s="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C10" i="11"/>
  <c r="C5" i="11"/>
  <c r="F25" i="11" l="1"/>
  <c r="E73" i="11"/>
  <c r="F73" i="11" s="1"/>
  <c r="G73" i="11" s="1"/>
  <c r="H73" i="11" s="1"/>
  <c r="K47" i="11"/>
  <c r="K25" i="11" s="1"/>
  <c r="C7" i="11"/>
  <c r="I47" i="11"/>
  <c r="I25" i="11" s="1"/>
  <c r="M47" i="11"/>
  <c r="C25" i="11"/>
  <c r="C11" i="11" s="1"/>
  <c r="M25" i="11"/>
  <c r="J47" i="11"/>
  <c r="J25" i="11" s="1"/>
  <c r="H38" i="10"/>
  <c r="N51" i="10"/>
  <c r="K51" i="10"/>
  <c r="C8" i="11" l="1"/>
  <c r="C9" i="11" s="1"/>
  <c r="I73" i="11"/>
  <c r="J73" i="11" s="1"/>
  <c r="K73" i="11" s="1"/>
  <c r="L73" i="11" s="1"/>
  <c r="M73" i="11" s="1"/>
  <c r="N73" i="11" s="1"/>
  <c r="O73" i="11" s="1"/>
  <c r="P73" i="11" s="1"/>
  <c r="Q73" i="11" s="1"/>
  <c r="R73" i="11" s="1"/>
  <c r="S73" i="11" s="1"/>
  <c r="T73" i="11" s="1"/>
  <c r="U73" i="11" s="1"/>
  <c r="V73" i="11" s="1"/>
  <c r="W73" i="11" s="1"/>
  <c r="X73" i="11" s="1"/>
  <c r="Y73" i="11" s="1"/>
  <c r="Z73" i="11" s="1"/>
  <c r="AA73" i="11" s="1"/>
  <c r="AB73" i="11" s="1"/>
  <c r="AC73" i="11" s="1"/>
  <c r="AD73" i="11" s="1"/>
  <c r="AE73" i="11" s="1"/>
  <c r="AF73" i="11" s="1"/>
  <c r="AG73" i="11" s="1"/>
  <c r="AH73" i="11" s="1"/>
  <c r="AI73" i="11" s="1"/>
  <c r="AJ73" i="11" s="1"/>
  <c r="AK73" i="11" s="1"/>
  <c r="AL73" i="11" s="1"/>
  <c r="AM73" i="11" s="1"/>
  <c r="AN73" i="11" s="1"/>
  <c r="AO73" i="11" s="1"/>
  <c r="AP73" i="11" s="1"/>
  <c r="AQ73" i="11" s="1"/>
  <c r="AR73" i="11" s="1"/>
  <c r="AS73" i="11" s="1"/>
  <c r="AT73" i="11" s="1"/>
  <c r="AU73" i="11" s="1"/>
  <c r="AV73" i="11" s="1"/>
  <c r="AW73" i="11" s="1"/>
  <c r="AX73" i="11" s="1"/>
  <c r="AY73" i="11" s="1"/>
  <c r="AZ73" i="11" s="1"/>
  <c r="BA73" i="11" s="1"/>
  <c r="BB73" i="11" s="1"/>
  <c r="BC73" i="11" s="1"/>
  <c r="BD73" i="11" s="1"/>
  <c r="BE73" i="11" s="1"/>
  <c r="BF73" i="11" s="1"/>
  <c r="BG73" i="11" s="1"/>
  <c r="BH73" i="11" s="1"/>
  <c r="BI73" i="11" s="1"/>
  <c r="BJ73" i="11" s="1"/>
  <c r="BK73" i="11" s="1"/>
  <c r="BL73" i="11" s="1"/>
  <c r="C44" i="10"/>
  <c r="C52" i="10"/>
  <c r="O47" i="10"/>
  <c r="O25" i="10" s="1"/>
  <c r="C47" i="10"/>
  <c r="M47" i="10" s="1"/>
  <c r="M25" i="10" s="1"/>
  <c r="N46" i="10"/>
  <c r="J45" i="10"/>
  <c r="J44" i="10"/>
  <c r="G44" i="10"/>
  <c r="F44" i="10"/>
  <c r="E25" i="10"/>
  <c r="X43" i="10"/>
  <c r="X25" i="10" s="1"/>
  <c r="N41" i="10"/>
  <c r="L41" i="10"/>
  <c r="K41" i="10"/>
  <c r="J41" i="10"/>
  <c r="G41" i="10"/>
  <c r="F41" i="10"/>
  <c r="F25" i="10" s="1"/>
  <c r="C41" i="10"/>
  <c r="N39" i="10"/>
  <c r="G33" i="10"/>
  <c r="G25" i="10" s="1"/>
  <c r="AC31" i="10"/>
  <c r="AC25" i="10" s="1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B25" i="10"/>
  <c r="AA25" i="10"/>
  <c r="Z25" i="10"/>
  <c r="Y25" i="10"/>
  <c r="W25" i="10"/>
  <c r="V25" i="10"/>
  <c r="U25" i="10"/>
  <c r="T25" i="10"/>
  <c r="S25" i="10"/>
  <c r="R25" i="10"/>
  <c r="Q25" i="10"/>
  <c r="P25" i="10"/>
  <c r="I25" i="10"/>
  <c r="H25" i="10"/>
  <c r="W22" i="10"/>
  <c r="W16" i="10" s="1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0" i="10"/>
  <c r="C5" i="10"/>
  <c r="E73" i="10" s="1"/>
  <c r="C25" i="10" l="1"/>
  <c r="C11" i="10" s="1"/>
  <c r="C7" i="10"/>
  <c r="F73" i="10"/>
  <c r="G73" i="10" s="1"/>
  <c r="H73" i="10" s="1"/>
  <c r="I73" i="10" s="1"/>
  <c r="J47" i="10"/>
  <c r="J25" i="10" s="1"/>
  <c r="L47" i="10"/>
  <c r="L25" i="10" s="1"/>
  <c r="N47" i="10"/>
  <c r="N25" i="10" s="1"/>
  <c r="K47" i="10"/>
  <c r="K25" i="10" s="1"/>
  <c r="C7" i="9"/>
  <c r="BO25" i="9"/>
  <c r="BN25" i="9"/>
  <c r="BM25" i="9"/>
  <c r="BL25" i="9"/>
  <c r="BK25" i="9"/>
  <c r="BJ25" i="9"/>
  <c r="BI25" i="9"/>
  <c r="BH25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BO16" i="9"/>
  <c r="BN16" i="9"/>
  <c r="BM16" i="9"/>
  <c r="BL16" i="9"/>
  <c r="BK16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C8" i="10" l="1"/>
  <c r="C9" i="10" s="1"/>
  <c r="J73" i="10"/>
  <c r="K73" i="10" s="1"/>
  <c r="L73" i="10" s="1"/>
  <c r="M73" i="10" s="1"/>
  <c r="N73" i="10" s="1"/>
  <c r="O73" i="10" s="1"/>
  <c r="P73" i="10" s="1"/>
  <c r="Q73" i="10" s="1"/>
  <c r="R73" i="10" s="1"/>
  <c r="S73" i="10" s="1"/>
  <c r="T73" i="10" s="1"/>
  <c r="U73" i="10" s="1"/>
  <c r="V73" i="10" s="1"/>
  <c r="W73" i="10" s="1"/>
  <c r="X73" i="10" s="1"/>
  <c r="Y73" i="10" s="1"/>
  <c r="Z73" i="10" s="1"/>
  <c r="AA73" i="10" s="1"/>
  <c r="AB73" i="10" s="1"/>
  <c r="AC73" i="10" s="1"/>
  <c r="AD73" i="10" s="1"/>
  <c r="AE73" i="10" s="1"/>
  <c r="AF73" i="10" s="1"/>
  <c r="AG73" i="10" s="1"/>
  <c r="AH73" i="10" s="1"/>
  <c r="AI73" i="10" s="1"/>
  <c r="AJ73" i="10" s="1"/>
  <c r="AK73" i="10" s="1"/>
  <c r="AL73" i="10" s="1"/>
  <c r="AM73" i="10" s="1"/>
  <c r="AN73" i="10" s="1"/>
  <c r="AO73" i="10" s="1"/>
  <c r="AP73" i="10" s="1"/>
  <c r="AQ73" i="10" s="1"/>
  <c r="AR73" i="10" s="1"/>
  <c r="AS73" i="10" s="1"/>
  <c r="AT73" i="10" s="1"/>
  <c r="AU73" i="10" s="1"/>
  <c r="AV73" i="10" s="1"/>
  <c r="AW73" i="10" s="1"/>
  <c r="AX73" i="10" s="1"/>
  <c r="AY73" i="10" s="1"/>
  <c r="AZ73" i="10" s="1"/>
  <c r="BA73" i="10" s="1"/>
  <c r="BB73" i="10" s="1"/>
  <c r="BC73" i="10" s="1"/>
  <c r="BD73" i="10" s="1"/>
  <c r="BE73" i="10" s="1"/>
  <c r="BF73" i="10" s="1"/>
  <c r="BG73" i="10" s="1"/>
  <c r="BH73" i="10" s="1"/>
  <c r="BI73" i="10" s="1"/>
  <c r="BJ73" i="10" s="1"/>
  <c r="BK73" i="10" s="1"/>
  <c r="BL73" i="10" s="1"/>
  <c r="BM73" i="10" s="1"/>
  <c r="C40" i="9"/>
  <c r="C43" i="9"/>
  <c r="C50" i="9" l="1"/>
  <c r="Q46" i="9"/>
  <c r="Q25" i="9" s="1"/>
  <c r="C46" i="9"/>
  <c r="O46" i="9" s="1"/>
  <c r="O25" i="9" s="1"/>
  <c r="P45" i="9"/>
  <c r="L44" i="9"/>
  <c r="L43" i="9"/>
  <c r="I43" i="9"/>
  <c r="H43" i="9"/>
  <c r="G43" i="9"/>
  <c r="F43" i="9"/>
  <c r="F25" i="9" s="1"/>
  <c r="C25" i="9"/>
  <c r="C11" i="9" s="1"/>
  <c r="Z42" i="9"/>
  <c r="Z25" i="9" s="1"/>
  <c r="T25" i="9"/>
  <c r="P40" i="9"/>
  <c r="N40" i="9"/>
  <c r="M40" i="9"/>
  <c r="L40" i="9"/>
  <c r="I40" i="9"/>
  <c r="H40" i="9"/>
  <c r="P38" i="9"/>
  <c r="I33" i="9"/>
  <c r="AE31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Y25" i="9"/>
  <c r="X25" i="9"/>
  <c r="W25" i="9"/>
  <c r="V25" i="9"/>
  <c r="U25" i="9"/>
  <c r="S25" i="9"/>
  <c r="R25" i="9"/>
  <c r="K25" i="9"/>
  <c r="J25" i="9"/>
  <c r="G25" i="9"/>
  <c r="E25" i="9"/>
  <c r="Y22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C10" i="9"/>
  <c r="C5" i="9"/>
  <c r="C8" i="9" l="1"/>
  <c r="E70" i="9"/>
  <c r="F70" i="9" s="1"/>
  <c r="G70" i="9" s="1"/>
  <c r="P46" i="9"/>
  <c r="P25" i="9" s="1"/>
  <c r="I25" i="9"/>
  <c r="L46" i="9"/>
  <c r="H25" i="9"/>
  <c r="L25" i="9"/>
  <c r="N46" i="9"/>
  <c r="N25" i="9" s="1"/>
  <c r="M46" i="9"/>
  <c r="M25" i="9" s="1"/>
  <c r="E43" i="8"/>
  <c r="AC42" i="8"/>
  <c r="T46" i="8"/>
  <c r="X25" i="8"/>
  <c r="Z25" i="8"/>
  <c r="S38" i="8"/>
  <c r="C43" i="8"/>
  <c r="C50" i="8"/>
  <c r="C46" i="8"/>
  <c r="R46" i="8" s="1"/>
  <c r="S45" i="8"/>
  <c r="O44" i="8"/>
  <c r="M25" i="8" s="1"/>
  <c r="O43" i="8"/>
  <c r="L43" i="8"/>
  <c r="K43" i="8"/>
  <c r="J43" i="8"/>
  <c r="I43" i="8"/>
  <c r="I25" i="8" s="1"/>
  <c r="C25" i="8"/>
  <c r="C11" i="8" s="1"/>
  <c r="W40" i="8"/>
  <c r="V40" i="8"/>
  <c r="S40" i="8"/>
  <c r="R25" i="8"/>
  <c r="Q40" i="8"/>
  <c r="P40" i="8"/>
  <c r="O40" i="8"/>
  <c r="L40" i="8"/>
  <c r="K40" i="8"/>
  <c r="L33" i="8"/>
  <c r="L25" i="8" s="1"/>
  <c r="AH31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Y25" i="8"/>
  <c r="W25" i="8"/>
  <c r="U25" i="8"/>
  <c r="T25" i="8"/>
  <c r="N25" i="8"/>
  <c r="K25" i="8"/>
  <c r="H25" i="8"/>
  <c r="G25" i="8"/>
  <c r="F25" i="8"/>
  <c r="E25" i="8"/>
  <c r="AB22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C10" i="8"/>
  <c r="C5" i="8"/>
  <c r="H70" i="9" l="1"/>
  <c r="I70" i="9" s="1"/>
  <c r="J70" i="9" s="1"/>
  <c r="K70" i="9" s="1"/>
  <c r="L70" i="9" s="1"/>
  <c r="M70" i="9" s="1"/>
  <c r="N70" i="9" s="1"/>
  <c r="O70" i="9" s="1"/>
  <c r="P70" i="9" s="1"/>
  <c r="Q70" i="9" s="1"/>
  <c r="R70" i="9" s="1"/>
  <c r="S70" i="9" s="1"/>
  <c r="T70" i="9" s="1"/>
  <c r="U70" i="9" s="1"/>
  <c r="V70" i="9" s="1"/>
  <c r="W70" i="9" s="1"/>
  <c r="X70" i="9" s="1"/>
  <c r="Y70" i="9" s="1"/>
  <c r="Z70" i="9" s="1"/>
  <c r="AA70" i="9" s="1"/>
  <c r="AB70" i="9" s="1"/>
  <c r="AC70" i="9" s="1"/>
  <c r="AD70" i="9" s="1"/>
  <c r="AE70" i="9" s="1"/>
  <c r="AF70" i="9" s="1"/>
  <c r="AG70" i="9" s="1"/>
  <c r="AH70" i="9" s="1"/>
  <c r="AI70" i="9" s="1"/>
  <c r="AJ70" i="9" s="1"/>
  <c r="AK70" i="9" s="1"/>
  <c r="AL70" i="9" s="1"/>
  <c r="AM70" i="9" s="1"/>
  <c r="AN70" i="9" s="1"/>
  <c r="AO70" i="9" s="1"/>
  <c r="AP70" i="9" s="1"/>
  <c r="AQ70" i="9" s="1"/>
  <c r="AR70" i="9" s="1"/>
  <c r="AS70" i="9" s="1"/>
  <c r="AT70" i="9" s="1"/>
  <c r="AU70" i="9" s="1"/>
  <c r="AV70" i="9" s="1"/>
  <c r="AW70" i="9" s="1"/>
  <c r="AX70" i="9" s="1"/>
  <c r="AY70" i="9" s="1"/>
  <c r="AZ70" i="9" s="1"/>
  <c r="BA70" i="9" s="1"/>
  <c r="BB70" i="9" s="1"/>
  <c r="BC70" i="9" s="1"/>
  <c r="BD70" i="9" s="1"/>
  <c r="BE70" i="9" s="1"/>
  <c r="BF70" i="9" s="1"/>
  <c r="BG70" i="9" s="1"/>
  <c r="BH70" i="9" s="1"/>
  <c r="BI70" i="9" s="1"/>
  <c r="BJ70" i="9" s="1"/>
  <c r="BK70" i="9" s="1"/>
  <c r="BL70" i="9" s="1"/>
  <c r="BM70" i="9" s="1"/>
  <c r="BN70" i="9" s="1"/>
  <c r="BO70" i="9" s="1"/>
  <c r="C9" i="9"/>
  <c r="O25" i="8"/>
  <c r="O46" i="8"/>
  <c r="E70" i="8"/>
  <c r="V25" i="8"/>
  <c r="C7" i="8"/>
  <c r="S46" i="8"/>
  <c r="S25" i="8" s="1"/>
  <c r="J25" i="8"/>
  <c r="Q46" i="8"/>
  <c r="Q25" i="8" s="1"/>
  <c r="F70" i="8"/>
  <c r="G70" i="8" s="1"/>
  <c r="H70" i="8" s="1"/>
  <c r="I70" i="8" s="1"/>
  <c r="J70" i="8" s="1"/>
  <c r="K70" i="8" s="1"/>
  <c r="L70" i="8" s="1"/>
  <c r="M70" i="8" s="1"/>
  <c r="N70" i="8" s="1"/>
  <c r="O70" i="8" s="1"/>
  <c r="P46" i="8"/>
  <c r="P25" i="8" s="1"/>
  <c r="M45" i="7"/>
  <c r="C50" i="7"/>
  <c r="K50" i="7" s="1"/>
  <c r="U46" i="7"/>
  <c r="U25" i="7" s="1"/>
  <c r="C46" i="7"/>
  <c r="R46" i="7" s="1"/>
  <c r="N44" i="7"/>
  <c r="N25" i="7" s="1"/>
  <c r="M43" i="7"/>
  <c r="L43" i="7"/>
  <c r="K43" i="7"/>
  <c r="J43" i="7"/>
  <c r="P43" i="7"/>
  <c r="F43" i="7"/>
  <c r="E25" i="7"/>
  <c r="C43" i="7"/>
  <c r="X40" i="7"/>
  <c r="X25" i="7" s="1"/>
  <c r="W40" i="7"/>
  <c r="W25" i="7" s="1"/>
  <c r="T40" i="7"/>
  <c r="S40" i="7"/>
  <c r="R40" i="7"/>
  <c r="R25" i="7" s="1"/>
  <c r="Q40" i="7"/>
  <c r="P40" i="7"/>
  <c r="M40" i="7"/>
  <c r="L40" i="7"/>
  <c r="M33" i="7"/>
  <c r="AI31" i="7"/>
  <c r="AI25" i="7" s="1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H25" i="7"/>
  <c r="AG25" i="7"/>
  <c r="AF25" i="7"/>
  <c r="AE25" i="7"/>
  <c r="AD25" i="7"/>
  <c r="AC25" i="7"/>
  <c r="AB25" i="7"/>
  <c r="AA25" i="7"/>
  <c r="Z25" i="7"/>
  <c r="Y25" i="7"/>
  <c r="V25" i="7"/>
  <c r="O25" i="7"/>
  <c r="H25" i="7"/>
  <c r="G25" i="7"/>
  <c r="AC22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C10" i="7"/>
  <c r="C5" i="7"/>
  <c r="E70" i="7" s="1"/>
  <c r="C8" i="8" l="1"/>
  <c r="C9" i="8" s="1"/>
  <c r="P70" i="8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AH70" i="8" s="1"/>
  <c r="AI70" i="8" s="1"/>
  <c r="AJ70" i="8" s="1"/>
  <c r="AK70" i="8" s="1"/>
  <c r="AL70" i="8" s="1"/>
  <c r="AM70" i="8" s="1"/>
  <c r="AN70" i="8" s="1"/>
  <c r="AO70" i="8" s="1"/>
  <c r="AP70" i="8" s="1"/>
  <c r="AQ70" i="8" s="1"/>
  <c r="AR70" i="8" s="1"/>
  <c r="AS70" i="8" s="1"/>
  <c r="AT70" i="8" s="1"/>
  <c r="AU70" i="8" s="1"/>
  <c r="AV70" i="8" s="1"/>
  <c r="AW70" i="8" s="1"/>
  <c r="P25" i="7"/>
  <c r="C7" i="7"/>
  <c r="T46" i="7"/>
  <c r="K25" i="7" s="1"/>
  <c r="F25" i="7"/>
  <c r="P46" i="7"/>
  <c r="S46" i="7"/>
  <c r="M25" i="7" s="1"/>
  <c r="I25" i="7"/>
  <c r="L25" i="7"/>
  <c r="C25" i="7"/>
  <c r="C11" i="7" s="1"/>
  <c r="Q46" i="7"/>
  <c r="J25" i="7" s="1"/>
  <c r="Z40" i="6"/>
  <c r="Y40" i="6"/>
  <c r="V40" i="6"/>
  <c r="U40" i="6"/>
  <c r="T40" i="6"/>
  <c r="S40" i="6"/>
  <c r="R40" i="6"/>
  <c r="O40" i="6"/>
  <c r="N40" i="6"/>
  <c r="Q25" i="7" l="1"/>
  <c r="S25" i="7"/>
  <c r="T25" i="7"/>
  <c r="C8" i="7"/>
  <c r="C9" i="7" s="1"/>
  <c r="F70" i="7"/>
  <c r="G70" i="7" s="1"/>
  <c r="H70" i="7" s="1"/>
  <c r="I70" i="7" s="1"/>
  <c r="J70" i="7" s="1"/>
  <c r="K70" i="7" s="1"/>
  <c r="L70" i="7" s="1"/>
  <c r="M70" i="7" s="1"/>
  <c r="N70" i="7" s="1"/>
  <c r="O70" i="7" s="1"/>
  <c r="P70" i="7" s="1"/>
  <c r="Q70" i="7" s="1"/>
  <c r="R70" i="7" s="1"/>
  <c r="H45" i="6"/>
  <c r="K50" i="6"/>
  <c r="C50" i="6"/>
  <c r="C43" i="6"/>
  <c r="W46" i="6"/>
  <c r="W25" i="6" s="1"/>
  <c r="C46" i="6"/>
  <c r="N46" i="6" s="1"/>
  <c r="P44" i="6"/>
  <c r="O43" i="6"/>
  <c r="N43" i="6"/>
  <c r="M43" i="6"/>
  <c r="L43" i="6"/>
  <c r="K43" i="6"/>
  <c r="H43" i="6"/>
  <c r="G43" i="6"/>
  <c r="F43" i="6"/>
  <c r="E43" i="6"/>
  <c r="E25" i="6" s="1"/>
  <c r="K38" i="6"/>
  <c r="O33" i="6"/>
  <c r="AK31" i="6"/>
  <c r="AK25" i="6" s="1"/>
  <c r="F31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V25" i="6"/>
  <c r="U25" i="6"/>
  <c r="T25" i="6"/>
  <c r="S25" i="6"/>
  <c r="R25" i="6"/>
  <c r="Q25" i="6"/>
  <c r="P25" i="6"/>
  <c r="J25" i="6"/>
  <c r="I25" i="6"/>
  <c r="G25" i="6"/>
  <c r="AE22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C10" i="6"/>
  <c r="C5" i="6"/>
  <c r="S70" i="7" l="1"/>
  <c r="T70" i="7" s="1"/>
  <c r="U70" i="7" s="1"/>
  <c r="V70" i="7" s="1"/>
  <c r="W70" i="7" s="1"/>
  <c r="X70" i="7" s="1"/>
  <c r="Y70" i="7" s="1"/>
  <c r="Z70" i="7" s="1"/>
  <c r="AA70" i="7" s="1"/>
  <c r="AB70" i="7" s="1"/>
  <c r="AC70" i="7" s="1"/>
  <c r="AD70" i="7" s="1"/>
  <c r="AE70" i="7" s="1"/>
  <c r="AF70" i="7" s="1"/>
  <c r="AG70" i="7" s="1"/>
  <c r="AH70" i="7" s="1"/>
  <c r="AI70" i="7" s="1"/>
  <c r="AJ70" i="7" s="1"/>
  <c r="AK70" i="7" s="1"/>
  <c r="AL70" i="7" s="1"/>
  <c r="AM70" i="7" s="1"/>
  <c r="AN70" i="7" s="1"/>
  <c r="AO70" i="7" s="1"/>
  <c r="AP70" i="7" s="1"/>
  <c r="AQ70" i="7" s="1"/>
  <c r="AR70" i="7" s="1"/>
  <c r="AS70" i="7" s="1"/>
  <c r="AT70" i="7" s="1"/>
  <c r="AU70" i="7" s="1"/>
  <c r="AV70" i="7" s="1"/>
  <c r="AW70" i="7" s="1"/>
  <c r="AX70" i="7" s="1"/>
  <c r="E66" i="6"/>
  <c r="C7" i="6"/>
  <c r="C25" i="6"/>
  <c r="C11" i="6" s="1"/>
  <c r="N25" i="6"/>
  <c r="M46" i="6"/>
  <c r="M25" i="6" s="1"/>
  <c r="F25" i="6"/>
  <c r="H25" i="6"/>
  <c r="K46" i="6"/>
  <c r="O46" i="6"/>
  <c r="O25" i="6" s="1"/>
  <c r="K25" i="6"/>
  <c r="L46" i="6"/>
  <c r="L25" i="6" s="1"/>
  <c r="I45" i="5"/>
  <c r="N43" i="5"/>
  <c r="O43" i="5"/>
  <c r="P43" i="5"/>
  <c r="M43" i="5"/>
  <c r="L43" i="5"/>
  <c r="F43" i="5"/>
  <c r="G43" i="5"/>
  <c r="H43" i="5"/>
  <c r="I43" i="5"/>
  <c r="E43" i="5"/>
  <c r="C50" i="5"/>
  <c r="L50" i="5" s="1"/>
  <c r="C43" i="5"/>
  <c r="F66" i="6" l="1"/>
  <c r="G66" i="6" s="1"/>
  <c r="H66" i="6" s="1"/>
  <c r="I66" i="6" s="1"/>
  <c r="J66" i="6" s="1"/>
  <c r="K66" i="6" s="1"/>
  <c r="L66" i="6" s="1"/>
  <c r="M66" i="6" s="1"/>
  <c r="N66" i="6" s="1"/>
  <c r="O66" i="6" s="1"/>
  <c r="P66" i="6" s="1"/>
  <c r="Q66" i="6" s="1"/>
  <c r="R66" i="6" s="1"/>
  <c r="S66" i="6" s="1"/>
  <c r="T66" i="6" s="1"/>
  <c r="U66" i="6" s="1"/>
  <c r="V66" i="6" s="1"/>
  <c r="W66" i="6" s="1"/>
  <c r="X66" i="6" s="1"/>
  <c r="Y66" i="6" s="1"/>
  <c r="Z66" i="6" s="1"/>
  <c r="AA66" i="6" s="1"/>
  <c r="AB66" i="6" s="1"/>
  <c r="AC66" i="6" s="1"/>
  <c r="AD66" i="6" s="1"/>
  <c r="AE66" i="6" s="1"/>
  <c r="AF66" i="6" s="1"/>
  <c r="AG66" i="6" s="1"/>
  <c r="AH66" i="6" s="1"/>
  <c r="AI66" i="6" s="1"/>
  <c r="AJ66" i="6" s="1"/>
  <c r="AK66" i="6" s="1"/>
  <c r="AL66" i="6" s="1"/>
  <c r="AM66" i="6" s="1"/>
  <c r="AN66" i="6" s="1"/>
  <c r="AO66" i="6" s="1"/>
  <c r="AP66" i="6" s="1"/>
  <c r="AQ66" i="6" s="1"/>
  <c r="AR66" i="6" s="1"/>
  <c r="AS66" i="6" s="1"/>
  <c r="AT66" i="6" s="1"/>
  <c r="AU66" i="6" s="1"/>
  <c r="AV66" i="6" s="1"/>
  <c r="AW66" i="6" s="1"/>
  <c r="AX66" i="6" s="1"/>
  <c r="AY66" i="6" s="1"/>
  <c r="AZ66" i="6" s="1"/>
  <c r="C8" i="6"/>
  <c r="C9" i="6" s="1"/>
  <c r="I25" i="5"/>
  <c r="X46" i="5"/>
  <c r="X25" i="5" s="1"/>
  <c r="C46" i="5"/>
  <c r="Q44" i="5"/>
  <c r="Q25" i="5" s="1"/>
  <c r="L38" i="5"/>
  <c r="P33" i="5"/>
  <c r="AL31" i="5"/>
  <c r="AL25" i="5" s="1"/>
  <c r="G31" i="5"/>
  <c r="G25" i="5" s="1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W25" i="5"/>
  <c r="V25" i="5"/>
  <c r="U25" i="5"/>
  <c r="T25" i="5"/>
  <c r="S25" i="5"/>
  <c r="R25" i="5"/>
  <c r="K25" i="5"/>
  <c r="J25" i="5"/>
  <c r="H25" i="5"/>
  <c r="F25" i="5"/>
  <c r="E25" i="5"/>
  <c r="AF22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C7" i="5" s="1"/>
  <c r="C10" i="5"/>
  <c r="C5" i="5"/>
  <c r="O46" i="5" l="1"/>
  <c r="O25" i="5" s="1"/>
  <c r="N46" i="5"/>
  <c r="E66" i="5"/>
  <c r="L46" i="5"/>
  <c r="L25" i="5" s="1"/>
  <c r="N25" i="5"/>
  <c r="P46" i="5"/>
  <c r="P25" i="5" s="1"/>
  <c r="F66" i="5"/>
  <c r="G66" i="5" s="1"/>
  <c r="H66" i="5" s="1"/>
  <c r="I66" i="5" s="1"/>
  <c r="J66" i="5" s="1"/>
  <c r="K66" i="5" s="1"/>
  <c r="C25" i="5"/>
  <c r="C11" i="5" s="1"/>
  <c r="M46" i="5"/>
  <c r="M25" i="5" s="1"/>
  <c r="J46" i="4"/>
  <c r="P46" i="4"/>
  <c r="Q46" i="4"/>
  <c r="R46" i="4"/>
  <c r="S46" i="4"/>
  <c r="O46" i="4"/>
  <c r="C46" i="4"/>
  <c r="L45" i="4"/>
  <c r="C8" i="5" l="1"/>
  <c r="L66" i="5"/>
  <c r="C9" i="5"/>
  <c r="M66" i="5"/>
  <c r="N66" i="5" s="1"/>
  <c r="O66" i="5" s="1"/>
  <c r="P66" i="5" s="1"/>
  <c r="Q66" i="5" s="1"/>
  <c r="R66" i="5" s="1"/>
  <c r="S66" i="5" s="1"/>
  <c r="T66" i="5" s="1"/>
  <c r="U66" i="5" s="1"/>
  <c r="V66" i="5" s="1"/>
  <c r="W66" i="5" s="1"/>
  <c r="X66" i="5" s="1"/>
  <c r="Y66" i="5" s="1"/>
  <c r="Z66" i="5" s="1"/>
  <c r="AA66" i="5" s="1"/>
  <c r="AB66" i="5" s="1"/>
  <c r="AC66" i="5" s="1"/>
  <c r="AD66" i="5" s="1"/>
  <c r="AE66" i="5" s="1"/>
  <c r="AF66" i="5" s="1"/>
  <c r="AG66" i="5" s="1"/>
  <c r="AH66" i="5" s="1"/>
  <c r="AI66" i="5" s="1"/>
  <c r="AJ66" i="5" s="1"/>
  <c r="AK66" i="5" s="1"/>
  <c r="AL66" i="5" s="1"/>
  <c r="AM66" i="5" s="1"/>
  <c r="AN66" i="5" s="1"/>
  <c r="AO66" i="5" s="1"/>
  <c r="AP66" i="5" s="1"/>
  <c r="AQ66" i="5" s="1"/>
  <c r="AR66" i="5" s="1"/>
  <c r="AS66" i="5" s="1"/>
  <c r="AT66" i="5" s="1"/>
  <c r="AU66" i="5" s="1"/>
  <c r="AV66" i="5" s="1"/>
  <c r="AW66" i="5" s="1"/>
  <c r="AX66" i="5" s="1"/>
  <c r="AY66" i="5" s="1"/>
  <c r="AZ66" i="5" s="1"/>
  <c r="BA66" i="5" s="1"/>
  <c r="C25" i="4"/>
  <c r="C11" i="4" s="1"/>
  <c r="AA46" i="4"/>
  <c r="AA25" i="4" s="1"/>
  <c r="L25" i="4"/>
  <c r="T44" i="4"/>
  <c r="T25" i="4" s="1"/>
  <c r="O38" i="4"/>
  <c r="O25" i="4" s="1"/>
  <c r="S33" i="4"/>
  <c r="S25" i="4" s="1"/>
  <c r="AO31" i="4"/>
  <c r="AO25" i="4" s="1"/>
  <c r="J31" i="4"/>
  <c r="J25" i="4" s="1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Z25" i="4"/>
  <c r="Y25" i="4"/>
  <c r="X25" i="4"/>
  <c r="W25" i="4"/>
  <c r="V25" i="4"/>
  <c r="U25" i="4"/>
  <c r="R25" i="4"/>
  <c r="Q25" i="4"/>
  <c r="P25" i="4"/>
  <c r="N25" i="4"/>
  <c r="M25" i="4"/>
  <c r="K25" i="4"/>
  <c r="I25" i="4"/>
  <c r="H25" i="4"/>
  <c r="G25" i="4"/>
  <c r="F25" i="4"/>
  <c r="E25" i="4"/>
  <c r="AI22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C10" i="4"/>
  <c r="C5" i="4"/>
  <c r="C8" i="4" l="1"/>
  <c r="C7" i="4"/>
  <c r="E66" i="4"/>
  <c r="F66" i="4" s="1"/>
  <c r="G66" i="4" s="1"/>
  <c r="H66" i="4" s="1"/>
  <c r="I66" i="4" s="1"/>
  <c r="J66" i="4" s="1"/>
  <c r="K66" i="4" s="1"/>
  <c r="L66" i="4" s="1"/>
  <c r="M66" i="4" s="1"/>
  <c r="N66" i="4" s="1"/>
  <c r="O66" i="4" s="1"/>
  <c r="P66" i="4" s="1"/>
  <c r="Q66" i="4" s="1"/>
  <c r="R66" i="4" s="1"/>
  <c r="S66" i="4" s="1"/>
  <c r="T66" i="4" s="1"/>
  <c r="U66" i="4" s="1"/>
  <c r="V66" i="4" s="1"/>
  <c r="W66" i="4" s="1"/>
  <c r="X66" i="4" s="1"/>
  <c r="Y66" i="4" s="1"/>
  <c r="Z66" i="4" s="1"/>
  <c r="AA66" i="4" s="1"/>
  <c r="AB66" i="4" s="1"/>
  <c r="AC66" i="4" s="1"/>
  <c r="AD66" i="4" s="1"/>
  <c r="AE66" i="4" s="1"/>
  <c r="AF66" i="4" s="1"/>
  <c r="AG66" i="4" s="1"/>
  <c r="AH66" i="4" s="1"/>
  <c r="AI66" i="4" s="1"/>
  <c r="AJ66" i="4" s="1"/>
  <c r="AK66" i="4" s="1"/>
  <c r="AL66" i="4" s="1"/>
  <c r="AM66" i="4" s="1"/>
  <c r="AN66" i="4" s="1"/>
  <c r="AO66" i="4" s="1"/>
  <c r="AP66" i="4" s="1"/>
  <c r="AQ66" i="4" s="1"/>
  <c r="AR66" i="4" s="1"/>
  <c r="AS66" i="4" s="1"/>
  <c r="AT66" i="4" s="1"/>
  <c r="AU66" i="4" s="1"/>
  <c r="AV66" i="4" s="1"/>
  <c r="AW66" i="4" s="1"/>
  <c r="AX66" i="4" s="1"/>
  <c r="AY66" i="4" s="1"/>
  <c r="AZ66" i="4" s="1"/>
  <c r="BA66" i="4" s="1"/>
  <c r="BB66" i="4" s="1"/>
  <c r="BC66" i="4" s="1"/>
  <c r="BD66" i="4" s="1"/>
  <c r="M45" i="3"/>
  <c r="C9" i="4" l="1"/>
  <c r="C7" i="3"/>
  <c r="AB46" i="3"/>
  <c r="M46" i="3"/>
  <c r="M25" i="3" s="1"/>
  <c r="U44" i="3"/>
  <c r="S25" i="3"/>
  <c r="L25" i="3"/>
  <c r="E25" i="3"/>
  <c r="P38" i="3"/>
  <c r="P25" i="3" s="1"/>
  <c r="T33" i="3"/>
  <c r="AP31" i="3"/>
  <c r="K31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Y25" i="3"/>
  <c r="X25" i="3"/>
  <c r="W25" i="3"/>
  <c r="V25" i="3"/>
  <c r="U25" i="3"/>
  <c r="T25" i="3"/>
  <c r="R25" i="3"/>
  <c r="Q25" i="3"/>
  <c r="O25" i="3"/>
  <c r="N25" i="3"/>
  <c r="J25" i="3"/>
  <c r="H25" i="3"/>
  <c r="G25" i="3"/>
  <c r="AJ22" i="3"/>
  <c r="AJ16" i="3" s="1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C10" i="3"/>
  <c r="C5" i="3"/>
  <c r="E65" i="3" l="1"/>
  <c r="C11" i="3"/>
  <c r="K25" i="3"/>
  <c r="I25" i="3"/>
  <c r="Z25" i="3"/>
  <c r="F25" i="3"/>
  <c r="C8" i="3" l="1"/>
  <c r="C9" i="3" s="1"/>
  <c r="F65" i="3"/>
  <c r="G65" i="3" s="1"/>
  <c r="H65" i="3" s="1"/>
  <c r="I65" i="3" s="1"/>
  <c r="J65" i="3" s="1"/>
  <c r="K65" i="3" s="1"/>
  <c r="L65" i="3" s="1"/>
  <c r="M65" i="3" s="1"/>
  <c r="N65" i="3" s="1"/>
  <c r="O65" i="3" s="1"/>
  <c r="P65" i="3" s="1"/>
  <c r="Q65" i="3" s="1"/>
  <c r="R65" i="3" s="1"/>
  <c r="S65" i="3" s="1"/>
  <c r="T65" i="3" s="1"/>
  <c r="U65" i="3" s="1"/>
  <c r="V65" i="3" s="1"/>
  <c r="W65" i="3" s="1"/>
  <c r="X65" i="3" s="1"/>
  <c r="Y65" i="3" s="1"/>
  <c r="Z65" i="3" s="1"/>
  <c r="AA65" i="3" s="1"/>
  <c r="AB65" i="3" s="1"/>
  <c r="AC65" i="3" s="1"/>
  <c r="AD65" i="3" s="1"/>
  <c r="AE65" i="3" s="1"/>
  <c r="AF65" i="3" s="1"/>
  <c r="AG65" i="3" s="1"/>
  <c r="AH65" i="3" s="1"/>
  <c r="AI65" i="3" s="1"/>
  <c r="AJ65" i="3" s="1"/>
  <c r="AK65" i="3" s="1"/>
  <c r="AL65" i="3" s="1"/>
  <c r="AM65" i="3" s="1"/>
  <c r="AN65" i="3" s="1"/>
  <c r="AO65" i="3" s="1"/>
  <c r="AP65" i="3" s="1"/>
  <c r="AQ65" i="3" s="1"/>
  <c r="AR65" i="3" s="1"/>
  <c r="AS65" i="3" s="1"/>
  <c r="AT65" i="3" s="1"/>
  <c r="AU65" i="3" s="1"/>
  <c r="AV65" i="3" s="1"/>
  <c r="AW65" i="3" s="1"/>
  <c r="AX65" i="3" s="1"/>
  <c r="AY65" i="3" s="1"/>
  <c r="AZ65" i="3" s="1"/>
  <c r="BA65" i="3" s="1"/>
  <c r="BB65" i="3" s="1"/>
  <c r="BC65" i="3" s="1"/>
  <c r="BD65" i="3" s="1"/>
  <c r="BE65" i="3" s="1"/>
  <c r="C5" i="2" l="1"/>
  <c r="C16" i="2"/>
  <c r="C10" i="2" s="1"/>
  <c r="E16" i="2"/>
  <c r="C7" i="2" s="1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AK22" i="2"/>
  <c r="E23" i="2"/>
  <c r="H25" i="2"/>
  <c r="I25" i="2"/>
  <c r="K25" i="2"/>
  <c r="O25" i="2"/>
  <c r="P25" i="2"/>
  <c r="R25" i="2"/>
  <c r="S25" i="2"/>
  <c r="T25" i="2"/>
  <c r="W25" i="2"/>
  <c r="X25" i="2"/>
  <c r="Y25" i="2"/>
  <c r="Z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L31" i="2"/>
  <c r="AQ31" i="2"/>
  <c r="AQ25" i="2" s="1"/>
  <c r="U33" i="2"/>
  <c r="U25" i="2" s="1"/>
  <c r="C36" i="2"/>
  <c r="G36" i="2" s="1"/>
  <c r="G25" i="2" s="1"/>
  <c r="C37" i="2"/>
  <c r="C38" i="2"/>
  <c r="Q38" i="2"/>
  <c r="Q25" i="2" s="1"/>
  <c r="C39" i="2"/>
  <c r="F25" i="2"/>
  <c r="E40" i="2"/>
  <c r="E25" i="2" s="1"/>
  <c r="M25" i="2"/>
  <c r="E41" i="2"/>
  <c r="C41" i="2" s="1"/>
  <c r="C42" i="2"/>
  <c r="C43" i="2"/>
  <c r="V44" i="2"/>
  <c r="V25" i="2" s="1"/>
  <c r="E45" i="2"/>
  <c r="J45" i="2"/>
  <c r="J25" i="2" s="1"/>
  <c r="E46" i="2"/>
  <c r="C46" i="2" s="1"/>
  <c r="N46" i="2"/>
  <c r="N25" i="2" s="1"/>
  <c r="AC46" i="2"/>
  <c r="E49" i="2"/>
  <c r="C49" i="2" s="1"/>
  <c r="C55" i="2"/>
  <c r="C56" i="2"/>
  <c r="C62" i="2"/>
  <c r="C69" i="2"/>
  <c r="E64" i="2" l="1"/>
  <c r="F64" i="2" s="1"/>
  <c r="G64" i="2" s="1"/>
  <c r="H64" i="2" s="1"/>
  <c r="I64" i="2" s="1"/>
  <c r="J64" i="2" s="1"/>
  <c r="K64" i="2" s="1"/>
  <c r="L64" i="2" s="1"/>
  <c r="M64" i="2" s="1"/>
  <c r="N64" i="2" s="1"/>
  <c r="O64" i="2" s="1"/>
  <c r="P64" i="2" s="1"/>
  <c r="Q64" i="2" s="1"/>
  <c r="R64" i="2" s="1"/>
  <c r="S64" i="2" s="1"/>
  <c r="T64" i="2" s="1"/>
  <c r="U64" i="2" s="1"/>
  <c r="V64" i="2" s="1"/>
  <c r="W64" i="2" s="1"/>
  <c r="X64" i="2" s="1"/>
  <c r="Y64" i="2" s="1"/>
  <c r="Z64" i="2" s="1"/>
  <c r="L36" i="2"/>
  <c r="L25" i="2" s="1"/>
  <c r="C40" i="2"/>
  <c r="AA25" i="2" s="1"/>
  <c r="AZ63" i="1"/>
  <c r="BA63" i="1" s="1"/>
  <c r="BB63" i="1" s="1"/>
  <c r="BC63" i="1" s="1"/>
  <c r="BD63" i="1" s="1"/>
  <c r="BE63" i="1" s="1"/>
  <c r="BF63" i="1" s="1"/>
  <c r="BG63" i="1" s="1"/>
  <c r="BH63" i="1" s="1"/>
  <c r="AZ24" i="1"/>
  <c r="BA24" i="1"/>
  <c r="BB24" i="1"/>
  <c r="BC24" i="1"/>
  <c r="BD24" i="1"/>
  <c r="BE24" i="1"/>
  <c r="BF24" i="1"/>
  <c r="BG24" i="1"/>
  <c r="BH24" i="1"/>
  <c r="AZ16" i="1"/>
  <c r="BA16" i="1"/>
  <c r="BB16" i="1"/>
  <c r="BC16" i="1"/>
  <c r="BD16" i="1"/>
  <c r="BE16" i="1"/>
  <c r="BF16" i="1"/>
  <c r="BG16" i="1"/>
  <c r="BH16" i="1"/>
  <c r="S37" i="1"/>
  <c r="AE45" i="1"/>
  <c r="AA64" i="2" l="1"/>
  <c r="AB64" i="2" s="1"/>
  <c r="AC64" i="2" s="1"/>
  <c r="AD64" i="2" s="1"/>
  <c r="AE64" i="2" s="1"/>
  <c r="AF64" i="2" s="1"/>
  <c r="AG64" i="2" s="1"/>
  <c r="AH64" i="2" s="1"/>
  <c r="AI64" i="2" s="1"/>
  <c r="AJ64" i="2" s="1"/>
  <c r="AK64" i="2" s="1"/>
  <c r="AL64" i="2" s="1"/>
  <c r="AM64" i="2" s="1"/>
  <c r="AN64" i="2" s="1"/>
  <c r="AO64" i="2" s="1"/>
  <c r="AP64" i="2" s="1"/>
  <c r="AQ64" i="2" s="1"/>
  <c r="AR64" i="2" s="1"/>
  <c r="AS64" i="2" s="1"/>
  <c r="AT64" i="2" s="1"/>
  <c r="AU64" i="2" s="1"/>
  <c r="AV64" i="2" s="1"/>
  <c r="AW64" i="2" s="1"/>
  <c r="AX64" i="2" s="1"/>
  <c r="AY64" i="2" s="1"/>
  <c r="AZ64" i="2" s="1"/>
  <c r="BA64" i="2" s="1"/>
  <c r="BB64" i="2" s="1"/>
  <c r="BC64" i="2" s="1"/>
  <c r="BD64" i="2" s="1"/>
  <c r="BE64" i="2" s="1"/>
  <c r="BF64" i="2" s="1"/>
  <c r="C8" i="2"/>
  <c r="C25" i="2"/>
  <c r="C11" i="2" s="1"/>
  <c r="N35" i="1"/>
  <c r="I35" i="1"/>
  <c r="C9" i="2" l="1"/>
  <c r="C61" i="1"/>
  <c r="AS30" i="1"/>
  <c r="W32" i="1" l="1"/>
  <c r="C68" i="1" l="1"/>
  <c r="I24" i="1" l="1"/>
  <c r="J24" i="1"/>
  <c r="K24" i="1"/>
  <c r="M24" i="1"/>
  <c r="Q24" i="1"/>
  <c r="R24" i="1"/>
  <c r="S24" i="1"/>
  <c r="T24" i="1"/>
  <c r="U24" i="1"/>
  <c r="W24" i="1"/>
  <c r="Y24" i="1"/>
  <c r="Z24" i="1"/>
  <c r="AA24" i="1"/>
  <c r="AB24" i="1"/>
  <c r="AD24" i="1"/>
  <c r="AE24" i="1"/>
  <c r="AF24" i="1"/>
  <c r="AG24" i="1"/>
  <c r="AH24" i="1"/>
  <c r="AI24" i="1"/>
  <c r="AJ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C55" i="1"/>
  <c r="AK24" i="1" s="1"/>
  <c r="C54" i="1"/>
  <c r="E24" i="1" s="1"/>
  <c r="N30" i="1"/>
  <c r="N24" i="1" s="1"/>
  <c r="AY22" i="1"/>
  <c r="AY16" i="1" s="1"/>
  <c r="AM21" i="1"/>
  <c r="AE22" i="1"/>
  <c r="AE16" i="1" s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D24" i="1"/>
  <c r="C16" i="1"/>
  <c r="C10" i="1" s="1"/>
  <c r="X43" i="1"/>
  <c r="X24" i="1" s="1"/>
  <c r="C39" i="1"/>
  <c r="P45" i="1"/>
  <c r="P24" i="1" s="1"/>
  <c r="L44" i="1"/>
  <c r="L24" i="1" s="1"/>
  <c r="G45" i="1"/>
  <c r="G24" i="1" s="1"/>
  <c r="C42" i="1"/>
  <c r="C40" i="1"/>
  <c r="F48" i="1"/>
  <c r="F24" i="1" s="1"/>
  <c r="V39" i="1" l="1"/>
  <c r="V24" i="1" s="1"/>
  <c r="H38" i="1"/>
  <c r="H24" i="1" s="1"/>
  <c r="O38" i="1"/>
  <c r="C7" i="1"/>
  <c r="C41" i="1"/>
  <c r="C24" i="1" s="1"/>
  <c r="C11" i="1" s="1"/>
  <c r="O39" i="1" l="1"/>
  <c r="AC39" i="1" s="1"/>
  <c r="AC24" i="1" s="1"/>
  <c r="C5" i="1"/>
  <c r="D63" i="1" s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O24" i="1" l="1"/>
  <c r="C8" i="1" s="1"/>
  <c r="C9" i="1" s="1"/>
  <c r="O63" i="1" l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H25" i="13" l="1"/>
  <c r="C8" i="13" s="1"/>
  <c r="C9" i="13" s="1"/>
  <c r="H77" i="13" l="1"/>
  <c r="I77" i="13" s="1"/>
  <c r="J77" i="13" s="1"/>
  <c r="K77" i="13" s="1"/>
  <c r="L77" i="13" s="1"/>
  <c r="M77" i="13" s="1"/>
  <c r="N77" i="13" s="1"/>
  <c r="O77" i="13" s="1"/>
  <c r="P77" i="13" s="1"/>
  <c r="Q77" i="13" s="1"/>
  <c r="R77" i="13" s="1"/>
  <c r="S77" i="13" s="1"/>
  <c r="T77" i="13" s="1"/>
  <c r="U77" i="13" s="1"/>
  <c r="V77" i="13" s="1"/>
  <c r="W77" i="13" s="1"/>
  <c r="X77" i="13" s="1"/>
  <c r="Y77" i="13" s="1"/>
  <c r="Z77" i="13" s="1"/>
  <c r="AA77" i="13" s="1"/>
  <c r="AB77" i="13" s="1"/>
  <c r="AC77" i="13" s="1"/>
  <c r="AD77" i="13" s="1"/>
  <c r="AE77" i="13" s="1"/>
  <c r="AF77" i="13" s="1"/>
  <c r="AG77" i="13" s="1"/>
  <c r="AH77" i="13" s="1"/>
  <c r="AI77" i="13" s="1"/>
  <c r="AJ77" i="13" s="1"/>
  <c r="AK77" i="13" s="1"/>
  <c r="AL77" i="13" s="1"/>
  <c r="AM77" i="13" s="1"/>
  <c r="AN77" i="13" s="1"/>
  <c r="AO77" i="13" s="1"/>
  <c r="AP77" i="13" s="1"/>
  <c r="AQ77" i="13" s="1"/>
  <c r="AR77" i="13" s="1"/>
  <c r="AS77" i="13" s="1"/>
  <c r="AT77" i="13" s="1"/>
  <c r="AU77" i="13" s="1"/>
  <c r="AV77" i="13" s="1"/>
  <c r="AW77" i="13" s="1"/>
  <c r="AX77" i="13" s="1"/>
  <c r="AY77" i="13" s="1"/>
  <c r="AZ77" i="13" s="1"/>
  <c r="BA77" i="13" s="1"/>
  <c r="BB77" i="13" s="1"/>
  <c r="BC77" i="13" s="1"/>
  <c r="BD77" i="13" s="1"/>
  <c r="BE77" i="13" s="1"/>
  <c r="BF77" i="13" s="1"/>
  <c r="BG77" i="13" s="1"/>
  <c r="BH77" i="13" s="1"/>
  <c r="C8" i="44" l="1"/>
  <c r="C9" i="44" s="1"/>
</calcChain>
</file>

<file path=xl/comments1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E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F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R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T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Z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A4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AB4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C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E6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AE7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E7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2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F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G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H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T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V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C4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AD4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C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E6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AG7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E7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3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I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J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K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W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Y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F4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AG4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C68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H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AJ6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H7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4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G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K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L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M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Y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H4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F4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G4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E5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дромал</t>
        </r>
      </text>
    </comment>
    <comment ref="C67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G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AL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G7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5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H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L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M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N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Z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I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F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H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C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F7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AM7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F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6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E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L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P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Q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R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D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H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J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L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E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E7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AQ7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E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7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F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M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Q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R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S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E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I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K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M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E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F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E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F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I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C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E7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AR7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E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8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G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N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R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S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T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F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J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L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N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F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G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E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F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G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J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C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F7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AS7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F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9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H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O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S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T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U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G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K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M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O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G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H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F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G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H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K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C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G7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AT7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G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10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E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I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E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P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T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U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V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H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L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N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P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E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E5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H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I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G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H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I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L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C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H7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AU7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H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11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I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M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I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T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X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Y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Z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L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P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I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R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T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I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I5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L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M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E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LIDA</t>
        </r>
      </text>
    </comment>
    <comment ref="E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I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K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M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P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C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L7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AY7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L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12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J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N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J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U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Y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Z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A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M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Q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J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S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U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J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J5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M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N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F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J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L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N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Q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C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M6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AZ7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M7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13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K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O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K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V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Z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A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B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N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R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K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T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V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K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K5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E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N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O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G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K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M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O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R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AP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N7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AX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N7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14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L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P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L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W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A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B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C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O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S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L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U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W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L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L5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F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O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P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E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H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L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N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P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S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U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O7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AY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O7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15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O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S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O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Z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D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E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F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R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V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O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X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Z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O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O5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I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R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S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H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K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O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Q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S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V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X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R7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BB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R7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16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E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P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T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P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A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E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F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G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S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W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E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P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Y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A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P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P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I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P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J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S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T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I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L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P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R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T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W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Y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S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BC7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S7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17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G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Q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U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Q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B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F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G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H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T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X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F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Q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Z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B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Q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Q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J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Q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K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T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U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E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J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M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Q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S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U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X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Z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T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BD7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T7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нц?</t>
        </r>
      </text>
    </comment>
  </commentList>
</comments>
</file>

<file path=xl/comments18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H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R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V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R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C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G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H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I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U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Y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G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R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A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C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E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R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R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E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K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R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F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U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F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H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K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N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R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T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V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Y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AA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U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5" authorId="1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KOSTIK:
</t>
        </r>
      </text>
    </comment>
    <comment ref="U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U7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19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E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I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O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S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S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D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H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I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J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V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Z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H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S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B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D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F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O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S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F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L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S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G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V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E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G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I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L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M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O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S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U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W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V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20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H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J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K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L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V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L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R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V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V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G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K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L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M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Y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C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E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I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K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V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E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G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I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R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V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I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O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V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J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Y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H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J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L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O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P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R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V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X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Z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Y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21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I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K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L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M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W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M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S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W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W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H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L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M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N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Z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D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E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F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J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L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W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F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H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J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S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W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J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P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W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K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Z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I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K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M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P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Q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S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W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Y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AA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Z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22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J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L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M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N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X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N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T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X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X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I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M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N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O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BA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E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G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K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M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X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E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G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I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Q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T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X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K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Q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X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L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AA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J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L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N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Q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R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T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X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Z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AB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AA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23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K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L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M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O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Y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O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U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S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Y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J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N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O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P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F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F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K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L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N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R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Y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R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K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Y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K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R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Y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G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M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O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G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H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K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M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R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S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U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Y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AC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AB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R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24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L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M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N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P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Z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P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V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T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Z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K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O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P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Q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G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E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G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L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M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O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S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Z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S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L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Z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E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L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S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Z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H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N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P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E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АФ, Углово-В.О. (фура)</t>
        </r>
      </text>
    </comment>
    <comment ref="H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I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L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N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S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T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V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Z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AD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AC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S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25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O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P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Q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R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S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S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Y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W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C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N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H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E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H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J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L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P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R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V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C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V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O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AC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H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O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V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AC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E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H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J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K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H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АФ, Углово-В.О. (фура)</t>
        </r>
      </text>
    </comment>
    <comment ref="K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L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M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O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Q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V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W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Z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AF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V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26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P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Q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R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S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T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T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Z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X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D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O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I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F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I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K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M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Q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S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W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D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W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P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AD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I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P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W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AD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F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I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K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L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I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АФ, Углово-В.О. (фура)</t>
        </r>
      </text>
    </comment>
    <comment ref="L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M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N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P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R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W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X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AA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E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AG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W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27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E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Q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R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S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T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U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U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AA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Y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E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P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J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G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J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L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N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R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T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X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E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X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Q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AE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J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Q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X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AE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E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G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J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L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M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J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АФ, Углово-В.О. (фура)</t>
        </r>
      </text>
    </comment>
    <comment ref="M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N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O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Q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S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X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Y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AB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F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AH7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примерно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X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28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F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K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O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V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AB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O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Z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K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H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V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Y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R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AF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K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F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H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K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M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N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K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АФ, Углово-В.О. (фура)</t>
        </r>
      </text>
    </comment>
    <comment ref="N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O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P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R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T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Y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Z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 - В.О.</t>
        </r>
      </text>
    </comment>
    <comment ref="AC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G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Y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29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E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G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L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P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W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AC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P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A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L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I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W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Z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S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AG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L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E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G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I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L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N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O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L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АФ, Углово-В.О. (фура)</t>
        </r>
      </text>
    </comment>
    <comment ref="O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P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Q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S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U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Z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AD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H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Z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30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H2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KOSTIK:по графику 02.05.26</t>
        </r>
      </text>
    </comment>
    <comment ref="H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K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L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Z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AF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S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D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O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L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Z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C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V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AJ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за паллеты, крышкт</t>
        </r>
      </text>
    </comment>
    <comment ref="O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H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J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L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O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Q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R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O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АФ, Углово-В.О. (фура)</t>
        </r>
      </text>
    </comment>
    <comment ref="R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S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T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V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X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AC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AG6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K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A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31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F2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KOSTIK:по графику 02.05.26</t>
        </r>
      </text>
    </comment>
    <comment ref="F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I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J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AA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AG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1800 кг этиацетат, 1600 кг изо</t>
        </r>
      </text>
    </comment>
    <comment ref="T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E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P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M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A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D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W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P5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F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I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K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M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P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S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P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АФ, Углово-В.О. (фура)</t>
        </r>
      </text>
    </comment>
    <comment ref="S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T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U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W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Y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AD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AH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L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AD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32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G2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KOSTIK:по графику 02.05.26</t>
        </r>
      </text>
    </comment>
    <comment ref="G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J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K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AB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U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F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N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N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B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E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X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N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G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J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Q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АФ, Углово-В.О. (фура)</t>
        </r>
      </text>
    </comment>
    <comment ref="T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U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V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X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Z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AE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</t>
        </r>
      </text>
    </comment>
    <comment ref="AI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Углово-Копейск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M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AE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33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G2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KOSTIK:по графику 02.05.26</t>
        </r>
      </text>
    </comment>
    <comment ref="F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K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L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AC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V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G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O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O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C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F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Y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O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аддитивы, готовность к отгрузке 22.05.26</t>
        </r>
      </text>
    </comment>
    <comment ref="E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H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K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R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АФ, Углово-В.О. (фура)</t>
        </r>
      </text>
    </comment>
    <comment ref="U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V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W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Y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AA6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N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C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AF7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34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K2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KOSTIK:по графику 02.05.26</t>
        </r>
      </text>
    </comment>
    <comment ref="J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O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P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AG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Z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F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S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S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G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J4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AC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L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V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АФ, Углово-В.О. (фура)</t>
        </r>
      </text>
    </comment>
    <comment ref="Y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Z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AA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AC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AE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R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AJ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35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L2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KOSTIK:по графику 02.05.26</t>
        </r>
      </text>
    </comment>
    <comment ref="K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P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Q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AH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AA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G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T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T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H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K4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Астра Дисп 10406-1, 50 кг</t>
        </r>
      </text>
    </comment>
    <comment ref="AD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E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M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W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АФ, Углово-В.О. (фура)</t>
        </r>
      </text>
    </comment>
    <comment ref="Z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AA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AB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AD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AF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S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C7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AK7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36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G2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KOSTIK:по графику 02.05.26</t>
        </r>
      </text>
    </comment>
    <comment ref="L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R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AI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1600 кг </t>
        </r>
      </text>
    </comment>
    <comment ref="AB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H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U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U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I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Титан АП 100 + пигменты желтый и варм ред</t>
        </r>
      </text>
    </comment>
    <comment ref="AE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F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G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X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АФ, Углово-В.О. (фура)</t>
        </r>
      </text>
    </comment>
    <comment ref="AA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AB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AC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AE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AG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C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M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C7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AL7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37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E2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KOSTIK:по графику 02.05.26</t>
        </r>
      </text>
    </comment>
    <comment ref="M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S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AC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I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V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V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AF5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смола альдегидна А-81, 490,00 долл</t>
        </r>
      </text>
    </comment>
    <comment ref="G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H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Y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Доставка АФ, Углово-В.О. (фура)</t>
        </r>
      </text>
    </comment>
    <comment ref="AB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Углово-ЕКБ, доставка Продупак</t>
        </r>
      </text>
    </comment>
    <comment ref="AC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Азов-Углово (доставка аддитивов РТ-Изоформ, 2 куба)</t>
        </r>
      </text>
    </comment>
    <comment ref="AD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 В.О. от 30.04.2026</t>
        </r>
      </text>
    </comment>
    <comment ref="AF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Углово-Горелово (доставка промывочного раств-ля)</t>
        </r>
      </text>
    </comment>
    <comment ref="AH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Углово-Железногорск (Готэк)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N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AM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38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I2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KOSTIK:по графику 02.05.26</t>
        </r>
      </text>
    </comment>
    <comment ref="R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X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AH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A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AA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I6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M6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67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L67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C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AR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39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J2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KOSTIK:по графику 02.05.26</t>
        </r>
      </text>
    </comment>
    <comment ref="S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Y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E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AI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ведра</t>
        </r>
      </text>
    </comment>
    <comment ref="AB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AB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J5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N5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6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M6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G68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L68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40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K2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KOSTIK:по графику 02.05.26</t>
        </r>
      </text>
    </comment>
    <comment ref="T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Z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маджента</t>
        </r>
      </text>
    </comment>
    <comment ref="F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AC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AC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E5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K5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6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N6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H68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M68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41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L2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KOSTIK:по графику 02.05.26</t>
        </r>
      </text>
    </comment>
    <comment ref="U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G4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AD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AD4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F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L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O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E7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отгр 11.02.2026</t>
        </r>
      </text>
    </comment>
    <comment ref="I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N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42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I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X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J4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AG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AG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E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H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H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O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K7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отгр 11.02.2026</t>
        </r>
      </text>
    </comment>
    <comment ref="L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Q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43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J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Y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K4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AH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изопропанол, этилацетат</t>
        </r>
      </text>
    </comment>
    <comment ref="AH4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F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I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P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M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  <comment ref="R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</commentList>
</comments>
</file>

<file path=xl/comments44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K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Z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пигмент маджента, пигмент зеленый</t>
        </r>
      </text>
    </comment>
    <comment ref="E4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L4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AI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E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G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J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G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J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N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45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L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E3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Z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
Возможно</t>
        </r>
      </text>
    </comment>
    <comment ref="F4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AJ4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варм ред, желтый етс</t>
        </r>
      </text>
    </comment>
    <comment ref="F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H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K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F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E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O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46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M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E3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F3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AA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
Возможно</t>
        </r>
      </text>
    </comment>
    <comment ref="G4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G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I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L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E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F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P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47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P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H3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I3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J3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AD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
Возможно</t>
        </r>
      </text>
    </comment>
    <comment ref="J4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Q4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4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J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L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O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H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I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I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S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48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Q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I3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J3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K3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AE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
Возможно</t>
        </r>
      </text>
    </comment>
    <comment ref="K4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R4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4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K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M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P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I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J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J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T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49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R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J3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K3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L3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Z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
Возможно</t>
        </r>
      </text>
    </comment>
    <comment ref="L4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S40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4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L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N6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J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G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K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U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50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S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K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L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M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AA3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
Возможно</t>
        </r>
      </text>
    </comment>
    <comment ref="M3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T3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4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M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O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K7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H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V7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51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T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L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M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N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AB3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
Возможно</t>
        </r>
      </text>
    </comment>
    <comment ref="N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U3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N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P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C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K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W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52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W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M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O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P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Q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J3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возможно</t>
        </r>
      </text>
    </comment>
    <comment ref="Z3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
Возможно</t>
        </r>
      </text>
    </comment>
    <comment ref="Q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X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I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Q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E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по графику 03.04.2026
</t>
        </r>
      </text>
    </comment>
    <comment ref="AE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N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F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Z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53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Y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O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Q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R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S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L3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возможно</t>
        </r>
      </text>
    </comment>
    <comment ref="S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Z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K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G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по графику 03.04.2026
</t>
        </r>
      </text>
    </comment>
    <comment ref="AG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P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H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B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54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Z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P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R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S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T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M3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возможно</t>
        </r>
      </text>
    </comment>
    <comment ref="T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AA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L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H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по графику 03.04.2026
</t>
        </r>
      </text>
    </comment>
    <comment ref="AH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Q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I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C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55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AA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Q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S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T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U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N3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возможно</t>
        </r>
      </text>
    </comment>
    <comment ref="U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AB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M6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I65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по графику 03.04.2026
</t>
        </r>
      </text>
    </comment>
    <comment ref="AI6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R7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J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D7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56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AD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T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V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W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X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Q3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возможно</t>
        </r>
      </text>
    </comment>
    <comment ref="X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AE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P5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L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по графику 03.04.2026
</t>
        </r>
      </text>
    </comment>
    <comment ref="AL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67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U67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M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G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57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AE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U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W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X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Y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R3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возможно</t>
        </r>
      </text>
    </comment>
    <comment ref="Y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AF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Q5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M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по графику 03.04.2026
</t>
        </r>
      </text>
    </comment>
    <comment ref="AM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67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V67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N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H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58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AF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V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X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Y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Z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Если закроем всю задолженность до 31.03.2026г , то штрафные санкции не будут применены и отзовут это письмо. До этого момента отгрузке в наш адрес производиться не будут. Далее работаем согласно договорным обязательствам. </t>
        </r>
      </text>
    </comment>
    <comment ref="S3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возможно</t>
        </r>
      </text>
    </comment>
    <comment ref="Z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AG37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Q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дата по платежа по графику 05.04.2026</t>
        </r>
      </text>
    </comment>
    <comment ref="R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дата платежа по графику 07.04.2026</t>
        </r>
      </text>
    </comment>
    <comment ref="S4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дата платежа по графику 09.04.2026</t>
        </r>
      </text>
    </comment>
    <comment ref="R5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Вывоз ГУ Ростов</t>
        </r>
      </text>
    </comment>
    <comment ref="N6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по графику 03.04.2026
</t>
        </r>
      </text>
    </comment>
    <comment ref="AN6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67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W67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O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I6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59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AH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X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Z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AA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AB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Если закроем всю задолженность до 31.03.2026г , то штрафные санкции не будут применены и отзовут это письмо. До этого момента отгрузке в наш адрес производиться не будут. Далее работаем согласно договорным обязательствам. </t>
        </r>
      </text>
    </comment>
    <comment ref="U3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возможно</t>
        </r>
      </text>
    </comment>
    <comment ref="C3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S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дата по платежа по графику 05.04.2026</t>
        </r>
      </text>
    </comment>
    <comment ref="T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дата платежа по графику 07.04.2026</t>
        </r>
      </text>
    </comment>
    <comment ref="U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дата платежа по графику 09.04.2026</t>
        </r>
      </text>
    </comment>
    <comment ref="P5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по графику 03.04.2026
</t>
        </r>
      </text>
    </comment>
    <comment ref="AP5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6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Y6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Q6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K6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60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AK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AA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AC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AD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AE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пр-во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Если закроем всю задолженность до 31.03.2026г , то штрафные санкции не будут применены и отзовут это письмо. До этого момента отгрузке в наш адрес производиться не будут. Далее работаем согласно договорным обязательствам. </t>
        </r>
      </text>
    </comment>
    <comment ref="X3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возможно</t>
        </r>
      </text>
    </comment>
    <comment ref="C3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V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дата по платежа по графику 05.04.2026</t>
        </r>
      </text>
    </comment>
    <comment ref="W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дата платежа по графику 07.04.2026</t>
        </r>
      </text>
    </comment>
    <comment ref="X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дата платежа по графику 09.04.2026</t>
        </r>
      </text>
    </comment>
    <comment ref="S5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по графику 03.04.2026
</t>
        </r>
      </text>
    </comment>
    <comment ref="AS5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6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AB6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T6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N6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61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AL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AB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Если закроем всю задолженность до 31.03.2026г , то штрафные санкции не будут применены и отзовут это письмо. До этого момента отгрузке в наш адрес производиться не будут. Далее работаем согласно договорным обязательствам. </t>
        </r>
      </text>
    </comment>
    <comment ref="Y36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возможно</t>
        </r>
      </text>
    </comment>
    <comment ref="C3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W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дата по платежа по графику 05.04.2026</t>
        </r>
      </text>
    </comment>
    <comment ref="X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дата платежа по графику 07.04.2026</t>
        </r>
      </text>
    </comment>
    <comment ref="Y4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дата платежа по графику 09.04.2026</t>
        </r>
      </text>
    </comment>
    <comment ref="T58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по графику 03.04.2026
</t>
        </r>
      </text>
    </comment>
    <comment ref="AT59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этилцеллозольв</t>
        </r>
      </text>
    </comment>
    <comment ref="C6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AC6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U6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O6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62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AN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E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Мастюгина, примерно</t>
        </r>
      </text>
    </comment>
    <comment ref="AD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Если закроем всю задолженность до 31.03.2026г , то штрафные санкции не будут применены и отзовут это письмо. До этого момента отгрузке в наш адрес производиться не будут. Далее работаем согласно договорным обязательствам. </t>
        </r>
      </text>
    </comment>
    <comment ref="C3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6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AE6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W6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Q6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63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AO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E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Мастюгина, примерно</t>
        </r>
      </text>
    </comment>
    <comment ref="F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Мастюгина, примерно</t>
        </r>
      </text>
    </comment>
    <comment ref="AE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Если закроем всю задолженность до 31.03.2026г , то штрафные санкции не будут применены и отзовут это письмо. До этого момента отгрузке в наш адрес производиться не будут. Далее работаем согласно договорным обязательствам. </t>
        </r>
      </text>
    </comment>
    <comment ref="C3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6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AF6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X6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R6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64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AR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E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Мастюгина, примерно</t>
        </r>
      </text>
    </comment>
    <comment ref="H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Мастюгина, примерно</t>
        </r>
      </text>
    </comment>
    <comment ref="I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Мастюгина, примерно</t>
        </r>
      </text>
    </comment>
    <comment ref="AH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Если закроем всю задолженность до 31.03.2026г , то штрафные санкции не будут применены и отзовут это письмо. До этого момента отгрузке в наш адрес производиться не будут. Далее работаем согласно договорным обязательствам. </t>
        </r>
      </text>
    </comment>
    <comment ref="C3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E5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Железногорск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ориентир цены 165 р
отсрочка 30 дней на 10 тонн + еще 30 дней на вторые 10 тонн</t>
        </r>
      </text>
    </comment>
    <comment ref="C6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AI6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AA6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U6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65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AS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E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Мастюгина, примерно</t>
        </r>
      </text>
    </comment>
    <comment ref="F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Мастюгина, примерно</t>
        </r>
      </text>
    </comment>
    <comment ref="I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Мастюгина, примерно</t>
        </r>
      </text>
    </comment>
    <comment ref="J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Мастюгина, примерно</t>
        </r>
      </text>
    </comment>
    <comment ref="AI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Если закроем всю задолженность до 31.03.2026г , то штрафные санкции не будут применены и отзовут это письмо. До этого момента отгрузке в наш адрес производиться не будут. Далее работаем согласно договорным обязательствам. </t>
        </r>
      </text>
    </comment>
    <comment ref="C3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F5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Железногорск
</t>
        </r>
      </text>
    </comment>
    <comment ref="B54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ориентир цены 165 р
отсрочка 30 дней на 10 тонн + еще 30 дней на вторые 10 тонн</t>
        </r>
      </text>
    </comment>
    <comment ref="C5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AJ5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AB6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V61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66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AT3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F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Мастюгина, примерно</t>
        </r>
      </text>
    </comment>
    <comment ref="AJ34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Если закроем всю задолженность до 31.03.2026г , то штрафные санкции не будут применены и отзовут это письмо. До этого момента отгрузке в наш адрес производиться не будут. Далее работаем согласно договорным обязательствам. </t>
        </r>
      </text>
    </comment>
    <comment ref="C3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G52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Железногорск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ориентир цены 165 р
отсрочка 30 дней на 10 тонн + еще 30 дней на вторые 10 тонн</t>
        </r>
      </text>
    </comment>
    <comment ref="C58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AK58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AC6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W60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comments67.xml><?xml version="1.0" encoding="utf-8"?>
<comments xmlns="http://schemas.openxmlformats.org/spreadsheetml/2006/main">
  <authors>
    <author>Kate</author>
    <author>KOSTIK</author>
  </authors>
  <commentList>
    <comment ref="B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итого ПРОФИЦИТ/ - ДЕФИЦИТ с учетом просрочки</t>
        </r>
      </text>
    </comment>
    <comment ref="AV2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очень примерно общая сумма</t>
        </r>
      </text>
    </comment>
    <comment ref="H3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Мастюгина, примерно</t>
        </r>
      </text>
    </comment>
    <comment ref="AL33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КУ Производство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Если закроем всю задолженность до 31.03.2026г , то штрафные санкции не будут применены и отзовут это письмо. До этого момента отгрузке в наш адрес производиться не будут. Далее работаем согласно договорным обязательствам. </t>
        </r>
      </text>
    </comment>
    <comment ref="C38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C3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Ждут месяц (4 недели) , но мы должны каждую неделю погашать задолженность равными долями по 806 442 рубля, но отгрузки в наш адрес возобновят при закрытии текущей задолженности в размере 50%. </t>
        </r>
      </text>
    </comment>
    <comment ref="I51" authorId="1" shapeId="0">
      <text>
        <r>
          <rPr>
            <b/>
            <sz val="9"/>
            <color indexed="81"/>
            <rFont val="Tahoma"/>
            <family val="2"/>
            <charset val="204"/>
          </rPr>
          <t>KOSTIK:</t>
        </r>
        <r>
          <rPr>
            <sz val="9"/>
            <color indexed="81"/>
            <rFont val="Tahoma"/>
            <family val="2"/>
            <charset val="204"/>
          </rPr>
          <t xml:space="preserve">
Железногорск
</t>
        </r>
      </text>
    </comment>
    <comment ref="B52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ориентир цены 165 р
отсрочка 30 дней на 10 тонн + еще 30 дней на вторые 10 тонн</t>
        </r>
      </text>
    </comment>
    <comment ref="H57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долг</t>
        </r>
      </text>
    </comment>
    <comment ref="AM57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примерно! Сверить расчет</t>
        </r>
      </text>
    </comment>
    <comment ref="AE5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 </t>
        </r>
      </text>
    </comment>
    <comment ref="AY59" authorId="0" shapeId="0">
      <text>
        <r>
          <rPr>
            <b/>
            <sz val="9"/>
            <color indexed="81"/>
            <rFont val="Tahoma"/>
            <family val="2"/>
            <charset val="204"/>
          </rPr>
          <t>Kate:</t>
        </r>
        <r>
          <rPr>
            <sz val="9"/>
            <color indexed="81"/>
            <rFont val="Tahoma"/>
            <family val="2"/>
            <charset val="204"/>
          </rPr>
          <t xml:space="preserve">
примерно, надо будет сверить расчет</t>
        </r>
      </text>
    </comment>
  </commentList>
</comments>
</file>

<file path=xl/sharedStrings.xml><?xml version="1.0" encoding="utf-8"?>
<sst xmlns="http://schemas.openxmlformats.org/spreadsheetml/2006/main" count="7408" uniqueCount="182">
  <si>
    <t>ПОСТУПЛЕНИЯ ОТ ПОКУПАТЕЛЕЙ</t>
  </si>
  <si>
    <t>ОПЛАТЫ</t>
  </si>
  <si>
    <t>ФНС</t>
  </si>
  <si>
    <t>взносы с ФОТ</t>
  </si>
  <si>
    <t>НДФЛ</t>
  </si>
  <si>
    <t>НДС</t>
  </si>
  <si>
    <t>Прибыль</t>
  </si>
  <si>
    <t>ЗП</t>
  </si>
  <si>
    <t>зп, аванс</t>
  </si>
  <si>
    <t>Артфлекс, руб</t>
  </si>
  <si>
    <t>Артфлекс, евро</t>
  </si>
  <si>
    <t>Готэк-Полипак, eur</t>
  </si>
  <si>
    <t>Главупак, руб</t>
  </si>
  <si>
    <t>Полиграфоформление, eur</t>
  </si>
  <si>
    <t>ООО НПК Химсвет</t>
  </si>
  <si>
    <t xml:space="preserve">ООО Дельта </t>
  </si>
  <si>
    <t>АО Русхимсеть</t>
  </si>
  <si>
    <t>ООО Бина Групп</t>
  </si>
  <si>
    <t>ООО ЕТС Химические материалы</t>
  </si>
  <si>
    <t>ООО АНКАР</t>
  </si>
  <si>
    <t>ООО РК</t>
  </si>
  <si>
    <t>ООО ЕТС-М</t>
  </si>
  <si>
    <t>СП ООО ЕТС</t>
  </si>
  <si>
    <t>просрочка ДЗ</t>
  </si>
  <si>
    <t>просрочка КЗ</t>
  </si>
  <si>
    <t xml:space="preserve">ТОЧКА (RUB) </t>
  </si>
  <si>
    <t xml:space="preserve">Итого остатки по счетам </t>
  </si>
  <si>
    <t xml:space="preserve">ВТБ (RUB) </t>
  </si>
  <si>
    <t>ОТП (RUB)</t>
  </si>
  <si>
    <t>А-Тим</t>
  </si>
  <si>
    <t>пигменты</t>
  </si>
  <si>
    <t>ведра</t>
  </si>
  <si>
    <t>растворитель</t>
  </si>
  <si>
    <t>ООО Радиант Кемикалз</t>
  </si>
  <si>
    <t>Нео Кемикал</t>
  </si>
  <si>
    <t xml:space="preserve">За пигменты </t>
  </si>
  <si>
    <t xml:space="preserve">Добрус, ООО </t>
  </si>
  <si>
    <t>За LIDA 20000</t>
  </si>
  <si>
    <t>В-Альянс, транспорт</t>
  </si>
  <si>
    <t xml:space="preserve">транспорт местный </t>
  </si>
  <si>
    <t>Все инструменты</t>
  </si>
  <si>
    <t xml:space="preserve">бина-лак, этиацетат </t>
  </si>
  <si>
    <t>Простой Новорос??? НЦ</t>
  </si>
  <si>
    <t>работы в порту, довоз в Углово НЦ</t>
  </si>
  <si>
    <t>Хозтовары</t>
  </si>
  <si>
    <t>Ломон</t>
  </si>
  <si>
    <t>Неокрил, Неорез</t>
  </si>
  <si>
    <t>Пигменты</t>
  </si>
  <si>
    <t>Варм рэд</t>
  </si>
  <si>
    <t>КВ ГОТЭК</t>
  </si>
  <si>
    <t>EUR</t>
  </si>
  <si>
    <t>USD</t>
  </si>
  <si>
    <t>CNY</t>
  </si>
  <si>
    <t>Аренда производство / склад - ИП Мастюгина</t>
  </si>
  <si>
    <t>Аренда офиса - МОНЕТНАЯ</t>
  </si>
  <si>
    <t>Фрахт НЦ</t>
  </si>
  <si>
    <t>просрочено</t>
  </si>
  <si>
    <t>КВ ГУ</t>
  </si>
  <si>
    <t>1.	Дата отгрузки 14.02.2026, сумма 14 722,40 евро, дата платежа 14.03.2026</t>
  </si>
  <si>
    <t>2.	Дата отгрузки 05.03.2026 сумма 17 877,20 евро, дата оплаты 17.04.2026</t>
  </si>
  <si>
    <t>Штарк Кемикалз - клей проданный через Штарк Инк в АФ</t>
  </si>
  <si>
    <t>КВ ПОФ ( сверить расчет )</t>
  </si>
  <si>
    <t>план поступлений март-апр</t>
  </si>
  <si>
    <t>план оплат март-апрель</t>
  </si>
  <si>
    <t>итого баланс с учетом просрочки</t>
  </si>
  <si>
    <t>СПРАВОЧНО</t>
  </si>
  <si>
    <t>БАЛАНС</t>
  </si>
  <si>
    <t>IoniX Chemical DWC LLC ( Пиуш)</t>
  </si>
  <si>
    <t xml:space="preserve">за доставки 2х конт. НЦ - 39900 USD ( по курсу на дату оплаты ) </t>
  </si>
  <si>
    <t>Штарк Групп за НЦ</t>
  </si>
  <si>
    <t>предоплата за НЦ</t>
  </si>
  <si>
    <t>Рег. Платежи связь, мусор и проч.</t>
  </si>
  <si>
    <t>Flexotech</t>
  </si>
  <si>
    <t>долг за 1 конт НЦ ( индия )</t>
  </si>
  <si>
    <t>Артфлекс</t>
  </si>
  <si>
    <t>этилцеллозольв 20тонн</t>
  </si>
  <si>
    <t>Партнер, руб</t>
  </si>
  <si>
    <t>план оплат март-апрель-май</t>
  </si>
  <si>
    <t>Цеппелин</t>
  </si>
  <si>
    <t>оформление ДТ, НЦ</t>
  </si>
  <si>
    <t>Платежи по графику</t>
  </si>
  <si>
    <t>Флексография К-принт</t>
  </si>
  <si>
    <t>этикетки</t>
  </si>
  <si>
    <t>растворитель промывочный</t>
  </si>
  <si>
    <t>план оплат март-апрель-май(10.05)</t>
  </si>
  <si>
    <t>ООО РК (55)</t>
  </si>
  <si>
    <t>ООО Радиант Кемикалз (11)</t>
  </si>
  <si>
    <t>Погашение просроченной КЗ</t>
  </si>
  <si>
    <t>Уходим в просрочку</t>
  </si>
  <si>
    <t>,</t>
  </si>
  <si>
    <t>Мас-Альбион</t>
  </si>
  <si>
    <t>ломон</t>
  </si>
  <si>
    <t xml:space="preserve">Деловые линии </t>
  </si>
  <si>
    <t>в МСК образцы</t>
  </si>
  <si>
    <t>Капсервис</t>
  </si>
  <si>
    <t>кофе</t>
  </si>
  <si>
    <t>Веселый водовоз</t>
  </si>
  <si>
    <t>Балтхим</t>
  </si>
  <si>
    <t>Этилцеллольв</t>
  </si>
  <si>
    <t xml:space="preserve">ООО БИК </t>
  </si>
  <si>
    <t>пигмент сильвер</t>
  </si>
  <si>
    <t>Сигма Плюс</t>
  </si>
  <si>
    <t>ООО ТД Каскад</t>
  </si>
  <si>
    <t>арбитражки, пласт. Ведра</t>
  </si>
  <si>
    <t>ЕСА Сервис</t>
  </si>
  <si>
    <t>анализ образцов</t>
  </si>
  <si>
    <t>ООО Брендтара</t>
  </si>
  <si>
    <t>поддоны</t>
  </si>
  <si>
    <t>ООО Вереск</t>
  </si>
  <si>
    <t>Вывоз мусора</t>
  </si>
  <si>
    <t>план поступлений март-апр-май</t>
  </si>
  <si>
    <t>Компонент</t>
  </si>
  <si>
    <t xml:space="preserve">Регенерация </t>
  </si>
  <si>
    <t>РТ-Полиуретаны</t>
  </si>
  <si>
    <t xml:space="preserve">1732500,00 предоплата </t>
  </si>
  <si>
    <t>ООО, Арткем</t>
  </si>
  <si>
    <t>Титан АП 100</t>
  </si>
  <si>
    <t>ООО, Фарбегут</t>
  </si>
  <si>
    <t xml:space="preserve">МСП </t>
  </si>
  <si>
    <t>растворители</t>
  </si>
  <si>
    <t>ООО ЕТС ХМ</t>
  </si>
  <si>
    <t>Растворители</t>
  </si>
  <si>
    <t>план поступлений апр-май</t>
  </si>
  <si>
    <t>Продупак, eur</t>
  </si>
  <si>
    <t>Штарк Кемикалз, ООО</t>
  </si>
  <si>
    <t>трипол</t>
  </si>
  <si>
    <t>план оплат</t>
  </si>
  <si>
    <t xml:space="preserve">план поступлений </t>
  </si>
  <si>
    <t>КСЭ-Лидер, ООО</t>
  </si>
  <si>
    <t>Транспорт опаска</t>
  </si>
  <si>
    <t>Межгород</t>
  </si>
  <si>
    <t>Транспорт</t>
  </si>
  <si>
    <t>ООО, Медикосм</t>
  </si>
  <si>
    <t>перчатки латэкс</t>
  </si>
  <si>
    <t xml:space="preserve">ООО, Деловые линии </t>
  </si>
  <si>
    <t xml:space="preserve">Образцы </t>
  </si>
  <si>
    <t>канифоль Pinustack 750</t>
  </si>
  <si>
    <t>Изопропанол</t>
  </si>
  <si>
    <r>
      <t xml:space="preserve">ООО, Пинус Рус, </t>
    </r>
    <r>
      <rPr>
        <sz val="8"/>
        <color rgb="FFFF0000"/>
        <rFont val="Calibri"/>
        <family val="2"/>
        <charset val="204"/>
        <scheme val="minor"/>
      </rPr>
      <t>только по предоплате!</t>
    </r>
  </si>
  <si>
    <r>
      <t>РТ-Полиуретаны,</t>
    </r>
    <r>
      <rPr>
        <sz val="8"/>
        <color rgb="FFFF0000"/>
        <rFont val="Calibri"/>
        <family val="2"/>
        <charset val="204"/>
        <scheme val="minor"/>
      </rPr>
      <t xml:space="preserve"> только предоплата!</t>
    </r>
  </si>
  <si>
    <r>
      <t xml:space="preserve">ООО, Медикосм,  </t>
    </r>
    <r>
      <rPr>
        <sz val="8"/>
        <color rgb="FFFF0000"/>
        <rFont val="Calibri"/>
        <family val="2"/>
        <charset val="204"/>
        <scheme val="minor"/>
      </rPr>
      <t>только по предоплате!</t>
    </r>
  </si>
  <si>
    <t>ООО Агава Полимер</t>
  </si>
  <si>
    <t>расходники</t>
  </si>
  <si>
    <t>ООО, ЕТС-М</t>
  </si>
  <si>
    <r>
      <t>КВАРЦВЕРКЕ УЛЬЯНОВСК ООО,</t>
    </r>
    <r>
      <rPr>
        <sz val="8"/>
        <color rgb="FFFF0000"/>
        <rFont val="Calibri"/>
        <family val="2"/>
        <charset val="204"/>
        <scheme val="minor"/>
      </rPr>
      <t xml:space="preserve"> только предоплата</t>
    </r>
  </si>
  <si>
    <t>Kaolin К-Brite HK 158</t>
  </si>
  <si>
    <t>ТОРГОВЫЙ ДОМ ГАРАНТ ООО</t>
  </si>
  <si>
    <t>паллеты, крышки</t>
  </si>
  <si>
    <t>DOA Plasticiser</t>
  </si>
  <si>
    <r>
      <t xml:space="preserve">ВОЛГОПРОМБЫТХИМ ООО, </t>
    </r>
    <r>
      <rPr>
        <sz val="8"/>
        <color rgb="FFFF0000"/>
        <rFont val="Calibri"/>
        <family val="2"/>
        <charset val="204"/>
        <scheme val="minor"/>
      </rPr>
      <t>только предоплата</t>
    </r>
  </si>
  <si>
    <t xml:space="preserve">растворитель </t>
  </si>
  <si>
    <t>НЦ перспектива ИНЖЕНЕРИКА</t>
  </si>
  <si>
    <t>гофра д/палет</t>
  </si>
  <si>
    <t>одноразовые материалы</t>
  </si>
  <si>
    <r>
      <t>ТД "МУЛЬТИТРЕЙД,</t>
    </r>
    <r>
      <rPr>
        <sz val="8"/>
        <color rgb="FFFF0000"/>
        <rFont val="Calibri"/>
        <family val="2"/>
        <charset val="204"/>
        <scheme val="minor"/>
      </rPr>
      <t xml:space="preserve"> предоплата</t>
    </r>
  </si>
  <si>
    <r>
      <t>ПК ТС ООО,</t>
    </r>
    <r>
      <rPr>
        <sz val="8"/>
        <color rgb="FFFF0000"/>
        <rFont val="Calibri"/>
        <family val="2"/>
        <charset val="204"/>
        <scheme val="minor"/>
      </rPr>
      <t xml:space="preserve"> предоплата</t>
    </r>
  </si>
  <si>
    <t>ТЕХРЕСУРС ПКФ ООО</t>
  </si>
  <si>
    <t>Фильтры</t>
  </si>
  <si>
    <t>Деловые линии</t>
  </si>
  <si>
    <t>КСЭ-ЛИДЕР ООО</t>
  </si>
  <si>
    <t>Доставка промоутера</t>
  </si>
  <si>
    <t xml:space="preserve">2 772 000,00предоплата </t>
  </si>
  <si>
    <t xml:space="preserve">Бина групп </t>
  </si>
  <si>
    <t>От АФ</t>
  </si>
  <si>
    <t>нед 27</t>
  </si>
  <si>
    <t>нед 28</t>
  </si>
  <si>
    <t>нед 29</t>
  </si>
  <si>
    <t>нед 30</t>
  </si>
  <si>
    <t>Сумма оплат по плану Пост, без учета неприкасаемых</t>
  </si>
  <si>
    <t>Неснижаемый остаток</t>
  </si>
  <si>
    <t>сумма до покрытия неснижаемого остатка</t>
  </si>
  <si>
    <t xml:space="preserve">Транши от АФ план </t>
  </si>
  <si>
    <t>На покрытие неснижайки</t>
  </si>
  <si>
    <t>Баланс по оплатам поставщикам (траши АФ-оплаты поставщикам)</t>
  </si>
  <si>
    <t xml:space="preserve">до восстановление неснижаемого остаткa в моменте </t>
  </si>
  <si>
    <t xml:space="preserve">Итого </t>
  </si>
  <si>
    <t>Медикосм перчатки</t>
  </si>
  <si>
    <t xml:space="preserve">Компонент </t>
  </si>
  <si>
    <t>промывочнй растворитель</t>
  </si>
  <si>
    <t>перчатки</t>
  </si>
  <si>
    <t>МИР РТИ ПЕТЕРБУРГ ООО</t>
  </si>
  <si>
    <t>шланг для бисерки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</si>
</sst>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d\-mmm\-yy;@"/>
    <numFmt numFmtId="165" formatCode="#,##0.00_ ;[Red]\-#,##0.00\ "/>
    <numFmt numFmtId="166" formatCode="#,##0.0000;[Red]\-#,##0.0000"/>
    <numFmt numFmtId="167" formatCode="#,##0.00\ &quot;₽&quot;"/>
  </numFmts>
  <fonts count="1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8"/>
      <name val="Arial"/>
      <family val="2"/>
      <charset val="204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8"/>
      <color indexed="16"/>
      <name val="Calibri"/>
      <family val="2"/>
      <charset val="204"/>
      <scheme val="minor"/>
    </font>
    <font>
      <sz val="8"/>
      <color rgb="FF7030A0"/>
      <name val="Calibri"/>
      <family val="2"/>
      <charset val="204"/>
      <scheme val="minor"/>
    </font>
    <font>
      <sz val="8"/>
      <color rgb="FF0070C0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sz val="8"/>
      <color rgb="FF00B0F0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0"/>
      </bottom>
      <diagonal/>
    </border>
    <border>
      <left style="medium">
        <color indexed="64"/>
      </left>
      <right style="medium">
        <color indexed="64"/>
      </right>
      <top style="thin">
        <color indexed="6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0"/>
      </bottom>
      <diagonal/>
    </border>
    <border>
      <left style="medium">
        <color indexed="64"/>
      </left>
      <right/>
      <top style="thin">
        <color indexed="6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3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5" borderId="0" xfId="0" applyFont="1" applyFill="1"/>
    <xf numFmtId="0" fontId="4" fillId="0" borderId="0" xfId="0" applyFont="1" applyFill="1"/>
    <xf numFmtId="0" fontId="4" fillId="0" borderId="0" xfId="0" applyFont="1" applyBorder="1" applyAlignment="1">
      <alignment horizontal="left"/>
    </xf>
    <xf numFmtId="165" fontId="4" fillId="0" borderId="0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top" wrapText="1"/>
    </xf>
    <xf numFmtId="0" fontId="4" fillId="0" borderId="0" xfId="0" applyFont="1" applyBorder="1" applyAlignment="1">
      <alignment horizontal="center" vertical="center" wrapText="1"/>
    </xf>
    <xf numFmtId="40" fontId="4" fillId="4" borderId="2" xfId="4" applyNumberFormat="1" applyFont="1" applyFill="1" applyBorder="1" applyAlignment="1">
      <alignment horizontal="right" vertical="top"/>
    </xf>
    <xf numFmtId="0" fontId="4" fillId="0" borderId="2" xfId="4" applyNumberFormat="1" applyFont="1" applyFill="1" applyBorder="1" applyAlignment="1">
      <alignment vertical="top" wrapText="1" indent="2"/>
    </xf>
    <xf numFmtId="40" fontId="4" fillId="0" borderId="2" xfId="1" applyNumberFormat="1" applyFont="1" applyFill="1" applyBorder="1" applyAlignment="1">
      <alignment horizontal="right" vertical="top"/>
    </xf>
    <xf numFmtId="4" fontId="4" fillId="0" borderId="0" xfId="0" applyNumberFormat="1" applyFont="1" applyAlignment="1">
      <alignment horizontal="center" vertical="center" wrapText="1"/>
    </xf>
    <xf numFmtId="0" fontId="8" fillId="0" borderId="5" xfId="2" applyNumberFormat="1" applyFont="1" applyBorder="1" applyAlignment="1">
      <alignment vertical="top" wrapText="1" indent="2"/>
    </xf>
    <xf numFmtId="0" fontId="8" fillId="0" borderId="0" xfId="2" applyNumberFormat="1" applyFont="1" applyBorder="1" applyAlignment="1">
      <alignment vertical="top" wrapText="1" indent="2"/>
    </xf>
    <xf numFmtId="4" fontId="8" fillId="0" borderId="0" xfId="8" applyNumberFormat="1" applyFont="1" applyBorder="1" applyAlignment="1">
      <alignment horizontal="right" vertical="top"/>
    </xf>
    <xf numFmtId="0" fontId="8" fillId="0" borderId="5" xfId="6" applyNumberFormat="1" applyFont="1" applyBorder="1" applyAlignment="1">
      <alignment vertical="center"/>
    </xf>
    <xf numFmtId="0" fontId="8" fillId="5" borderId="5" xfId="6" applyNumberFormat="1" applyFont="1" applyFill="1" applyBorder="1" applyAlignment="1">
      <alignment vertical="center"/>
    </xf>
    <xf numFmtId="0" fontId="7" fillId="3" borderId="2" xfId="1" applyNumberFormat="1" applyFont="1" applyFill="1" applyBorder="1" applyAlignment="1">
      <alignment horizontal="center" vertical="center" wrapText="1"/>
    </xf>
    <xf numFmtId="0" fontId="8" fillId="0" borderId="2" xfId="2" applyNumberFormat="1" applyFont="1" applyBorder="1" applyAlignment="1">
      <alignment horizontal="center" vertical="center" wrapText="1"/>
    </xf>
    <xf numFmtId="0" fontId="7" fillId="5" borderId="2" xfId="1" applyNumberFormat="1" applyFont="1" applyFill="1" applyBorder="1" applyAlignment="1">
      <alignment vertical="top" wrapText="1"/>
    </xf>
    <xf numFmtId="0" fontId="8" fillId="0" borderId="2" xfId="4" applyNumberFormat="1" applyFont="1" applyBorder="1" applyAlignment="1">
      <alignment vertical="top" wrapText="1"/>
    </xf>
    <xf numFmtId="40" fontId="8" fillId="0" borderId="2" xfId="4" applyNumberFormat="1" applyFont="1" applyBorder="1" applyAlignment="1">
      <alignment horizontal="right" vertical="top"/>
    </xf>
    <xf numFmtId="0" fontId="8" fillId="0" borderId="5" xfId="5" applyNumberFormat="1" applyFont="1" applyBorder="1" applyAlignment="1">
      <alignment vertical="top" wrapText="1"/>
    </xf>
    <xf numFmtId="40" fontId="9" fillId="0" borderId="2" xfId="1" applyNumberFormat="1" applyFont="1" applyFill="1" applyBorder="1" applyAlignment="1">
      <alignment horizontal="right" vertical="top"/>
    </xf>
    <xf numFmtId="0" fontId="8" fillId="0" borderId="2" xfId="4" applyNumberFormat="1" applyFont="1" applyFill="1" applyBorder="1" applyAlignment="1">
      <alignment vertical="top" wrapText="1"/>
    </xf>
    <xf numFmtId="40" fontId="8" fillId="0" borderId="2" xfId="4" applyNumberFormat="1" applyFont="1" applyFill="1" applyBorder="1" applyAlignment="1">
      <alignment horizontal="right" vertical="top"/>
    </xf>
    <xf numFmtId="40" fontId="7" fillId="3" borderId="2" xfId="1" applyNumberFormat="1" applyFont="1" applyFill="1" applyBorder="1" applyAlignment="1">
      <alignment horizontal="right" vertical="center" wrapText="1"/>
    </xf>
    <xf numFmtId="40" fontId="8" fillId="0" borderId="2" xfId="2" applyNumberFormat="1" applyFont="1" applyBorder="1" applyAlignment="1">
      <alignment horizontal="right" vertical="center" wrapText="1"/>
    </xf>
    <xf numFmtId="40" fontId="9" fillId="0" borderId="2" xfId="2" applyNumberFormat="1" applyFont="1" applyBorder="1" applyAlignment="1">
      <alignment horizontal="right" vertical="center" wrapText="1"/>
    </xf>
    <xf numFmtId="40" fontId="8" fillId="0" borderId="2" xfId="3" applyNumberFormat="1" applyFont="1" applyBorder="1" applyAlignment="1">
      <alignment horizontal="right" vertical="center" wrapText="1"/>
    </xf>
    <xf numFmtId="40" fontId="8" fillId="0" borderId="2" xfId="4" applyNumberFormat="1" applyFont="1" applyBorder="1" applyAlignment="1">
      <alignment horizontal="right" vertical="center" wrapText="1"/>
    </xf>
    <xf numFmtId="40" fontId="7" fillId="5" borderId="2" xfId="1" applyNumberFormat="1" applyFont="1" applyFill="1" applyBorder="1" applyAlignment="1">
      <alignment horizontal="right" vertical="top" wrapText="1"/>
    </xf>
    <xf numFmtId="40" fontId="9" fillId="0" borderId="2" xfId="4" applyNumberFormat="1" applyFont="1" applyFill="1" applyBorder="1" applyAlignment="1">
      <alignment horizontal="right" vertical="top"/>
    </xf>
    <xf numFmtId="0" fontId="4" fillId="7" borderId="5" xfId="0" applyFont="1" applyFill="1" applyBorder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7" fillId="3" borderId="2" xfId="1" applyNumberFormat="1" applyFont="1" applyFill="1" applyBorder="1" applyAlignment="1">
      <alignment horizontal="left" vertical="center" wrapText="1"/>
    </xf>
    <xf numFmtId="0" fontId="8" fillId="0" borderId="2" xfId="2" applyNumberFormat="1" applyFont="1" applyBorder="1" applyAlignment="1">
      <alignment horizontal="left" vertical="center" wrapText="1"/>
    </xf>
    <xf numFmtId="0" fontId="7" fillId="5" borderId="2" xfId="1" applyNumberFormat="1" applyFont="1" applyFill="1" applyBorder="1" applyAlignment="1">
      <alignment horizontal="left" vertical="top" wrapText="1"/>
    </xf>
    <xf numFmtId="0" fontId="4" fillId="0" borderId="2" xfId="4" applyNumberFormat="1" applyFont="1" applyFill="1" applyBorder="1" applyAlignment="1">
      <alignment horizontal="left" vertical="top" wrapText="1" indent="2"/>
    </xf>
    <xf numFmtId="0" fontId="2" fillId="0" borderId="8" xfId="6" applyNumberFormat="1" applyFont="1" applyBorder="1" applyAlignment="1">
      <alignment horizontal="center" vertical="top"/>
    </xf>
    <xf numFmtId="166" fontId="2" fillId="0" borderId="9" xfId="9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4" fillId="4" borderId="2" xfId="4" applyNumberFormat="1" applyFont="1" applyFill="1" applyBorder="1" applyAlignment="1">
      <alignment vertical="top" wrapText="1"/>
    </xf>
    <xf numFmtId="0" fontId="4" fillId="4" borderId="7" xfId="4" applyNumberFormat="1" applyFont="1" applyFill="1" applyBorder="1" applyAlignment="1">
      <alignment vertical="top" wrapText="1"/>
    </xf>
    <xf numFmtId="0" fontId="4" fillId="8" borderId="5" xfId="0" applyFont="1" applyFill="1" applyBorder="1" applyAlignment="1"/>
    <xf numFmtId="40" fontId="7" fillId="0" borderId="5" xfId="7" applyNumberFormat="1" applyFont="1" applyBorder="1" applyAlignment="1">
      <alignment horizontal="right" vertical="top" wrapText="1"/>
    </xf>
    <xf numFmtId="40" fontId="3" fillId="0" borderId="5" xfId="0" applyNumberFormat="1" applyFont="1" applyFill="1" applyBorder="1" applyAlignment="1">
      <alignment horizontal="right"/>
    </xf>
    <xf numFmtId="40" fontId="3" fillId="8" borderId="5" xfId="0" applyNumberFormat="1" applyFont="1" applyFill="1" applyBorder="1" applyAlignment="1">
      <alignment horizontal="right"/>
    </xf>
    <xf numFmtId="0" fontId="3" fillId="0" borderId="0" xfId="0" applyFont="1" applyBorder="1" applyAlignment="1">
      <alignment horizontal="left"/>
    </xf>
    <xf numFmtId="40" fontId="7" fillId="0" borderId="5" xfId="6" applyNumberFormat="1" applyFont="1" applyBorder="1" applyAlignment="1">
      <alignment vertical="center" wrapText="1"/>
    </xf>
    <xf numFmtId="40" fontId="7" fillId="5" borderId="5" xfId="6" applyNumberFormat="1" applyFont="1" applyFill="1" applyBorder="1" applyAlignment="1">
      <alignment vertical="center" wrapText="1"/>
    </xf>
    <xf numFmtId="40" fontId="3" fillId="0" borderId="5" xfId="0" applyNumberFormat="1" applyFont="1" applyBorder="1" applyAlignment="1">
      <alignment vertical="center"/>
    </xf>
    <xf numFmtId="40" fontId="3" fillId="0" borderId="0" xfId="0" applyNumberFormat="1" applyFont="1" applyBorder="1" applyAlignment="1">
      <alignment horizontal="center" vertical="center" wrapText="1"/>
    </xf>
    <xf numFmtId="4" fontId="3" fillId="2" borderId="6" xfId="0" applyNumberFormat="1" applyFont="1" applyFill="1" applyBorder="1" applyAlignment="1">
      <alignment horizontal="center" vertical="center" wrapText="1"/>
    </xf>
    <xf numFmtId="40" fontId="7" fillId="0" borderId="2" xfId="2" applyNumberFormat="1" applyFont="1" applyBorder="1" applyAlignment="1">
      <alignment horizontal="right" vertical="center" wrapText="1"/>
    </xf>
    <xf numFmtId="40" fontId="7" fillId="0" borderId="2" xfId="4" applyNumberFormat="1" applyFont="1" applyBorder="1" applyAlignment="1">
      <alignment horizontal="right" vertical="top" wrapText="1"/>
    </xf>
    <xf numFmtId="40" fontId="3" fillId="0" borderId="2" xfId="1" applyNumberFormat="1" applyFont="1" applyFill="1" applyBorder="1" applyAlignment="1">
      <alignment horizontal="right" vertical="top" wrapText="1" indent="2"/>
    </xf>
    <xf numFmtId="40" fontId="7" fillId="0" borderId="2" xfId="4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0" fontId="3" fillId="4" borderId="2" xfId="4" applyNumberFormat="1" applyFont="1" applyFill="1" applyBorder="1" applyAlignment="1">
      <alignment horizontal="right" vertical="top" wrapText="1"/>
    </xf>
    <xf numFmtId="40" fontId="3" fillId="0" borderId="2" xfId="1" applyNumberFormat="1" applyFont="1" applyFill="1" applyBorder="1" applyAlignment="1">
      <alignment horizontal="right" vertical="top" wrapText="1"/>
    </xf>
    <xf numFmtId="0" fontId="8" fillId="7" borderId="5" xfId="0" applyFont="1" applyFill="1" applyBorder="1" applyAlignment="1">
      <alignment horizontal="left"/>
    </xf>
    <xf numFmtId="40" fontId="7" fillId="7" borderId="5" xfId="0" applyNumberFormat="1" applyFont="1" applyFill="1" applyBorder="1" applyAlignment="1">
      <alignment horizontal="right"/>
    </xf>
    <xf numFmtId="0" fontId="8" fillId="0" borderId="0" xfId="0" applyFont="1"/>
    <xf numFmtId="40" fontId="8" fillId="0" borderId="2" xfId="1" applyNumberFormat="1" applyFont="1" applyFill="1" applyBorder="1" applyAlignment="1">
      <alignment horizontal="right" vertical="top"/>
    </xf>
    <xf numFmtId="0" fontId="8" fillId="0" borderId="0" xfId="0" applyFont="1" applyFill="1"/>
    <xf numFmtId="40" fontId="8" fillId="0" borderId="0" xfId="0" applyNumberFormat="1" applyFont="1" applyAlignment="1">
      <alignment horizontal="right"/>
    </xf>
    <xf numFmtId="40" fontId="7" fillId="0" borderId="2" xfId="1" applyNumberFormat="1" applyFont="1" applyFill="1" applyBorder="1" applyAlignment="1">
      <alignment horizontal="right" vertical="top" wrapText="1"/>
    </xf>
    <xf numFmtId="40" fontId="7" fillId="7" borderId="0" xfId="0" applyNumberFormat="1" applyFont="1" applyFill="1" applyBorder="1" applyAlignment="1">
      <alignment horizontal="right"/>
    </xf>
    <xf numFmtId="40" fontId="8" fillId="0" borderId="3" xfId="4" applyNumberFormat="1" applyFont="1" applyBorder="1" applyAlignment="1">
      <alignment horizontal="right" vertical="top"/>
    </xf>
    <xf numFmtId="0" fontId="8" fillId="0" borderId="2" xfId="4" applyNumberFormat="1" applyFont="1" applyFill="1" applyBorder="1" applyAlignment="1">
      <alignment horizontal="left" vertical="top" wrapText="1" indent="2"/>
    </xf>
    <xf numFmtId="0" fontId="8" fillId="0" borderId="2" xfId="4" applyNumberFormat="1" applyFont="1" applyFill="1" applyBorder="1" applyAlignment="1">
      <alignment vertical="top" wrapText="1" indent="2"/>
    </xf>
    <xf numFmtId="0" fontId="8" fillId="0" borderId="0" xfId="0" applyFont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vertical="top" wrapText="1"/>
    </xf>
    <xf numFmtId="40" fontId="3" fillId="6" borderId="4" xfId="0" applyNumberFormat="1" applyFont="1" applyFill="1" applyBorder="1" applyAlignment="1">
      <alignment horizontal="right" vertical="top" wrapText="1"/>
    </xf>
    <xf numFmtId="0" fontId="3" fillId="6" borderId="0" xfId="0" applyFont="1" applyFill="1"/>
    <xf numFmtId="0" fontId="3" fillId="9" borderId="2" xfId="4" applyNumberFormat="1" applyFont="1" applyFill="1" applyBorder="1" applyAlignment="1">
      <alignment vertical="top" wrapText="1"/>
    </xf>
    <xf numFmtId="0" fontId="3" fillId="9" borderId="7" xfId="4" applyNumberFormat="1" applyFont="1" applyFill="1" applyBorder="1" applyAlignment="1">
      <alignment vertical="top" wrapText="1"/>
    </xf>
    <xf numFmtId="40" fontId="3" fillId="9" borderId="2" xfId="4" applyNumberFormat="1" applyFont="1" applyFill="1" applyBorder="1" applyAlignment="1">
      <alignment horizontal="right" vertical="top" wrapText="1"/>
    </xf>
    <xf numFmtId="40" fontId="3" fillId="9" borderId="2" xfId="4" applyNumberFormat="1" applyFont="1" applyFill="1" applyBorder="1" applyAlignment="1">
      <alignment horizontal="right" vertical="top"/>
    </xf>
    <xf numFmtId="0" fontId="3" fillId="9" borderId="0" xfId="0" applyFont="1" applyFill="1"/>
    <xf numFmtId="40" fontId="10" fillId="0" borderId="2" xfId="4" applyNumberFormat="1" applyFont="1" applyFill="1" applyBorder="1" applyAlignment="1">
      <alignment horizontal="right" vertical="top"/>
    </xf>
    <xf numFmtId="0" fontId="11" fillId="7" borderId="5" xfId="0" applyFont="1" applyFill="1" applyBorder="1" applyAlignment="1">
      <alignment horizontal="left"/>
    </xf>
    <xf numFmtId="0" fontId="11" fillId="0" borderId="2" xfId="4" applyNumberFormat="1" applyFont="1" applyFill="1" applyBorder="1" applyAlignment="1">
      <alignment vertical="top" wrapText="1"/>
    </xf>
    <xf numFmtId="40" fontId="11" fillId="0" borderId="2" xfId="4" applyNumberFormat="1" applyFont="1" applyFill="1" applyBorder="1" applyAlignment="1">
      <alignment horizontal="right" vertical="top"/>
    </xf>
    <xf numFmtId="0" fontId="11" fillId="0" borderId="0" xfId="0" applyFont="1" applyFill="1"/>
    <xf numFmtId="40" fontId="8" fillId="10" borderId="2" xfId="4" applyNumberFormat="1" applyFont="1" applyFill="1" applyBorder="1" applyAlignment="1">
      <alignment horizontal="right" vertical="top"/>
    </xf>
    <xf numFmtId="40" fontId="10" fillId="0" borderId="2" xfId="4" applyNumberFormat="1" applyFont="1" applyBorder="1" applyAlignment="1">
      <alignment horizontal="right" vertical="top"/>
    </xf>
    <xf numFmtId="4" fontId="8" fillId="0" borderId="0" xfId="0" applyNumberFormat="1" applyFont="1"/>
    <xf numFmtId="40" fontId="8" fillId="11" borderId="2" xfId="4" applyNumberFormat="1" applyFont="1" applyFill="1" applyBorder="1" applyAlignment="1">
      <alignment horizontal="right" vertical="top"/>
    </xf>
    <xf numFmtId="0" fontId="4" fillId="11" borderId="0" xfId="0" applyFont="1" applyFill="1" applyAlignment="1">
      <alignment horizontal="left" vertical="center" wrapText="1"/>
    </xf>
    <xf numFmtId="40" fontId="8" fillId="3" borderId="2" xfId="4" applyNumberFormat="1" applyFont="1" applyFill="1" applyBorder="1" applyAlignment="1">
      <alignment horizontal="right" vertical="top"/>
    </xf>
    <xf numFmtId="0" fontId="4" fillId="10" borderId="0" xfId="0" applyFont="1" applyFill="1" applyAlignment="1">
      <alignment horizontal="left" vertical="center" wrapText="1"/>
    </xf>
    <xf numFmtId="40" fontId="8" fillId="10" borderId="2" xfId="1" applyNumberFormat="1" applyFont="1" applyFill="1" applyBorder="1" applyAlignment="1">
      <alignment horizontal="right" vertical="top"/>
    </xf>
    <xf numFmtId="40" fontId="10" fillId="3" borderId="2" xfId="4" applyNumberFormat="1" applyFont="1" applyFill="1" applyBorder="1" applyAlignment="1">
      <alignment horizontal="right" vertical="top"/>
    </xf>
    <xf numFmtId="4" fontId="8" fillId="3" borderId="0" xfId="0" applyNumberFormat="1" applyFont="1" applyFill="1"/>
    <xf numFmtId="0" fontId="2" fillId="0" borderId="0" xfId="6" applyNumberFormat="1" applyFont="1" applyBorder="1" applyAlignment="1">
      <alignment horizontal="center" vertical="top"/>
    </xf>
    <xf numFmtId="40" fontId="4" fillId="12" borderId="2" xfId="4" applyNumberFormat="1" applyFont="1" applyFill="1" applyBorder="1" applyAlignment="1">
      <alignment horizontal="right" vertical="top"/>
    </xf>
    <xf numFmtId="0" fontId="4" fillId="12" borderId="0" xfId="0" applyFont="1" applyFill="1" applyAlignment="1">
      <alignment horizontal="left" vertical="center" wrapText="1"/>
    </xf>
    <xf numFmtId="40" fontId="8" fillId="12" borderId="2" xfId="4" applyNumberFormat="1" applyFont="1" applyFill="1" applyBorder="1" applyAlignment="1">
      <alignment horizontal="right" vertical="top"/>
    </xf>
    <xf numFmtId="165" fontId="4" fillId="0" borderId="0" xfId="0" applyNumberFormat="1" applyFont="1" applyAlignment="1">
      <alignment horizontal="center" vertical="center" wrapText="1"/>
    </xf>
    <xf numFmtId="167" fontId="4" fillId="0" borderId="0" xfId="0" applyNumberFormat="1" applyFont="1"/>
    <xf numFmtId="167" fontId="8" fillId="0" borderId="2" xfId="4" applyNumberFormat="1" applyFont="1" applyBorder="1" applyAlignment="1">
      <alignment horizontal="right" vertical="top"/>
    </xf>
    <xf numFmtId="40" fontId="4" fillId="0" borderId="2" xfId="4" applyNumberFormat="1" applyFont="1" applyFill="1" applyBorder="1" applyAlignment="1">
      <alignment horizontal="right" vertical="top"/>
    </xf>
    <xf numFmtId="0" fontId="8" fillId="10" borderId="0" xfId="0" applyFont="1" applyFill="1"/>
    <xf numFmtId="40" fontId="12" fillId="0" borderId="2" xfId="4" applyNumberFormat="1" applyFont="1" applyBorder="1" applyAlignment="1">
      <alignment horizontal="right" vertical="top"/>
    </xf>
    <xf numFmtId="0" fontId="4" fillId="0" borderId="0" xfId="0" applyFont="1" applyFill="1" applyAlignment="1">
      <alignment horizontal="center" vertical="center" wrapText="1"/>
    </xf>
    <xf numFmtId="40" fontId="8" fillId="0" borderId="0" xfId="2" applyNumberFormat="1" applyFont="1" applyFill="1" applyBorder="1" applyAlignment="1">
      <alignment horizontal="right" vertical="center" wrapText="1"/>
    </xf>
    <xf numFmtId="4" fontId="8" fillId="10" borderId="0" xfId="0" applyNumberFormat="1" applyFont="1" applyFill="1" applyAlignment="1">
      <alignment horizontal="center" vertical="center"/>
    </xf>
    <xf numFmtId="40" fontId="8" fillId="8" borderId="2" xfId="4" applyNumberFormat="1" applyFont="1" applyFill="1" applyBorder="1" applyAlignment="1">
      <alignment horizontal="right" vertical="top"/>
    </xf>
    <xf numFmtId="0" fontId="8" fillId="3" borderId="0" xfId="0" applyFont="1" applyFill="1" applyAlignment="1">
      <alignment horizontal="center" vertical="center"/>
    </xf>
    <xf numFmtId="40" fontId="7" fillId="0" borderId="0" xfId="1" applyNumberFormat="1" applyFont="1" applyFill="1" applyBorder="1" applyAlignment="1">
      <alignment horizontal="right" vertical="top" wrapText="1"/>
    </xf>
    <xf numFmtId="40" fontId="10" fillId="12" borderId="2" xfId="4" applyNumberFormat="1" applyFont="1" applyFill="1" applyBorder="1" applyAlignment="1">
      <alignment horizontal="right" vertical="top"/>
    </xf>
    <xf numFmtId="167" fontId="8" fillId="3" borderId="2" xfId="4" applyNumberFormat="1" applyFont="1" applyFill="1" applyBorder="1" applyAlignment="1">
      <alignment horizontal="right" vertical="top"/>
    </xf>
    <xf numFmtId="4" fontId="8" fillId="3" borderId="0" xfId="0" applyNumberFormat="1" applyFont="1" applyFill="1" applyAlignment="1">
      <alignment horizontal="center" vertical="center"/>
    </xf>
    <xf numFmtId="40" fontId="4" fillId="3" borderId="2" xfId="4" applyNumberFormat="1" applyFont="1" applyFill="1" applyBorder="1" applyAlignment="1">
      <alignment horizontal="right" vertical="top"/>
    </xf>
    <xf numFmtId="40" fontId="7" fillId="10" borderId="5" xfId="0" applyNumberFormat="1" applyFont="1" applyFill="1" applyBorder="1" applyAlignment="1">
      <alignment horizontal="right"/>
    </xf>
    <xf numFmtId="40" fontId="12" fillId="0" borderId="2" xfId="1" applyNumberFormat="1" applyFont="1" applyFill="1" applyBorder="1" applyAlignment="1">
      <alignment horizontal="right" vertical="top"/>
    </xf>
    <xf numFmtId="40" fontId="12" fillId="3" borderId="2" xfId="4" applyNumberFormat="1" applyFont="1" applyFill="1" applyBorder="1" applyAlignment="1">
      <alignment horizontal="right" vertical="top"/>
    </xf>
    <xf numFmtId="40" fontId="10" fillId="13" borderId="2" xfId="4" applyNumberFormat="1" applyFont="1" applyFill="1" applyBorder="1" applyAlignment="1">
      <alignment horizontal="right" vertical="top"/>
    </xf>
    <xf numFmtId="40" fontId="8" fillId="13" borderId="2" xfId="4" applyNumberFormat="1" applyFont="1" applyFill="1" applyBorder="1" applyAlignment="1">
      <alignment horizontal="right" vertical="top"/>
    </xf>
    <xf numFmtId="40" fontId="7" fillId="0" borderId="5" xfId="0" applyNumberFormat="1" applyFont="1" applyFill="1" applyBorder="1" applyAlignment="1">
      <alignment horizontal="right"/>
    </xf>
    <xf numFmtId="165" fontId="8" fillId="0" borderId="2" xfId="4" applyNumberFormat="1" applyFont="1" applyBorder="1" applyAlignment="1">
      <alignment horizontal="right" vertical="top"/>
    </xf>
    <xf numFmtId="0" fontId="8" fillId="13" borderId="5" xfId="0" applyFont="1" applyFill="1" applyBorder="1" applyAlignment="1">
      <alignment horizontal="left"/>
    </xf>
    <xf numFmtId="0" fontId="8" fillId="13" borderId="5" xfId="5" applyNumberFormat="1" applyFont="1" applyFill="1" applyBorder="1" applyAlignment="1">
      <alignment vertical="top" wrapText="1"/>
    </xf>
    <xf numFmtId="40" fontId="4" fillId="12" borderId="2" xfId="4" applyNumberFormat="1" applyFont="1" applyFill="1" applyBorder="1" applyAlignment="1">
      <alignment horizontal="center" vertical="center"/>
    </xf>
    <xf numFmtId="40" fontId="7" fillId="13" borderId="2" xfId="1" applyNumberFormat="1" applyFont="1" applyFill="1" applyBorder="1" applyAlignment="1">
      <alignment horizontal="right" vertical="center" wrapText="1"/>
    </xf>
    <xf numFmtId="40" fontId="4" fillId="3" borderId="2" xfId="4" applyNumberFormat="1" applyFont="1" applyFill="1" applyBorder="1" applyAlignment="1">
      <alignment horizontal="center" vertical="center"/>
    </xf>
    <xf numFmtId="40" fontId="7" fillId="0" borderId="2" xfId="1" applyNumberFormat="1" applyFont="1" applyFill="1" applyBorder="1" applyAlignment="1">
      <alignment horizontal="center" vertical="center" wrapText="1"/>
    </xf>
    <xf numFmtId="40" fontId="8" fillId="3" borderId="2" xfId="1" applyNumberFormat="1" applyFont="1" applyFill="1" applyBorder="1" applyAlignment="1">
      <alignment horizontal="right" vertical="top"/>
    </xf>
    <xf numFmtId="40" fontId="13" fillId="0" borderId="2" xfId="1" applyNumberFormat="1" applyFont="1" applyFill="1" applyBorder="1" applyAlignment="1">
      <alignment horizontal="right" vertical="top"/>
    </xf>
    <xf numFmtId="0" fontId="8" fillId="12" borderId="0" xfId="0" applyFont="1" applyFill="1" applyAlignment="1">
      <alignment horizontal="center" vertical="center"/>
    </xf>
    <xf numFmtId="40" fontId="9" fillId="3" borderId="2" xfId="2" applyNumberFormat="1" applyFont="1" applyFill="1" applyBorder="1" applyAlignment="1">
      <alignment horizontal="right" vertical="center" wrapText="1"/>
    </xf>
    <xf numFmtId="0" fontId="8" fillId="13" borderId="0" xfId="0" applyFont="1" applyFill="1" applyAlignment="1">
      <alignment horizontal="center" vertical="center"/>
    </xf>
    <xf numFmtId="40" fontId="8" fillId="3" borderId="0" xfId="4" applyNumberFormat="1" applyFont="1" applyFill="1" applyBorder="1" applyAlignment="1">
      <alignment horizontal="right" vertical="top"/>
    </xf>
    <xf numFmtId="40" fontId="8" fillId="3" borderId="2" xfId="4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40" fontId="8" fillId="0" borderId="2" xfId="4" applyNumberFormat="1" applyFont="1" applyBorder="1" applyAlignment="1">
      <alignment horizontal="center" vertical="center" wrapText="1"/>
    </xf>
    <xf numFmtId="40" fontId="8" fillId="0" borderId="2" xfId="1" applyNumberFormat="1" applyFont="1" applyFill="1" applyBorder="1" applyAlignment="1">
      <alignment horizontal="center" vertical="center" wrapText="1"/>
    </xf>
    <xf numFmtId="40" fontId="8" fillId="0" borderId="2" xfId="4" applyNumberFormat="1" applyFont="1" applyFill="1" applyBorder="1" applyAlignment="1">
      <alignment horizontal="center" vertical="center" wrapText="1"/>
    </xf>
    <xf numFmtId="40" fontId="4" fillId="3" borderId="2" xfId="4" applyNumberFormat="1" applyFont="1" applyFill="1" applyBorder="1" applyAlignment="1">
      <alignment horizontal="center" vertical="center" wrapText="1"/>
    </xf>
    <xf numFmtId="40" fontId="4" fillId="0" borderId="2" xfId="4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/>
    </xf>
    <xf numFmtId="0" fontId="8" fillId="0" borderId="5" xfId="5" applyNumberFormat="1" applyFont="1" applyFill="1" applyBorder="1" applyAlignment="1">
      <alignment vertical="top" wrapText="1"/>
    </xf>
    <xf numFmtId="0" fontId="8" fillId="12" borderId="0" xfId="0" applyFont="1" applyFill="1"/>
    <xf numFmtId="40" fontId="4" fillId="8" borderId="2" xfId="4" applyNumberFormat="1" applyFont="1" applyFill="1" applyBorder="1" applyAlignment="1">
      <alignment horizontal="right" vertical="top"/>
    </xf>
    <xf numFmtId="40" fontId="9" fillId="0" borderId="2" xfId="2" applyNumberFormat="1" applyFont="1" applyFill="1" applyBorder="1" applyAlignment="1">
      <alignment horizontal="right" vertical="center" wrapText="1"/>
    </xf>
    <xf numFmtId="0" fontId="8" fillId="8" borderId="0" xfId="0" applyFont="1" applyFill="1"/>
    <xf numFmtId="40" fontId="4" fillId="13" borderId="2" xfId="4" applyNumberFormat="1" applyFont="1" applyFill="1" applyBorder="1" applyAlignment="1">
      <alignment horizontal="right" vertical="top"/>
    </xf>
    <xf numFmtId="40" fontId="12" fillId="0" borderId="2" xfId="4" applyNumberFormat="1" applyFont="1" applyFill="1" applyBorder="1" applyAlignment="1">
      <alignment horizontal="right" vertical="top"/>
    </xf>
    <xf numFmtId="0" fontId="8" fillId="8" borderId="0" xfId="0" applyFont="1" applyFill="1" applyAlignment="1">
      <alignment horizontal="center" vertical="center"/>
    </xf>
    <xf numFmtId="40" fontId="8" fillId="12" borderId="2" xfId="1" applyNumberFormat="1" applyFont="1" applyFill="1" applyBorder="1" applyAlignment="1">
      <alignment horizontal="right" vertical="top"/>
    </xf>
    <xf numFmtId="165" fontId="4" fillId="0" borderId="0" xfId="0" applyNumberFormat="1" applyFont="1" applyAlignment="1">
      <alignment horizontal="left"/>
    </xf>
    <xf numFmtId="165" fontId="4" fillId="0" borderId="0" xfId="0" applyNumberFormat="1" applyFont="1" applyBorder="1" applyAlignment="1">
      <alignment horizontal="left"/>
    </xf>
    <xf numFmtId="40" fontId="12" fillId="8" borderId="2" xfId="4" applyNumberFormat="1" applyFont="1" applyFill="1" applyBorder="1" applyAlignment="1">
      <alignment horizontal="right" vertical="top"/>
    </xf>
    <xf numFmtId="40" fontId="14" fillId="7" borderId="5" xfId="0" applyNumberFormat="1" applyFont="1" applyFill="1" applyBorder="1" applyAlignment="1">
      <alignment horizontal="right"/>
    </xf>
    <xf numFmtId="40" fontId="8" fillId="13" borderId="2" xfId="2" applyNumberFormat="1" applyFont="1" applyFill="1" applyBorder="1" applyAlignment="1">
      <alignment horizontal="right" vertical="center" wrapText="1"/>
    </xf>
    <xf numFmtId="0" fontId="8" fillId="3" borderId="0" xfId="0" applyFont="1" applyFill="1"/>
    <xf numFmtId="40" fontId="7" fillId="13" borderId="5" xfId="0" applyNumberFormat="1" applyFont="1" applyFill="1" applyBorder="1" applyAlignment="1">
      <alignment horizontal="right"/>
    </xf>
    <xf numFmtId="40" fontId="4" fillId="13" borderId="2" xfId="1" applyNumberFormat="1" applyFont="1" applyFill="1" applyBorder="1" applyAlignment="1">
      <alignment horizontal="right" vertical="top"/>
    </xf>
    <xf numFmtId="40" fontId="8" fillId="13" borderId="2" xfId="4" applyNumberFormat="1" applyFont="1" applyFill="1" applyBorder="1" applyAlignment="1">
      <alignment horizontal="center" vertical="center"/>
    </xf>
    <xf numFmtId="40" fontId="8" fillId="12" borderId="2" xfId="4" applyNumberFormat="1" applyFont="1" applyFill="1" applyBorder="1" applyAlignment="1">
      <alignment horizontal="center" vertical="center"/>
    </xf>
    <xf numFmtId="40" fontId="8" fillId="0" borderId="2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0" fontId="8" fillId="0" borderId="2" xfId="4" applyNumberFormat="1" applyFont="1" applyBorder="1" applyAlignment="1">
      <alignment horizontal="center" vertical="center"/>
    </xf>
    <xf numFmtId="40" fontId="8" fillId="3" borderId="2" xfId="4" applyNumberFormat="1" applyFont="1" applyFill="1" applyBorder="1" applyAlignment="1">
      <alignment horizontal="center" vertical="center"/>
    </xf>
    <xf numFmtId="40" fontId="8" fillId="8" borderId="2" xfId="1" applyNumberFormat="1" applyFont="1" applyFill="1" applyBorder="1" applyAlignment="1">
      <alignment horizontal="right" vertical="top"/>
    </xf>
    <xf numFmtId="40" fontId="3" fillId="13" borderId="2" xfId="1" applyNumberFormat="1" applyFont="1" applyFill="1" applyBorder="1" applyAlignment="1">
      <alignment horizontal="right" vertical="center" wrapText="1"/>
    </xf>
    <xf numFmtId="40" fontId="8" fillId="14" borderId="2" xfId="1" applyNumberFormat="1" applyFont="1" applyFill="1" applyBorder="1" applyAlignment="1">
      <alignment horizontal="right" vertical="top"/>
    </xf>
    <xf numFmtId="0" fontId="8" fillId="13" borderId="0" xfId="0" applyFont="1" applyFill="1"/>
    <xf numFmtId="40" fontId="8" fillId="0" borderId="0" xfId="4" applyNumberFormat="1" applyFont="1" applyBorder="1" applyAlignment="1">
      <alignment horizontal="right" vertical="top"/>
    </xf>
    <xf numFmtId="0" fontId="2" fillId="0" borderId="8" xfId="6" applyNumberFormat="1" applyFont="1" applyBorder="1" applyAlignment="1">
      <alignment horizontal="center" vertical="center"/>
    </xf>
    <xf numFmtId="166" fontId="2" fillId="0" borderId="9" xfId="9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6" applyNumberFormat="1" applyFont="1" applyBorder="1" applyAlignment="1">
      <alignment horizontal="center" vertical="center"/>
    </xf>
    <xf numFmtId="0" fontId="2" fillId="0" borderId="10" xfId="6" applyNumberFormat="1" applyFont="1" applyBorder="1" applyAlignment="1">
      <alignment horizontal="center" vertical="center"/>
    </xf>
    <xf numFmtId="166" fontId="2" fillId="0" borderId="11" xfId="9" applyNumberFormat="1" applyFont="1" applyBorder="1" applyAlignment="1">
      <alignment horizontal="center" vertical="center" wrapText="1"/>
    </xf>
    <xf numFmtId="0" fontId="8" fillId="0" borderId="12" xfId="6" applyNumberFormat="1" applyFont="1" applyBorder="1" applyAlignment="1">
      <alignment vertical="center"/>
    </xf>
    <xf numFmtId="40" fontId="7" fillId="0" borderId="12" xfId="6" applyNumberFormat="1" applyFont="1" applyBorder="1" applyAlignment="1">
      <alignment vertical="center" wrapText="1"/>
    </xf>
    <xf numFmtId="0" fontId="8" fillId="0" borderId="13" xfId="2" applyNumberFormat="1" applyFont="1" applyBorder="1" applyAlignment="1">
      <alignment vertical="center" wrapText="1"/>
    </xf>
    <xf numFmtId="40" fontId="7" fillId="0" borderId="14" xfId="7" applyNumberFormat="1" applyFont="1" applyBorder="1" applyAlignment="1">
      <alignment horizontal="right" vertical="center" wrapText="1"/>
    </xf>
    <xf numFmtId="0" fontId="8" fillId="0" borderId="15" xfId="2" applyNumberFormat="1" applyFont="1" applyBorder="1" applyAlignment="1">
      <alignment vertical="center" wrapText="1"/>
    </xf>
    <xf numFmtId="40" fontId="7" fillId="0" borderId="16" xfId="7" applyNumberFormat="1" applyFont="1" applyBorder="1" applyAlignment="1">
      <alignment horizontal="right" vertical="center" wrapText="1"/>
    </xf>
    <xf numFmtId="40" fontId="3" fillId="0" borderId="16" xfId="0" applyNumberFormat="1" applyFont="1" applyFill="1" applyBorder="1" applyAlignment="1">
      <alignment horizontal="right" vertical="center"/>
    </xf>
    <xf numFmtId="0" fontId="4" fillId="8" borderId="15" xfId="0" applyFont="1" applyFill="1" applyBorder="1" applyAlignment="1">
      <alignment vertical="center"/>
    </xf>
    <xf numFmtId="40" fontId="3" fillId="8" borderId="16" xfId="0" applyNumberFormat="1" applyFont="1" applyFill="1" applyBorder="1" applyAlignment="1">
      <alignment horizontal="right" vertical="center"/>
    </xf>
    <xf numFmtId="0" fontId="8" fillId="0" borderId="17" xfId="2" applyNumberFormat="1" applyFont="1" applyBorder="1" applyAlignment="1">
      <alignment vertical="center" wrapText="1"/>
    </xf>
    <xf numFmtId="40" fontId="3" fillId="0" borderId="18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40" fontId="4" fillId="0" borderId="5" xfId="0" applyNumberFormat="1" applyFont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9" xfId="0" applyFont="1" applyBorder="1"/>
    <xf numFmtId="0" fontId="4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/>
    </xf>
    <xf numFmtId="0" fontId="4" fillId="0" borderId="20" xfId="0" applyFont="1" applyBorder="1" applyAlignment="1">
      <alignment horizontal="center" vertical="center" wrapText="1"/>
    </xf>
    <xf numFmtId="4" fontId="3" fillId="0" borderId="20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165" fontId="3" fillId="0" borderId="16" xfId="0" applyNumberFormat="1" applyFont="1" applyBorder="1" applyAlignment="1">
      <alignment horizontal="center" vertical="center" wrapText="1"/>
    </xf>
    <xf numFmtId="4" fontId="14" fillId="0" borderId="20" xfId="0" applyNumberFormat="1" applyFont="1" applyBorder="1" applyAlignment="1">
      <alignment horizontal="center" vertical="center" wrapText="1"/>
    </xf>
    <xf numFmtId="4" fontId="12" fillId="0" borderId="5" xfId="0" applyNumberFormat="1" applyFont="1" applyBorder="1" applyAlignment="1">
      <alignment horizontal="center" vertical="center" wrapText="1"/>
    </xf>
  </cellXfs>
  <cellStyles count="10">
    <cellStyle name="Normal_0108" xfId="3"/>
    <cellStyle name="Normal_0302" xfId="5"/>
    <cellStyle name="Normal_0402" xfId="7"/>
    <cellStyle name="Normal_1202" xfId="2"/>
    <cellStyle name="Normal_1303" xfId="8"/>
    <cellStyle name="Normal_2905" xfId="9"/>
    <cellStyle name="Normal_3107" xfId="4"/>
    <cellStyle name="Обычный" xfId="0" builtinId="0"/>
    <cellStyle name="Обычный_Лист_1" xfId="6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52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53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1.xml"/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54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2.xml"/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55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3.xml"/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56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4.xml"/><Relationship Id="rId2" Type="http://schemas.openxmlformats.org/officeDocument/2006/relationships/vmlDrawing" Target="../drawings/vmlDrawing64.vml"/><Relationship Id="rId1" Type="http://schemas.openxmlformats.org/officeDocument/2006/relationships/printerSettings" Target="../printerSettings/printerSettings57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5.xml"/><Relationship Id="rId2" Type="http://schemas.openxmlformats.org/officeDocument/2006/relationships/vmlDrawing" Target="../drawings/vmlDrawing65.vml"/><Relationship Id="rId1" Type="http://schemas.openxmlformats.org/officeDocument/2006/relationships/printerSettings" Target="../printerSettings/printerSettings58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6.xml"/><Relationship Id="rId2" Type="http://schemas.openxmlformats.org/officeDocument/2006/relationships/vmlDrawing" Target="../drawings/vmlDrawing66.vml"/><Relationship Id="rId1" Type="http://schemas.openxmlformats.org/officeDocument/2006/relationships/printerSettings" Target="../printerSettings/printerSettings59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7.xml"/><Relationship Id="rId2" Type="http://schemas.openxmlformats.org/officeDocument/2006/relationships/vmlDrawing" Target="../drawings/vmlDrawing67.vml"/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84"/>
  <sheetViews>
    <sheetView tabSelected="1" workbookViewId="0">
      <selection activeCell="A28" sqref="A28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2.7109375" style="3" customWidth="1"/>
    <col min="6" max="6" width="16" style="3" customWidth="1"/>
    <col min="7" max="7" width="11.7109375" style="3" customWidth="1"/>
    <col min="8" max="8" width="12.42578125" style="3" customWidth="1"/>
    <col min="9" max="9" width="12" style="3" customWidth="1"/>
    <col min="10" max="10" width="11.140625" style="3" customWidth="1"/>
    <col min="11" max="11" width="10.42578125" style="3" customWidth="1"/>
    <col min="12" max="12" width="14" style="3" customWidth="1"/>
    <col min="13" max="13" width="10.42578125" style="3" customWidth="1"/>
    <col min="14" max="14" width="12.5703125" style="3" customWidth="1"/>
    <col min="15" max="15" width="13.28515625" style="3" customWidth="1"/>
    <col min="16" max="16" width="12.140625" style="3" customWidth="1"/>
    <col min="17" max="17" width="12.42578125" style="3" customWidth="1"/>
    <col min="18" max="18" width="12.28515625" style="3" customWidth="1"/>
    <col min="19" max="19" width="12.7109375" style="3" customWidth="1"/>
    <col min="20" max="20" width="11.28515625" style="3" customWidth="1"/>
    <col min="21" max="21" width="11.85546875" style="3" customWidth="1"/>
    <col min="22" max="22" width="12.28515625" style="3" customWidth="1"/>
    <col min="23" max="23" width="11.140625" style="3" customWidth="1"/>
    <col min="24" max="24" width="10.5703125" style="3" customWidth="1"/>
    <col min="25" max="25" width="10.85546875" style="3" customWidth="1"/>
    <col min="26" max="26" width="12" style="3" customWidth="1"/>
    <col min="27" max="27" width="13.140625" style="3" customWidth="1"/>
    <col min="28" max="28" width="11.140625" style="3" customWidth="1"/>
    <col min="29" max="29" width="12.5703125" style="3" customWidth="1"/>
    <col min="30" max="30" width="12.140625" style="3" customWidth="1"/>
    <col min="31" max="31" width="12.42578125" style="3" customWidth="1"/>
    <col min="32" max="32" width="12" style="3" customWidth="1"/>
    <col min="33" max="33" width="14.85546875" style="3" customWidth="1"/>
    <col min="34" max="34" width="11.5703125" style="3" customWidth="1"/>
    <col min="35" max="35" width="13.7109375" style="3" customWidth="1"/>
    <col min="36" max="36" width="12.42578125" style="3" customWidth="1"/>
    <col min="37" max="37" width="10.85546875" style="3" customWidth="1"/>
    <col min="38" max="38" width="12.140625" style="3" customWidth="1"/>
    <col min="39" max="39" width="11.85546875" style="3" customWidth="1"/>
    <col min="40" max="40" width="12.7109375" style="3" customWidth="1"/>
    <col min="41" max="41" width="12.42578125" style="3" customWidth="1"/>
    <col min="42" max="42" width="11.140625" style="3" customWidth="1"/>
    <col min="43" max="43" width="11.5703125" style="3" customWidth="1"/>
    <col min="44" max="44" width="12.28515625" style="3" customWidth="1"/>
    <col min="45" max="59" width="9" style="3"/>
    <col min="60" max="60" width="10.28515625" style="3" bestFit="1" customWidth="1"/>
    <col min="61" max="61" width="9" style="3"/>
    <col min="62" max="62" width="12.5703125" style="3" customWidth="1"/>
    <col min="63" max="63" width="11" style="3" customWidth="1"/>
    <col min="64" max="16384" width="9" style="3"/>
  </cols>
  <sheetData>
    <row r="1" spans="1:67" ht="12" thickBot="1" x14ac:dyDescent="0.3"/>
    <row r="2" spans="1:67" s="1" customFormat="1" ht="67.5" x14ac:dyDescent="0.2">
      <c r="A2" s="184" t="s">
        <v>50</v>
      </c>
      <c r="B2" s="188" t="s">
        <v>27</v>
      </c>
      <c r="C2" s="189">
        <f>2238214.63</f>
        <v>2238214.63</v>
      </c>
      <c r="E2" s="200" t="s">
        <v>163</v>
      </c>
      <c r="F2" s="201" t="s">
        <v>168</v>
      </c>
      <c r="G2" s="201" t="s">
        <v>169</v>
      </c>
      <c r="H2" s="201" t="s">
        <v>171</v>
      </c>
      <c r="I2" s="201" t="s">
        <v>173</v>
      </c>
      <c r="J2" s="202"/>
      <c r="K2" s="201" t="s">
        <v>172</v>
      </c>
      <c r="L2" s="203" t="s">
        <v>170</v>
      </c>
    </row>
    <row r="3" spans="1:67" s="1" customFormat="1" ht="12" thickBot="1" x14ac:dyDescent="0.25">
      <c r="A3" s="185">
        <v>89.274299999999997</v>
      </c>
      <c r="B3" s="190" t="s">
        <v>28</v>
      </c>
      <c r="C3" s="191">
        <v>10778.95</v>
      </c>
      <c r="E3" s="209" t="s">
        <v>164</v>
      </c>
      <c r="F3" s="198">
        <f>SUM(E32:G64)</f>
        <v>1918761.6985517943</v>
      </c>
      <c r="G3" s="198">
        <f>SUM(E69:E74)</f>
        <v>5054188.3999999994</v>
      </c>
      <c r="H3" s="199">
        <f>2500000+625000</f>
        <v>3125000</v>
      </c>
      <c r="I3" s="212">
        <f>H3-F3</f>
        <v>1206238.3014482057</v>
      </c>
      <c r="J3" s="197"/>
      <c r="K3" s="199">
        <f>H3-F3</f>
        <v>1206238.3014482057</v>
      </c>
      <c r="L3" s="210">
        <f>C2-F3-G3</f>
        <v>-4734735.4685517941</v>
      </c>
    </row>
    <row r="4" spans="1:67" s="8" customFormat="1" ht="12" thickBot="1" x14ac:dyDescent="0.25">
      <c r="A4" s="182"/>
      <c r="B4" s="190" t="s">
        <v>25</v>
      </c>
      <c r="C4" s="192">
        <v>0</v>
      </c>
      <c r="E4" s="209" t="s">
        <v>165</v>
      </c>
      <c r="F4" s="198">
        <f>SUM(J27:N66)</f>
        <v>2508101.3748593945</v>
      </c>
      <c r="G4" s="198">
        <f>G3</f>
        <v>5054188.3999999994</v>
      </c>
      <c r="H4" s="199">
        <v>3000000</v>
      </c>
      <c r="I4" s="212">
        <f t="shared" ref="I4:I6" si="0">H4-F4</f>
        <v>491898.62514060549</v>
      </c>
      <c r="J4" s="197"/>
      <c r="K4" s="199">
        <f>H4-F4</f>
        <v>491898.62514060549</v>
      </c>
      <c r="L4" s="210">
        <f>L3-F4</f>
        <v>-7242836.8434111886</v>
      </c>
    </row>
    <row r="5" spans="1:67" s="6" customFormat="1" x14ac:dyDescent="0.2">
      <c r="A5" s="184" t="s">
        <v>51</v>
      </c>
      <c r="B5" s="193" t="s">
        <v>26</v>
      </c>
      <c r="C5" s="194">
        <f>SUM(C2:C4)</f>
        <v>2248993.58</v>
      </c>
      <c r="E5" s="209" t="s">
        <v>166</v>
      </c>
      <c r="F5" s="198">
        <f>SUM(Q27:U66)</f>
        <v>1961837.3655515758</v>
      </c>
      <c r="G5" s="198">
        <f>G4</f>
        <v>5054188.3999999994</v>
      </c>
      <c r="H5" s="199">
        <f>2700000+625000</f>
        <v>3325000</v>
      </c>
      <c r="I5" s="212">
        <f t="shared" si="0"/>
        <v>1363162.6344484242</v>
      </c>
      <c r="J5" s="197"/>
      <c r="K5" s="199">
        <f>H5-F5</f>
        <v>1363162.6344484242</v>
      </c>
      <c r="L5" s="210">
        <f>L4-F5</f>
        <v>-9204674.2089627646</v>
      </c>
    </row>
    <row r="6" spans="1:67" s="6" customFormat="1" ht="21" customHeight="1" thickBot="1" x14ac:dyDescent="0.25">
      <c r="A6" s="185">
        <v>78.269599999999997</v>
      </c>
      <c r="B6" s="195" t="s">
        <v>174</v>
      </c>
      <c r="C6" s="196">
        <f>C2-E26</f>
        <v>-3191666.5425384613</v>
      </c>
      <c r="D6" s="17"/>
      <c r="E6" s="209" t="s">
        <v>167</v>
      </c>
      <c r="F6" s="198">
        <f>SUM(X27:AC66)</f>
        <v>2519387.1239929697</v>
      </c>
      <c r="G6" s="198">
        <f>G5</f>
        <v>5054188.3999999994</v>
      </c>
      <c r="H6" s="199">
        <v>2700000</v>
      </c>
      <c r="I6" s="212">
        <f t="shared" si="0"/>
        <v>180612.87600703025</v>
      </c>
      <c r="J6" s="197"/>
      <c r="K6" s="199">
        <f>H6-F6</f>
        <v>180612.87600703025</v>
      </c>
      <c r="L6" s="210">
        <f>L5-F6</f>
        <v>-11724061.332955735</v>
      </c>
    </row>
    <row r="7" spans="1:67" s="6" customFormat="1" ht="12" thickBot="1" x14ac:dyDescent="0.25">
      <c r="A7" s="183" t="s">
        <v>51</v>
      </c>
      <c r="B7" s="186" t="s">
        <v>127</v>
      </c>
      <c r="C7" s="187">
        <f>SUM(16:16)</f>
        <v>22037315.159999996</v>
      </c>
      <c r="E7" s="204" t="s">
        <v>175</v>
      </c>
      <c r="F7" s="205"/>
      <c r="G7" s="205"/>
      <c r="H7" s="206">
        <f>SUM(H3:H6)</f>
        <v>12150000</v>
      </c>
      <c r="I7" s="211">
        <f>SUM(I3:I6)</f>
        <v>3241912.4370442657</v>
      </c>
      <c r="J7" s="207"/>
      <c r="K7" s="211">
        <f>SUM(K3:K6)</f>
        <v>3241912.4370442657</v>
      </c>
      <c r="L7" s="208"/>
    </row>
    <row r="8" spans="1:67" x14ac:dyDescent="0.25">
      <c r="A8" s="180" t="s">
        <v>52</v>
      </c>
      <c r="B8" s="18" t="s">
        <v>126</v>
      </c>
      <c r="C8" s="54">
        <f>SUM(26:26)</f>
        <v>48214353.646017566</v>
      </c>
    </row>
    <row r="9" spans="1:67" ht="12" thickBot="1" x14ac:dyDescent="0.3">
      <c r="A9" s="181">
        <v>11.4932</v>
      </c>
      <c r="B9" s="19" t="s">
        <v>64</v>
      </c>
      <c r="C9" s="55">
        <f>C5+C7-C8-C11</f>
        <v>-45831953.759337574</v>
      </c>
    </row>
    <row r="10" spans="1:67" x14ac:dyDescent="0.25">
      <c r="A10" s="99" t="s">
        <v>80</v>
      </c>
      <c r="B10" s="18" t="s">
        <v>23</v>
      </c>
      <c r="C10" s="56">
        <f>C16</f>
        <v>0</v>
      </c>
    </row>
    <row r="11" spans="1:67" x14ac:dyDescent="0.25">
      <c r="A11" s="101" t="s">
        <v>87</v>
      </c>
      <c r="B11" s="18" t="s">
        <v>24</v>
      </c>
      <c r="C11" s="54">
        <f>C26</f>
        <v>21903908.853320003</v>
      </c>
    </row>
    <row r="12" spans="1:67" x14ac:dyDescent="0.25">
      <c r="A12" s="107" t="s">
        <v>88</v>
      </c>
    </row>
    <row r="13" spans="1:67" x14ac:dyDescent="0.25">
      <c r="A13" s="38"/>
      <c r="B13" s="10"/>
      <c r="C13" s="57"/>
      <c r="D13" s="10"/>
      <c r="E13" s="3">
        <v>27</v>
      </c>
      <c r="J13" s="3">
        <v>28</v>
      </c>
      <c r="Q13" s="3">
        <v>29</v>
      </c>
      <c r="X13" s="3">
        <v>30</v>
      </c>
      <c r="AE13" s="3">
        <v>31</v>
      </c>
    </row>
    <row r="14" spans="1:67" s="2" customFormat="1" x14ac:dyDescent="0.25">
      <c r="A14" s="64"/>
      <c r="B14" s="65"/>
      <c r="C14" s="58" t="s">
        <v>56</v>
      </c>
      <c r="D14" s="66"/>
      <c r="E14" s="66">
        <v>46204</v>
      </c>
      <c r="F14" s="66">
        <v>46205</v>
      </c>
      <c r="G14" s="66">
        <v>46206</v>
      </c>
      <c r="H14" s="66">
        <v>46207</v>
      </c>
      <c r="I14" s="66">
        <v>46208</v>
      </c>
      <c r="J14" s="66">
        <v>46209</v>
      </c>
      <c r="K14" s="66">
        <v>46210</v>
      </c>
      <c r="L14" s="66">
        <v>46211</v>
      </c>
      <c r="M14" s="66">
        <v>46212</v>
      </c>
      <c r="N14" s="66">
        <v>46213</v>
      </c>
      <c r="O14" s="66">
        <v>46214</v>
      </c>
      <c r="P14" s="66">
        <v>46215</v>
      </c>
      <c r="Q14" s="66">
        <v>46216</v>
      </c>
      <c r="R14" s="66">
        <v>46217</v>
      </c>
      <c r="S14" s="66">
        <v>46218</v>
      </c>
      <c r="T14" s="66">
        <v>46219</v>
      </c>
      <c r="U14" s="66">
        <v>46220</v>
      </c>
      <c r="V14" s="66">
        <v>46221</v>
      </c>
      <c r="W14" s="66">
        <v>46222</v>
      </c>
      <c r="X14" s="66">
        <v>46223</v>
      </c>
      <c r="Y14" s="66">
        <v>46224</v>
      </c>
      <c r="Z14" s="66">
        <v>46225</v>
      </c>
      <c r="AA14" s="66">
        <v>46226</v>
      </c>
      <c r="AB14" s="66">
        <v>46227</v>
      </c>
      <c r="AC14" s="66">
        <v>46228</v>
      </c>
      <c r="AD14" s="66">
        <v>46229</v>
      </c>
      <c r="AE14" s="66">
        <v>46230</v>
      </c>
      <c r="AF14" s="66">
        <v>46231</v>
      </c>
      <c r="AG14" s="66">
        <v>46232</v>
      </c>
      <c r="AH14" s="66">
        <v>46233</v>
      </c>
      <c r="AI14" s="66">
        <v>46234</v>
      </c>
      <c r="AJ14" s="66">
        <v>46235</v>
      </c>
      <c r="AK14" s="66">
        <v>46236</v>
      </c>
      <c r="AL14" s="66">
        <v>46237</v>
      </c>
      <c r="AM14" s="66">
        <v>46238</v>
      </c>
      <c r="AN14" s="66">
        <v>46239</v>
      </c>
      <c r="AO14" s="66">
        <v>46240</v>
      </c>
      <c r="AP14" s="66">
        <v>46241</v>
      </c>
      <c r="AQ14" s="66">
        <v>46242</v>
      </c>
      <c r="AR14" s="66">
        <v>46243</v>
      </c>
      <c r="AS14" s="66">
        <v>46244</v>
      </c>
      <c r="AT14" s="66">
        <v>46245</v>
      </c>
      <c r="AU14" s="66">
        <v>46246</v>
      </c>
      <c r="AV14" s="66">
        <v>46247</v>
      </c>
      <c r="AW14" s="66">
        <v>46248</v>
      </c>
      <c r="AX14" s="66">
        <v>46249</v>
      </c>
      <c r="AY14" s="66">
        <v>46250</v>
      </c>
      <c r="AZ14" s="66">
        <v>46251</v>
      </c>
      <c r="BA14" s="66">
        <v>46252</v>
      </c>
      <c r="BB14" s="66">
        <v>46253</v>
      </c>
      <c r="BC14" s="66">
        <v>46254</v>
      </c>
      <c r="BD14" s="66">
        <v>46255</v>
      </c>
      <c r="BE14" s="66">
        <v>46256</v>
      </c>
      <c r="BF14" s="66">
        <v>46257</v>
      </c>
      <c r="BG14" s="66">
        <v>46258</v>
      </c>
      <c r="BH14" s="66">
        <v>46259</v>
      </c>
      <c r="BI14" s="66">
        <v>46260</v>
      </c>
      <c r="BJ14" s="66">
        <v>46261</v>
      </c>
      <c r="BK14" s="66">
        <v>46262</v>
      </c>
      <c r="BL14" s="66">
        <v>46263</v>
      </c>
      <c r="BM14" s="66">
        <v>46264</v>
      </c>
      <c r="BN14" s="66">
        <v>46265</v>
      </c>
      <c r="BO14" s="66">
        <v>46266</v>
      </c>
    </row>
    <row r="15" spans="1:67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</row>
    <row r="16" spans="1:67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N16" si="1">SUM(E17:E25)</f>
        <v>0</v>
      </c>
      <c r="F16" s="29">
        <f t="shared" si="1"/>
        <v>2500000</v>
      </c>
      <c r="G16" s="29">
        <f t="shared" si="1"/>
        <v>525000</v>
      </c>
      <c r="H16" s="135">
        <f t="shared" si="1"/>
        <v>0</v>
      </c>
      <c r="I16" s="135">
        <f t="shared" si="1"/>
        <v>0</v>
      </c>
      <c r="J16" s="29">
        <f t="shared" si="1"/>
        <v>2500000</v>
      </c>
      <c r="K16" s="29">
        <f t="shared" si="1"/>
        <v>0</v>
      </c>
      <c r="L16" s="29">
        <f t="shared" si="1"/>
        <v>0</v>
      </c>
      <c r="M16" s="29">
        <f t="shared" si="1"/>
        <v>0</v>
      </c>
      <c r="N16" s="29">
        <f t="shared" si="1"/>
        <v>0</v>
      </c>
      <c r="O16" s="135">
        <f t="shared" si="1"/>
        <v>0</v>
      </c>
      <c r="P16" s="135">
        <f t="shared" si="1"/>
        <v>0</v>
      </c>
      <c r="Q16" s="29">
        <f t="shared" si="1"/>
        <v>2700000</v>
      </c>
      <c r="R16" s="29">
        <f t="shared" si="1"/>
        <v>0</v>
      </c>
      <c r="S16" s="29">
        <f t="shared" si="1"/>
        <v>0</v>
      </c>
      <c r="T16" s="29">
        <f t="shared" si="1"/>
        <v>0</v>
      </c>
      <c r="U16" s="29">
        <f t="shared" si="1"/>
        <v>625000</v>
      </c>
      <c r="V16" s="135">
        <f t="shared" si="1"/>
        <v>0</v>
      </c>
      <c r="W16" s="135">
        <f t="shared" si="1"/>
        <v>0</v>
      </c>
      <c r="X16" s="29">
        <f t="shared" si="1"/>
        <v>2500000</v>
      </c>
      <c r="Y16" s="29">
        <f t="shared" si="1"/>
        <v>0</v>
      </c>
      <c r="Z16" s="29">
        <f t="shared" si="1"/>
        <v>0</v>
      </c>
      <c r="AA16" s="29">
        <f t="shared" si="1"/>
        <v>0</v>
      </c>
      <c r="AB16" s="29">
        <f t="shared" si="1"/>
        <v>0</v>
      </c>
      <c r="AC16" s="135">
        <f t="shared" si="1"/>
        <v>0</v>
      </c>
      <c r="AD16" s="135">
        <f t="shared" si="1"/>
        <v>0</v>
      </c>
      <c r="AE16" s="29">
        <f t="shared" si="1"/>
        <v>4330985</v>
      </c>
      <c r="AF16" s="29">
        <f t="shared" si="1"/>
        <v>0</v>
      </c>
      <c r="AG16" s="29">
        <f t="shared" si="1"/>
        <v>0</v>
      </c>
      <c r="AH16" s="29">
        <f t="shared" si="1"/>
        <v>0</v>
      </c>
      <c r="AI16" s="29">
        <f t="shared" si="1"/>
        <v>0</v>
      </c>
      <c r="AJ16" s="135">
        <f t="shared" si="1"/>
        <v>0</v>
      </c>
      <c r="AK16" s="135">
        <f t="shared" si="1"/>
        <v>0</v>
      </c>
      <c r="AL16" s="29">
        <f t="shared" si="1"/>
        <v>3178165.08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135">
        <f t="shared" si="1"/>
        <v>0</v>
      </c>
      <c r="AR16" s="135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29">
        <f t="shared" si="1"/>
        <v>0</v>
      </c>
      <c r="AX16" s="135">
        <f t="shared" si="1"/>
        <v>0</v>
      </c>
      <c r="AY16" s="135">
        <f t="shared" si="1"/>
        <v>0</v>
      </c>
      <c r="AZ16" s="29">
        <f t="shared" si="1"/>
        <v>0</v>
      </c>
      <c r="BA16" s="29">
        <f t="shared" si="1"/>
        <v>0</v>
      </c>
      <c r="BB16" s="29">
        <f t="shared" si="1"/>
        <v>0</v>
      </c>
      <c r="BC16" s="29">
        <f t="shared" si="1"/>
        <v>0</v>
      </c>
      <c r="BD16" s="29">
        <f t="shared" si="1"/>
        <v>0</v>
      </c>
      <c r="BE16" s="176">
        <f t="shared" si="1"/>
        <v>0</v>
      </c>
      <c r="BF16" s="176">
        <f t="shared" si="1"/>
        <v>0</v>
      </c>
      <c r="BG16" s="29">
        <f t="shared" si="1"/>
        <v>0</v>
      </c>
      <c r="BH16" s="29">
        <f t="shared" si="1"/>
        <v>3178165.08</v>
      </c>
      <c r="BI16" s="29">
        <f t="shared" si="1"/>
        <v>0</v>
      </c>
      <c r="BJ16" s="29">
        <f t="shared" si="1"/>
        <v>0</v>
      </c>
      <c r="BK16" s="29">
        <f t="shared" si="1"/>
        <v>0</v>
      </c>
      <c r="BL16" s="135">
        <f t="shared" si="1"/>
        <v>0</v>
      </c>
      <c r="BM16" s="135">
        <f t="shared" si="1"/>
        <v>0</v>
      </c>
      <c r="BN16" s="29">
        <f t="shared" si="1"/>
        <v>0</v>
      </c>
      <c r="BO16" s="29">
        <f t="shared" ref="BO16" si="2">SUM(BO17:BO25)</f>
        <v>0</v>
      </c>
    </row>
    <row r="17" spans="1:67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</row>
    <row r="18" spans="1:67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</row>
    <row r="19" spans="1:67" s="80" customFormat="1" x14ac:dyDescent="0.25">
      <c r="A19" s="40" t="s">
        <v>10</v>
      </c>
      <c r="B19" s="21"/>
      <c r="C19" s="59"/>
      <c r="D19" s="30"/>
      <c r="E19" s="30"/>
      <c r="F19" s="30">
        <v>2500000</v>
      </c>
      <c r="G19" s="30">
        <v>525000</v>
      </c>
      <c r="H19" s="30"/>
      <c r="I19" s="30"/>
      <c r="J19" s="30">
        <v>2500000</v>
      </c>
      <c r="K19" s="30"/>
      <c r="L19" s="30"/>
      <c r="M19" s="30"/>
      <c r="N19" s="30"/>
      <c r="O19" s="30"/>
      <c r="P19" s="30"/>
      <c r="Q19" s="30">
        <v>2700000</v>
      </c>
      <c r="R19" s="30"/>
      <c r="S19" s="30"/>
      <c r="T19" s="30"/>
      <c r="U19" s="30">
        <v>625000</v>
      </c>
      <c r="V19" s="30"/>
      <c r="W19" s="30"/>
      <c r="X19" s="30">
        <v>2500000</v>
      </c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</row>
    <row r="20" spans="1:67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C20" s="30"/>
      <c r="AD20" s="30"/>
      <c r="AE20" s="30">
        <v>4330985</v>
      </c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</row>
    <row r="21" spans="1:67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</row>
    <row r="22" spans="1:67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</row>
    <row r="23" spans="1:67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</row>
    <row r="24" spans="1:67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165">
        <f>35600*A3</f>
        <v>3178165.08</v>
      </c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>
        <f>35600*A3</f>
        <v>3178165.08</v>
      </c>
      <c r="BI24" s="30"/>
      <c r="BJ24" s="30"/>
      <c r="BK24" s="30"/>
      <c r="BL24" s="30"/>
      <c r="BM24" s="30"/>
      <c r="BN24" s="30"/>
      <c r="BO24" s="30"/>
    </row>
    <row r="25" spans="1:67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</row>
    <row r="26" spans="1:67" s="4" customFormat="1" x14ac:dyDescent="0.2">
      <c r="A26" s="41" t="s">
        <v>1</v>
      </c>
      <c r="B26" s="22"/>
      <c r="C26" s="34">
        <f>SUM(C28:C73)</f>
        <v>21903908.853320003</v>
      </c>
      <c r="D26" s="34"/>
      <c r="E26" s="34">
        <f t="shared" ref="E26:BN26" si="3">SUM(E27:E74)</f>
        <v>5429881.1725384612</v>
      </c>
      <c r="F26" s="34">
        <f t="shared" si="3"/>
        <v>935658.22786666662</v>
      </c>
      <c r="G26" s="34">
        <f t="shared" si="3"/>
        <v>607410.69814666663</v>
      </c>
      <c r="H26" s="34">
        <f t="shared" si="3"/>
        <v>0</v>
      </c>
      <c r="I26" s="34">
        <f t="shared" si="3"/>
        <v>12000</v>
      </c>
      <c r="J26" s="34">
        <f t="shared" si="3"/>
        <v>326355.82921090908</v>
      </c>
      <c r="K26" s="34">
        <f t="shared" si="3"/>
        <v>596991.68186666665</v>
      </c>
      <c r="L26" s="34">
        <f t="shared" si="3"/>
        <v>374515.51520000002</v>
      </c>
      <c r="M26" s="34">
        <f t="shared" si="3"/>
        <v>359173.50004848489</v>
      </c>
      <c r="N26" s="34">
        <f t="shared" si="3"/>
        <v>851064.8485333334</v>
      </c>
      <c r="O26" s="34">
        <f t="shared" si="3"/>
        <v>0</v>
      </c>
      <c r="P26" s="34">
        <f t="shared" si="3"/>
        <v>0</v>
      </c>
      <c r="Q26" s="34">
        <f t="shared" si="3"/>
        <v>632888.377706</v>
      </c>
      <c r="R26" s="34">
        <f t="shared" si="3"/>
        <v>336087.19588781823</v>
      </c>
      <c r="S26" s="34">
        <f t="shared" si="3"/>
        <v>372931.87503933336</v>
      </c>
      <c r="T26" s="34">
        <f t="shared" si="3"/>
        <v>314778.65816721215</v>
      </c>
      <c r="U26" s="34">
        <f t="shared" si="3"/>
        <v>305151.25875121215</v>
      </c>
      <c r="V26" s="34">
        <f t="shared" si="3"/>
        <v>0</v>
      </c>
      <c r="W26" s="34">
        <f t="shared" si="3"/>
        <v>0</v>
      </c>
      <c r="X26" s="34">
        <f t="shared" si="3"/>
        <v>454584.04170600005</v>
      </c>
      <c r="Y26" s="34">
        <f t="shared" si="3"/>
        <v>962967.24407363636</v>
      </c>
      <c r="Z26" s="34">
        <f t="shared" si="3"/>
        <v>346239.65424</v>
      </c>
      <c r="AA26" s="34">
        <f t="shared" si="3"/>
        <v>127591.17333333334</v>
      </c>
      <c r="AB26" s="34">
        <f t="shared" si="3"/>
        <v>278005.01064000005</v>
      </c>
      <c r="AC26" s="34">
        <f t="shared" si="3"/>
        <v>350000</v>
      </c>
      <c r="AD26" s="34">
        <f t="shared" si="3"/>
        <v>0</v>
      </c>
      <c r="AE26" s="34">
        <f t="shared" si="3"/>
        <v>4419963.5093436362</v>
      </c>
      <c r="AF26" s="34">
        <f t="shared" si="3"/>
        <v>1695474.2562618181</v>
      </c>
      <c r="AG26" s="34">
        <f t="shared" si="3"/>
        <v>510367.61148363631</v>
      </c>
      <c r="AH26" s="34">
        <f t="shared" si="3"/>
        <v>453978.82054363634</v>
      </c>
      <c r="AI26" s="34">
        <f t="shared" si="3"/>
        <v>1131539.1772799999</v>
      </c>
      <c r="AJ26" s="34">
        <f t="shared" si="3"/>
        <v>0</v>
      </c>
      <c r="AK26" s="34">
        <f t="shared" si="3"/>
        <v>0</v>
      </c>
      <c r="AL26" s="34">
        <f t="shared" si="3"/>
        <v>1500948.656261818</v>
      </c>
      <c r="AM26" s="34">
        <f t="shared" si="3"/>
        <v>96279.414850909088</v>
      </c>
      <c r="AN26" s="34">
        <f t="shared" si="3"/>
        <v>279549.41485090909</v>
      </c>
      <c r="AO26" s="34">
        <f t="shared" si="3"/>
        <v>96279.414850909088</v>
      </c>
      <c r="AP26" s="34">
        <f t="shared" si="3"/>
        <v>149288.50576</v>
      </c>
      <c r="AQ26" s="34">
        <f t="shared" si="3"/>
        <v>0</v>
      </c>
      <c r="AR26" s="34">
        <f t="shared" si="3"/>
        <v>0</v>
      </c>
      <c r="AS26" s="34">
        <f t="shared" si="3"/>
        <v>170357.84</v>
      </c>
      <c r="AT26" s="34">
        <f t="shared" si="3"/>
        <v>170357.84</v>
      </c>
      <c r="AU26" s="34">
        <f t="shared" si="3"/>
        <v>170357.84</v>
      </c>
      <c r="AV26" s="34">
        <f t="shared" si="3"/>
        <v>170357.84</v>
      </c>
      <c r="AW26" s="34">
        <f t="shared" si="3"/>
        <v>170357.84</v>
      </c>
      <c r="AX26" s="34">
        <f t="shared" si="3"/>
        <v>0</v>
      </c>
      <c r="AY26" s="34">
        <f t="shared" si="3"/>
        <v>0</v>
      </c>
      <c r="AZ26" s="34">
        <f t="shared" si="3"/>
        <v>170357.84</v>
      </c>
      <c r="BA26" s="34">
        <f t="shared" si="3"/>
        <v>170357.84</v>
      </c>
      <c r="BB26" s="34">
        <f t="shared" si="3"/>
        <v>132819.28402121211</v>
      </c>
      <c r="BC26" s="34">
        <f t="shared" si="3"/>
        <v>61561.444021212119</v>
      </c>
      <c r="BD26" s="34">
        <f t="shared" si="3"/>
        <v>61561.444021212119</v>
      </c>
      <c r="BE26" s="34">
        <f t="shared" si="3"/>
        <v>0</v>
      </c>
      <c r="BF26" s="34">
        <f t="shared" si="3"/>
        <v>0</v>
      </c>
      <c r="BG26" s="34">
        <f t="shared" si="3"/>
        <v>61561.444021212119</v>
      </c>
      <c r="BH26" s="34">
        <f t="shared" si="3"/>
        <v>61561.444021212119</v>
      </c>
      <c r="BI26" s="34">
        <f t="shared" si="3"/>
        <v>61561.444021212119</v>
      </c>
      <c r="BJ26" s="34">
        <f t="shared" si="3"/>
        <v>184684.33206363636</v>
      </c>
      <c r="BK26" s="34">
        <f t="shared" si="3"/>
        <v>184684.33206363636</v>
      </c>
      <c r="BL26" s="34">
        <f t="shared" si="3"/>
        <v>0</v>
      </c>
      <c r="BM26" s="34">
        <f t="shared" si="3"/>
        <v>0</v>
      </c>
      <c r="BN26" s="34">
        <f t="shared" si="3"/>
        <v>0</v>
      </c>
      <c r="BO26" s="34">
        <f t="shared" ref="BO26" si="4">SUM(BO27:BO74)</f>
        <v>0</v>
      </c>
    </row>
    <row r="27" spans="1:67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</row>
    <row r="28" spans="1:67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</row>
    <row r="29" spans="1:67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</row>
    <row r="30" spans="1:67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>
        <v>1200000</v>
      </c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</row>
    <row r="31" spans="1:67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</row>
    <row r="32" spans="1:67" s="1" customFormat="1" x14ac:dyDescent="0.2">
      <c r="A32" s="36" t="s">
        <v>7</v>
      </c>
      <c r="B32" s="23" t="s">
        <v>8</v>
      </c>
      <c r="C32" s="60"/>
      <c r="D32" s="24"/>
      <c r="F32" s="24">
        <v>480520</v>
      </c>
      <c r="G32" s="24"/>
      <c r="H32" s="24"/>
      <c r="I32" s="24"/>
      <c r="J32" s="24"/>
      <c r="K32" s="24"/>
      <c r="L32" s="24"/>
      <c r="M32" s="24"/>
      <c r="N32" s="24">
        <v>360000</v>
      </c>
      <c r="O32" s="24"/>
      <c r="P32" s="24"/>
      <c r="Q32" s="24"/>
      <c r="R32" s="24"/>
      <c r="S32" s="24"/>
      <c r="T32" s="24"/>
      <c r="U32" s="24"/>
      <c r="V32" s="24"/>
      <c r="W32" s="24"/>
      <c r="X32" s="24">
        <v>300000</v>
      </c>
      <c r="Y32" s="24"/>
      <c r="Z32" s="24"/>
      <c r="AA32" s="24"/>
      <c r="AB32" s="24"/>
      <c r="AC32" s="24">
        <v>350000</v>
      </c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</row>
    <row r="33" spans="1:67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>
        <v>300000</v>
      </c>
      <c r="L33" s="24"/>
      <c r="M33" s="24"/>
      <c r="N33" s="24"/>
      <c r="O33" s="24"/>
      <c r="P33" s="24"/>
      <c r="Q33" s="24">
        <v>271506</v>
      </c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</row>
    <row r="34" spans="1:67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</row>
    <row r="35" spans="1:67" s="1" customFormat="1" x14ac:dyDescent="0.2">
      <c r="A35" s="36" t="s">
        <v>71</v>
      </c>
      <c r="B35" s="23"/>
      <c r="C35" s="60"/>
      <c r="D35" s="24"/>
      <c r="E35" s="24"/>
      <c r="F35" s="24"/>
      <c r="G35" s="24">
        <v>40000</v>
      </c>
      <c r="H35" s="24"/>
      <c r="I35" s="24"/>
      <c r="J35" s="24"/>
      <c r="K35" s="24">
        <v>50000</v>
      </c>
      <c r="L35" s="24"/>
      <c r="M35" s="24">
        <v>50000</v>
      </c>
      <c r="N35" s="24"/>
      <c r="O35" s="24"/>
      <c r="P35" s="24"/>
      <c r="Q35" s="24"/>
      <c r="R35" s="24">
        <v>50000</v>
      </c>
      <c r="S35" s="24"/>
      <c r="T35" s="24">
        <v>50113</v>
      </c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>
        <v>200113.9</v>
      </c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</row>
    <row r="36" spans="1:67" s="1" customFormat="1" x14ac:dyDescent="0.2">
      <c r="A36" s="36" t="s">
        <v>53</v>
      </c>
      <c r="B36" s="23"/>
      <c r="C36" s="60"/>
      <c r="D36" s="24"/>
      <c r="E36" s="24"/>
      <c r="F36" s="24"/>
      <c r="G36" s="24"/>
      <c r="H36" s="24"/>
      <c r="I36" s="24"/>
      <c r="J36" s="24">
        <v>100000</v>
      </c>
      <c r="K36" s="24"/>
      <c r="L36" s="24">
        <v>100000</v>
      </c>
      <c r="M36" s="24"/>
      <c r="N36" s="24">
        <v>100000</v>
      </c>
      <c r="O36" s="24"/>
      <c r="P36" s="24"/>
      <c r="Q36" s="24">
        <v>100000</v>
      </c>
      <c r="R36" s="24"/>
      <c r="S36" s="24">
        <v>145000</v>
      </c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>
        <v>545949</v>
      </c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</row>
    <row r="37" spans="1:67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</row>
    <row r="38" spans="1:67" s="71" customFormat="1" x14ac:dyDescent="0.2">
      <c r="A38" s="69" t="s">
        <v>14</v>
      </c>
      <c r="B38" s="25" t="s">
        <v>30</v>
      </c>
      <c r="C38" s="70"/>
      <c r="D38" s="24"/>
      <c r="E38" s="129">
        <f>149474/3</f>
        <v>49824.666666666664</v>
      </c>
      <c r="F38" s="129">
        <f t="shared" ref="F38:G38" si="5">149474/3</f>
        <v>49824.666666666664</v>
      </c>
      <c r="G38" s="129">
        <f t="shared" si="5"/>
        <v>49824.666666666664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</row>
    <row r="39" spans="1:67" s="71" customFormat="1" x14ac:dyDescent="0.2">
      <c r="A39" s="69" t="s">
        <v>115</v>
      </c>
      <c r="B39" s="25" t="s">
        <v>116</v>
      </c>
      <c r="C39" s="70"/>
      <c r="D39" s="24"/>
      <c r="E39" s="108">
        <f>312320/10</f>
        <v>31232</v>
      </c>
      <c r="F39" s="24"/>
      <c r="G39" s="24"/>
      <c r="H39" s="24"/>
      <c r="I39" s="24"/>
      <c r="J39" s="24"/>
      <c r="K39" s="24"/>
      <c r="L39" s="108">
        <f>312320/10</f>
        <v>31232</v>
      </c>
      <c r="M39" s="24"/>
      <c r="N39" s="108">
        <v>124838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</row>
    <row r="40" spans="1:67" s="71" customFormat="1" x14ac:dyDescent="0.2">
      <c r="A40" s="69" t="s">
        <v>162</v>
      </c>
      <c r="B40" s="25"/>
      <c r="C40" s="70"/>
      <c r="D40" s="24"/>
      <c r="F40" s="24"/>
      <c r="G40" s="129">
        <v>124000</v>
      </c>
      <c r="H40" s="24"/>
      <c r="I40" s="24"/>
      <c r="J40" s="24"/>
      <c r="K40" s="24"/>
      <c r="L40" s="28"/>
      <c r="M40" s="28"/>
      <c r="N40" s="28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</row>
    <row r="41" spans="1:67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8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100">
        <v>654570</v>
      </c>
      <c r="Z41" s="24"/>
      <c r="AA41" s="24"/>
      <c r="AB41" s="24"/>
      <c r="AC41" s="24"/>
      <c r="AD41" s="24"/>
      <c r="AE41" s="100">
        <v>314300</v>
      </c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</row>
    <row r="42" spans="1:67" s="71" customFormat="1" x14ac:dyDescent="0.2">
      <c r="A42" s="69" t="s">
        <v>15</v>
      </c>
      <c r="B42" s="25" t="s">
        <v>31</v>
      </c>
      <c r="C42" s="70">
        <f>1547684-50000-50000-50000-50000-50000-50000-50000</f>
        <v>1197684</v>
      </c>
      <c r="D42" s="24"/>
      <c r="E42" s="108">
        <f t="shared" ref="E42:Z42" si="6">516230/10</f>
        <v>51623</v>
      </c>
      <c r="F42" s="108">
        <f t="shared" si="6"/>
        <v>51623</v>
      </c>
      <c r="G42" s="108">
        <f t="shared" si="6"/>
        <v>51623</v>
      </c>
      <c r="H42" s="24"/>
      <c r="J42" s="108">
        <f t="shared" ref="J42:N42" si="7">516230/10</f>
        <v>51623</v>
      </c>
      <c r="K42" s="108">
        <f t="shared" si="7"/>
        <v>51623</v>
      </c>
      <c r="L42" s="108">
        <f t="shared" si="7"/>
        <v>51623</v>
      </c>
      <c r="M42" s="108">
        <f t="shared" si="7"/>
        <v>51623</v>
      </c>
      <c r="N42" s="108">
        <f t="shared" si="7"/>
        <v>51623</v>
      </c>
      <c r="O42" s="24"/>
      <c r="P42" s="24"/>
      <c r="R42" s="108">
        <f>516230/10</f>
        <v>51623</v>
      </c>
      <c r="S42" s="108">
        <f t="shared" ref="S42" si="8">516230/10</f>
        <v>51623</v>
      </c>
      <c r="T42" s="108">
        <f>516230/10</f>
        <v>51623</v>
      </c>
      <c r="V42" s="24"/>
      <c r="W42" s="24"/>
      <c r="X42" s="108">
        <f>536085/10</f>
        <v>53608.5</v>
      </c>
      <c r="Y42" s="108">
        <f>516230/10</f>
        <v>51623</v>
      </c>
      <c r="Z42" s="108">
        <f t="shared" si="6"/>
        <v>51623</v>
      </c>
      <c r="AA42" s="24"/>
      <c r="AB42" s="24"/>
      <c r="AC42" s="24"/>
      <c r="AD42" s="24"/>
      <c r="AE42" s="108">
        <f>536085/10</f>
        <v>53608.5</v>
      </c>
      <c r="AF42" s="108">
        <f t="shared" ref="AF42:AI42" si="9">536085/10</f>
        <v>53608.5</v>
      </c>
      <c r="AG42" s="108">
        <f t="shared" si="9"/>
        <v>53608.5</v>
      </c>
      <c r="AH42" s="108">
        <f t="shared" si="9"/>
        <v>53608.5</v>
      </c>
      <c r="AI42" s="108">
        <f t="shared" si="9"/>
        <v>53608.5</v>
      </c>
      <c r="AJ42" s="24"/>
      <c r="AK42" s="24"/>
      <c r="AL42" s="129">
        <v>516230</v>
      </c>
      <c r="AM42" s="24"/>
      <c r="AN42" s="129">
        <f>515224/4+54464</f>
        <v>183270</v>
      </c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</row>
    <row r="43" spans="1:67" s="71" customFormat="1" x14ac:dyDescent="0.2">
      <c r="A43" s="69" t="s">
        <v>85</v>
      </c>
      <c r="B43" s="25" t="s">
        <v>47</v>
      </c>
      <c r="C43" s="70"/>
      <c r="D43" s="24"/>
      <c r="E43" s="100">
        <f>(2997.5*$A$6)/8</f>
        <v>29326.640749999999</v>
      </c>
      <c r="F43" s="108">
        <f t="shared" ref="F43:G43" si="10">(2997.5*$A$6)/8</f>
        <v>29326.640749999999</v>
      </c>
      <c r="G43" s="108">
        <f t="shared" si="10"/>
        <v>29326.640749999999</v>
      </c>
      <c r="H43" s="24"/>
      <c r="I43" s="24"/>
      <c r="J43" s="108">
        <f t="shared" ref="J43:N43" si="11">(2997.5*$A$6)/8</f>
        <v>29326.640749999999</v>
      </c>
      <c r="K43" s="108">
        <f t="shared" si="11"/>
        <v>29326.640749999999</v>
      </c>
      <c r="L43" s="108">
        <f t="shared" si="11"/>
        <v>29326.640749999999</v>
      </c>
      <c r="M43" s="108">
        <f t="shared" si="11"/>
        <v>29326.640749999999</v>
      </c>
      <c r="N43" s="108">
        <f t="shared" si="11"/>
        <v>29326.640749999999</v>
      </c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</row>
    <row r="44" spans="1:67" s="71" customFormat="1" x14ac:dyDescent="0.2">
      <c r="A44" s="69" t="s">
        <v>143</v>
      </c>
      <c r="B44" s="25" t="s">
        <v>45</v>
      </c>
      <c r="C44" s="24">
        <f>188496*A9-12500*A9-12600*A9-12500*A9-10000*A9</f>
        <v>1619345.9072</v>
      </c>
      <c r="D44" s="24"/>
      <c r="E44" s="24"/>
      <c r="F44" s="24"/>
      <c r="G44" s="108">
        <f t="shared" ref="G44:AH44" si="12">(188496*$A$9)/15</f>
        <v>144428.14848</v>
      </c>
      <c r="H44" s="24"/>
      <c r="I44" s="24"/>
      <c r="J44" s="108">
        <f>((188496*$A$9)/15)/4</f>
        <v>36107.037120000001</v>
      </c>
      <c r="N44" s="108">
        <f t="shared" ref="N44" si="13">507000/9</f>
        <v>56333.333333333336</v>
      </c>
      <c r="O44" s="24"/>
      <c r="P44" s="24"/>
      <c r="Q44" s="108">
        <f>((188496*$A$9)/15)/5</f>
        <v>28885.629696</v>
      </c>
      <c r="R44" s="108">
        <f t="shared" ref="R44:T44" si="14">((188496*$A$9)/15)/5</f>
        <v>28885.629696</v>
      </c>
      <c r="S44" s="108">
        <f t="shared" si="14"/>
        <v>28885.629696</v>
      </c>
      <c r="T44" s="108">
        <f t="shared" si="14"/>
        <v>28885.629696</v>
      </c>
      <c r="U44" s="108">
        <f>(188496*$A$9)/15</f>
        <v>144428.14848</v>
      </c>
      <c r="V44" s="24"/>
      <c r="W44" s="24"/>
      <c r="X44" s="108">
        <f t="shared" ref="X44" si="15">((188496*$A$9)/15)/5</f>
        <v>28885.629696</v>
      </c>
      <c r="Y44" s="24"/>
      <c r="Z44" s="108">
        <f t="shared" ref="Z44:AE44" si="16">(188496*$A$9)/15</f>
        <v>144428.14848</v>
      </c>
      <c r="AA44" s="24"/>
      <c r="AB44" s="108">
        <f t="shared" si="16"/>
        <v>144428.14848</v>
      </c>
      <c r="AC44" s="24"/>
      <c r="AD44" s="24"/>
      <c r="AE44" s="108">
        <f t="shared" si="16"/>
        <v>144428.14848</v>
      </c>
      <c r="AF44" s="108">
        <f>(((188496*$A$9)/15)*2)/3</f>
        <v>96285.432320000007</v>
      </c>
      <c r="AG44" s="108">
        <f>(((188496*$A$9)/15)*2)/3</f>
        <v>96285.432320000007</v>
      </c>
      <c r="AH44" s="108">
        <f t="shared" si="12"/>
        <v>144428.14848</v>
      </c>
      <c r="AI44" s="108">
        <f>(188496*$A$9)/15</f>
        <v>144428.14848</v>
      </c>
      <c r="AJ44" s="24"/>
      <c r="AK44" s="24"/>
      <c r="AL44" s="108">
        <f>(((188496*$A$9)/15)*2)/3</f>
        <v>96285.432320000007</v>
      </c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</row>
    <row r="45" spans="1:67" s="71" customFormat="1" x14ac:dyDescent="0.2">
      <c r="A45" s="69" t="s">
        <v>120</v>
      </c>
      <c r="B45" s="25" t="s">
        <v>121</v>
      </c>
      <c r="C45" s="120">
        <f>507000+1014000-47000-56000-45000-50000-90000-50000</f>
        <v>1183000</v>
      </c>
      <c r="D45" s="24"/>
      <c r="E45" s="108">
        <f t="shared" ref="E45:S45" si="17">507000/9</f>
        <v>56333.333333333336</v>
      </c>
      <c r="F45" s="108">
        <f t="shared" si="17"/>
        <v>56333.333333333336</v>
      </c>
      <c r="H45" s="24"/>
      <c r="J45" s="108">
        <f>(1014000/11)/2</f>
        <v>46090.909090909088</v>
      </c>
      <c r="M45" s="108">
        <f t="shared" ref="M45:R45" si="18">1014000/11</f>
        <v>92181.818181818177</v>
      </c>
      <c r="O45" s="24"/>
      <c r="P45" s="24"/>
      <c r="Q45" s="108">
        <f>991000/10</f>
        <v>99100</v>
      </c>
      <c r="R45" s="108">
        <f t="shared" si="18"/>
        <v>92181.818181818177</v>
      </c>
      <c r="S45" s="108">
        <f t="shared" si="17"/>
        <v>56333.333333333336</v>
      </c>
      <c r="T45" s="108">
        <f>((1014000/11+88393.5*$A$9)/6)/3</f>
        <v>61561.444021212119</v>
      </c>
      <c r="U45" s="108">
        <f>((1014000/11+88393.5*$A$9)/6)/3</f>
        <v>61561.444021212119</v>
      </c>
      <c r="V45" s="24"/>
      <c r="W45" s="24"/>
      <c r="Y45" s="108">
        <f>(1014000/11+88393.5*$A$9)/6</f>
        <v>184684.33206363636</v>
      </c>
      <c r="AA45" s="108">
        <f>507000/9</f>
        <v>56333.333333333336</v>
      </c>
      <c r="AB45" s="160">
        <f>(52206*$A$9+2988*$A$6)/10</f>
        <v>83388.356400000004</v>
      </c>
      <c r="AC45" s="24"/>
      <c r="AD45" s="24"/>
      <c r="AE45" s="108">
        <f>(1014000/11+88393.5*$A$9)/6</f>
        <v>184684.33206363636</v>
      </c>
      <c r="AF45" s="108">
        <f t="shared" ref="AF45:AL45" si="19">1014000/11</f>
        <v>92181.818181818177</v>
      </c>
      <c r="AG45" s="108">
        <f>(1014000/11)*2+9333.33</f>
        <v>193696.96636363634</v>
      </c>
      <c r="AH45" s="108">
        <f>(1014000/11+88393.5*$A$9)/6</f>
        <v>184684.33206363636</v>
      </c>
      <c r="AI45" s="129">
        <v>682560</v>
      </c>
      <c r="AJ45" s="24"/>
      <c r="AK45" s="24"/>
      <c r="AL45" s="108">
        <f t="shared" si="19"/>
        <v>92181.818181818177</v>
      </c>
      <c r="AM45" s="108">
        <f>(1014000/11)/2</f>
        <v>46090.909090909088</v>
      </c>
      <c r="AN45" s="108">
        <f t="shared" ref="AN45:AO45" si="20">(1014000/11)/2</f>
        <v>46090.909090909088</v>
      </c>
      <c r="AO45" s="108">
        <f t="shared" si="20"/>
        <v>46090.909090909088</v>
      </c>
      <c r="AP45" s="108">
        <f>991000/10</f>
        <v>99100</v>
      </c>
      <c r="AQ45" s="24"/>
      <c r="AR45" s="24"/>
      <c r="AS45" s="108">
        <f>991000/10</f>
        <v>99100</v>
      </c>
      <c r="AT45" s="108">
        <f t="shared" ref="AT45:AW45" si="21">991000/10</f>
        <v>99100</v>
      </c>
      <c r="AU45" s="108">
        <f t="shared" si="21"/>
        <v>99100</v>
      </c>
      <c r="AV45" s="108">
        <f t="shared" si="21"/>
        <v>99100</v>
      </c>
      <c r="AW45" s="108">
        <f t="shared" si="21"/>
        <v>99100</v>
      </c>
      <c r="AX45" s="24"/>
      <c r="AY45" s="24"/>
      <c r="AZ45" s="108">
        <f t="shared" ref="AZ45:BA45" si="22">991000/10</f>
        <v>99100</v>
      </c>
      <c r="BA45" s="108">
        <f t="shared" si="22"/>
        <v>99100</v>
      </c>
      <c r="BB45" s="108">
        <f>((1014000/11+88393.5*$A$9)/6)/3</f>
        <v>61561.444021212119</v>
      </c>
      <c r="BC45" s="108">
        <f t="shared" ref="BC45:BD45" si="23">((1014000/11+88393.5*$A$9)/6)/3</f>
        <v>61561.444021212119</v>
      </c>
      <c r="BD45" s="108">
        <f t="shared" si="23"/>
        <v>61561.444021212119</v>
      </c>
      <c r="BE45" s="24"/>
      <c r="BF45" s="24"/>
      <c r="BG45" s="108">
        <f>((1014000/11+88393.5*$A$9)/6)/3</f>
        <v>61561.444021212119</v>
      </c>
      <c r="BH45" s="108">
        <f t="shared" ref="BH45:BI45" si="24">((1014000/11+88393.5*$A$9)/6)/3</f>
        <v>61561.444021212119</v>
      </c>
      <c r="BI45" s="108">
        <f t="shared" si="24"/>
        <v>61561.444021212119</v>
      </c>
      <c r="BJ45" s="108">
        <f>(1014000/11+88393.5*$A$9)/6</f>
        <v>184684.33206363636</v>
      </c>
      <c r="BK45" s="108">
        <f>(1014000/11+88393.5*$A$9)/6</f>
        <v>184684.33206363636</v>
      </c>
      <c r="BL45" s="24"/>
      <c r="BM45" s="24"/>
      <c r="BN45" s="24"/>
      <c r="BO45" s="24"/>
    </row>
    <row r="46" spans="1:67" s="73" customFormat="1" x14ac:dyDescent="0.2">
      <c r="A46" s="69" t="s">
        <v>22</v>
      </c>
      <c r="B46" s="25" t="s">
        <v>48</v>
      </c>
      <c r="C46" s="137"/>
      <c r="D46" s="72"/>
      <c r="E46" s="160">
        <f>(52206*$A$9+2988*$A$6)/13</f>
        <v>64144.889538461539</v>
      </c>
      <c r="F46" s="160">
        <f>((52206*$A$9+2988*$A$6)/10)/2</f>
        <v>41694.178200000002</v>
      </c>
      <c r="H46" s="72"/>
      <c r="I46" s="72"/>
      <c r="K46" s="160">
        <f>((109170*$A$9)/5)/4</f>
        <v>62735.632200000007</v>
      </c>
      <c r="L46" s="160">
        <f t="shared" ref="L46:N46" si="25">((109170*$A$9)/5)/4</f>
        <v>62735.632200000007</v>
      </c>
      <c r="M46" s="160">
        <f t="shared" si="25"/>
        <v>62735.632200000007</v>
      </c>
      <c r="N46" s="160">
        <f t="shared" si="25"/>
        <v>62735.632200000007</v>
      </c>
      <c r="O46" s="72"/>
      <c r="P46" s="72"/>
      <c r="Q46" s="160">
        <f>((109170*$A$9)/5)/5</f>
        <v>50188.505760000007</v>
      </c>
      <c r="R46" s="160">
        <f>((109170*$A$9)/5)/5</f>
        <v>50188.505760000007</v>
      </c>
      <c r="S46" s="160">
        <f>((109170*$A$9)/5)/5</f>
        <v>50188.505760000007</v>
      </c>
      <c r="T46" s="160">
        <f>((52206*$A$9+2988*$A$6)/10)/2</f>
        <v>41694.178200000002</v>
      </c>
      <c r="U46" s="177">
        <v>46260.26</v>
      </c>
      <c r="V46" s="72"/>
      <c r="W46" s="72"/>
      <c r="X46" s="160">
        <f>((109170*$A$9)/5)/5</f>
        <v>50188.505760000007</v>
      </c>
      <c r="Y46" s="160">
        <f t="shared" ref="Y46:AB46" si="26">((109170*$A$9)/5)/5</f>
        <v>50188.505760000007</v>
      </c>
      <c r="Z46" s="160">
        <f t="shared" si="26"/>
        <v>50188.505760000007</v>
      </c>
      <c r="AA46" s="178">
        <f>(62000*$A$9)/10</f>
        <v>71257.84</v>
      </c>
      <c r="AB46" s="160">
        <f t="shared" si="26"/>
        <v>50188.505760000007</v>
      </c>
      <c r="AC46" s="72"/>
      <c r="AD46" s="72"/>
      <c r="AE46" s="160">
        <f t="shared" ref="AE46:AI46" si="27">(109170*$A$9)/5</f>
        <v>250942.52880000003</v>
      </c>
      <c r="AF46" s="160">
        <f t="shared" ref="AF46" si="28">((109170*$A$9)/5)/5</f>
        <v>50188.505760000007</v>
      </c>
      <c r="AG46" s="160">
        <f>((52206*$A$9+2988*$A$6)/10)*2</f>
        <v>166776.71280000001</v>
      </c>
      <c r="AH46" s="178">
        <f>(62000*$A$9)/10</f>
        <v>71257.84</v>
      </c>
      <c r="AI46" s="160">
        <f t="shared" si="27"/>
        <v>250942.52880000003</v>
      </c>
      <c r="AJ46" s="72"/>
      <c r="AK46" s="72"/>
      <c r="AL46" s="160">
        <f>((109170*$A$9)/5)/5</f>
        <v>50188.505760000007</v>
      </c>
      <c r="AM46" s="160">
        <f t="shared" ref="AM46:AP46" si="29">((109170*$A$9)/5)/5</f>
        <v>50188.505760000007</v>
      </c>
      <c r="AN46" s="160">
        <f t="shared" si="29"/>
        <v>50188.505760000007</v>
      </c>
      <c r="AO46" s="160">
        <f t="shared" si="29"/>
        <v>50188.505760000007</v>
      </c>
      <c r="AP46" s="160">
        <f t="shared" si="29"/>
        <v>50188.505760000007</v>
      </c>
      <c r="AQ46" s="72"/>
      <c r="AR46" s="72"/>
      <c r="AS46" s="178">
        <f t="shared" ref="AS46:AW46" si="30">(62000*$A$9)/10</f>
        <v>71257.84</v>
      </c>
      <c r="AT46" s="178">
        <f t="shared" si="30"/>
        <v>71257.84</v>
      </c>
      <c r="AU46" s="178">
        <f t="shared" si="30"/>
        <v>71257.84</v>
      </c>
      <c r="AV46" s="178">
        <f t="shared" si="30"/>
        <v>71257.84</v>
      </c>
      <c r="AW46" s="178">
        <f t="shared" si="30"/>
        <v>71257.84</v>
      </c>
      <c r="AX46" s="72"/>
      <c r="AY46" s="72"/>
      <c r="AZ46" s="178">
        <f t="shared" ref="AZ46:BB46" si="31">(62000*$A$9)/10</f>
        <v>71257.84</v>
      </c>
      <c r="BA46" s="178">
        <f t="shared" si="31"/>
        <v>71257.84</v>
      </c>
      <c r="BB46" s="178">
        <f t="shared" si="31"/>
        <v>71257.84</v>
      </c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</row>
    <row r="47" spans="1:67" s="73" customFormat="1" x14ac:dyDescent="0.2">
      <c r="A47" s="69" t="s">
        <v>108</v>
      </c>
      <c r="B47" s="25" t="s">
        <v>109</v>
      </c>
      <c r="C47" s="120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</row>
    <row r="48" spans="1:67" s="71" customFormat="1" x14ac:dyDescent="0.2">
      <c r="A48" s="69" t="s">
        <v>36</v>
      </c>
      <c r="B48" s="25" t="s">
        <v>37</v>
      </c>
      <c r="C48" s="130"/>
      <c r="D48" s="24"/>
      <c r="E48" s="100">
        <f>(350422.5/2)/8</f>
        <v>21901.40625</v>
      </c>
      <c r="F48" s="108">
        <f>(350422.5/2)/8</f>
        <v>21901.40625</v>
      </c>
      <c r="G48" s="108">
        <f>(350422.5/2)/8</f>
        <v>21901.40625</v>
      </c>
      <c r="H48" s="24"/>
      <c r="I48" s="24"/>
      <c r="J48" s="108">
        <f t="shared" ref="J48:M48" si="32">(350422.5/2)/8</f>
        <v>21901.40625</v>
      </c>
      <c r="K48" s="108">
        <f t="shared" si="32"/>
        <v>21901.40625</v>
      </c>
      <c r="L48" s="108">
        <f t="shared" si="32"/>
        <v>21901.40625</v>
      </c>
      <c r="M48" s="108">
        <f t="shared" si="32"/>
        <v>21901.40625</v>
      </c>
      <c r="N48" s="108">
        <f>(350422.5/2)/8</f>
        <v>21901.40625</v>
      </c>
      <c r="O48" s="24"/>
      <c r="P48" s="24"/>
      <c r="Q48" s="108">
        <f t="shared" ref="Q48:T48" si="33">(350422.5/2)/8</f>
        <v>21901.40625</v>
      </c>
      <c r="R48" s="108">
        <f t="shared" si="33"/>
        <v>21901.40625</v>
      </c>
      <c r="S48" s="108">
        <f t="shared" si="33"/>
        <v>21901.40625</v>
      </c>
      <c r="T48" s="108">
        <f t="shared" si="33"/>
        <v>21901.40625</v>
      </c>
      <c r="U48" s="108">
        <f>(350422.5/2)/8</f>
        <v>21901.40625</v>
      </c>
      <c r="V48" s="24"/>
      <c r="W48" s="24"/>
      <c r="X48" s="108">
        <f t="shared" ref="X48:Y48" si="34">(350422.5/2)/8</f>
        <v>21901.40625</v>
      </c>
      <c r="Y48" s="108">
        <f t="shared" si="34"/>
        <v>21901.40625</v>
      </c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</row>
    <row r="49" spans="1:67" s="71" customFormat="1" x14ac:dyDescent="0.2">
      <c r="A49" s="69" t="s">
        <v>86</v>
      </c>
      <c r="B49" s="25" t="s">
        <v>35</v>
      </c>
      <c r="C49" s="70"/>
      <c r="D49" s="77"/>
      <c r="E49" s="100">
        <f>(2850*$A$6)/10</f>
        <v>22306.835999999999</v>
      </c>
      <c r="F49" s="108">
        <f t="shared" ref="F49:G49" si="35">(2850*$A$6)/10</f>
        <v>22306.835999999999</v>
      </c>
      <c r="G49" s="108">
        <f t="shared" si="35"/>
        <v>22306.835999999999</v>
      </c>
      <c r="H49" s="24"/>
      <c r="I49" s="24"/>
      <c r="J49" s="108">
        <f t="shared" ref="J49:N49" si="36">(2850*$A$6)/10</f>
        <v>22306.835999999999</v>
      </c>
      <c r="K49" s="108">
        <f t="shared" si="36"/>
        <v>22306.835999999999</v>
      </c>
      <c r="L49" s="108">
        <f t="shared" si="36"/>
        <v>22306.835999999999</v>
      </c>
      <c r="M49" s="108">
        <f t="shared" si="36"/>
        <v>22306.835999999999</v>
      </c>
      <c r="N49" s="108">
        <f t="shared" si="36"/>
        <v>22306.835999999999</v>
      </c>
      <c r="O49" s="24"/>
      <c r="P49" s="24"/>
      <c r="Q49" s="108">
        <f t="shared" ref="Q49:R49" si="37">(2850*$A$6)/10</f>
        <v>22306.835999999999</v>
      </c>
      <c r="R49" s="108">
        <f t="shared" si="37"/>
        <v>22306.835999999999</v>
      </c>
      <c r="S49" s="28"/>
      <c r="T49" s="28"/>
      <c r="U49" s="28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</row>
    <row r="50" spans="1:67" s="71" customFormat="1" x14ac:dyDescent="0.2">
      <c r="A50" s="69" t="s">
        <v>34</v>
      </c>
      <c r="B50" s="25"/>
      <c r="C50" s="70"/>
      <c r="D50" s="77"/>
      <c r="E50" s="28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100">
        <v>1872000</v>
      </c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</row>
    <row r="51" spans="1:67" s="71" customFormat="1" x14ac:dyDescent="0.2">
      <c r="A51" s="69" t="s">
        <v>29</v>
      </c>
      <c r="B51" s="25" t="s">
        <v>43</v>
      </c>
      <c r="C51" s="70">
        <f>439750-19750-25000-25000-25000-20000-20000-25000-50000</f>
        <v>230000</v>
      </c>
      <c r="D51" s="24"/>
      <c r="E51" s="24"/>
      <c r="F51" s="24"/>
      <c r="H51" s="24"/>
      <c r="I51" s="24"/>
      <c r="J51" s="95">
        <f>95000/5</f>
        <v>19000</v>
      </c>
      <c r="K51" s="24"/>
      <c r="L51" s="95">
        <v>35000</v>
      </c>
      <c r="M51" s="24"/>
      <c r="O51" s="24"/>
      <c r="P51" s="24"/>
      <c r="Q51" s="95">
        <f t="shared" ref="Q51:U51" si="38">95000/5</f>
        <v>19000</v>
      </c>
      <c r="R51" s="95">
        <f t="shared" si="38"/>
        <v>19000</v>
      </c>
      <c r="S51" s="95">
        <f t="shared" si="38"/>
        <v>19000</v>
      </c>
      <c r="T51" s="95">
        <f t="shared" si="38"/>
        <v>19000</v>
      </c>
      <c r="U51" s="95">
        <f t="shared" si="38"/>
        <v>19000</v>
      </c>
      <c r="V51" s="24"/>
      <c r="W51" s="24"/>
      <c r="X51" s="24"/>
      <c r="Y51" s="24"/>
      <c r="Z51" s="95">
        <v>100000</v>
      </c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</row>
    <row r="52" spans="1:67" s="71" customFormat="1" x14ac:dyDescent="0.2">
      <c r="A52" s="69" t="s">
        <v>141</v>
      </c>
      <c r="B52" s="25" t="s">
        <v>142</v>
      </c>
      <c r="C52" s="70"/>
      <c r="D52" s="24"/>
      <c r="E52" s="28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</row>
    <row r="53" spans="1:67" s="71" customFormat="1" x14ac:dyDescent="0.2">
      <c r="A53" s="69" t="s">
        <v>176</v>
      </c>
      <c r="B53" s="25" t="s">
        <v>179</v>
      </c>
      <c r="C53" s="70"/>
      <c r="D53" s="24"/>
      <c r="E53" s="24"/>
      <c r="F53" s="100">
        <v>23030</v>
      </c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</row>
    <row r="54" spans="1:67" s="71" customFormat="1" x14ac:dyDescent="0.2">
      <c r="A54" s="69" t="s">
        <v>124</v>
      </c>
      <c r="B54" s="25" t="s">
        <v>125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Y54" s="24"/>
      <c r="Z54" s="24"/>
      <c r="AA54" s="24"/>
      <c r="AB54" s="24"/>
      <c r="AC54" s="24"/>
      <c r="AD54" s="24"/>
      <c r="AE54" s="24"/>
      <c r="AF54" s="129">
        <v>203210</v>
      </c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</row>
    <row r="55" spans="1:67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</row>
    <row r="56" spans="1:67" s="71" customFormat="1" x14ac:dyDescent="0.2">
      <c r="A56" s="69" t="s">
        <v>90</v>
      </c>
      <c r="B56" s="25" t="s">
        <v>91</v>
      </c>
      <c r="C56" s="70">
        <f>912000+1012000-100000-100000-75000-75000-75000-75000-75000-75000-75000-75000-75000-75000-75000-75000-100000-75000-100000-100000-100000</f>
        <v>349000</v>
      </c>
      <c r="D56" s="77"/>
      <c r="E56" s="129">
        <v>49000</v>
      </c>
      <c r="F56" s="129">
        <v>100000</v>
      </c>
      <c r="G56" s="129">
        <v>100000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</row>
    <row r="57" spans="1:67" s="71" customFormat="1" x14ac:dyDescent="0.2">
      <c r="A57" s="69" t="s">
        <v>177</v>
      </c>
      <c r="B57" s="25" t="s">
        <v>178</v>
      </c>
      <c r="C57" s="70"/>
      <c r="D57" s="77"/>
      <c r="E57" s="24"/>
      <c r="F57" s="100">
        <f>87294.5/3</f>
        <v>29098.166666666668</v>
      </c>
      <c r="G57" s="24"/>
      <c r="H57" s="24"/>
      <c r="I57" s="24"/>
      <c r="J57" s="24"/>
      <c r="K57" s="100">
        <f>87294.5/3</f>
        <v>29098.166666666668</v>
      </c>
      <c r="L57" s="24"/>
      <c r="M57" s="100">
        <f>87294.5/3</f>
        <v>29098.166666666668</v>
      </c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</row>
    <row r="58" spans="1:67" s="71" customFormat="1" x14ac:dyDescent="0.2">
      <c r="A58" s="69" t="s">
        <v>156</v>
      </c>
      <c r="B58" s="25" t="s">
        <v>157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</row>
    <row r="59" spans="1:67" s="71" customFormat="1" ht="12.75" customHeight="1" x14ac:dyDescent="0.2">
      <c r="A59" s="151" t="s">
        <v>139</v>
      </c>
      <c r="B59" s="152" t="s">
        <v>161</v>
      </c>
      <c r="C59" s="70">
        <f>2772000-150000-200000-150000-339500</f>
        <v>1932500</v>
      </c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</row>
    <row r="60" spans="1:67" s="71" customFormat="1" x14ac:dyDescent="0.2">
      <c r="A60" s="69" t="s">
        <v>180</v>
      </c>
      <c r="B60" s="25" t="s">
        <v>181</v>
      </c>
      <c r="C60" s="70"/>
      <c r="D60" s="77"/>
      <c r="E60" s="24"/>
      <c r="F60" s="24"/>
      <c r="G60" s="24"/>
      <c r="H60" s="24"/>
      <c r="I60" s="24"/>
      <c r="J60" s="24"/>
      <c r="K60" s="24"/>
      <c r="L60" s="100">
        <v>10890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</row>
    <row r="61" spans="1:67" s="71" customFormat="1" x14ac:dyDescent="0.2">
      <c r="A61" s="69" t="s">
        <v>154</v>
      </c>
      <c r="B61" s="25" t="s">
        <v>153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</row>
    <row r="62" spans="1:67" s="71" customFormat="1" x14ac:dyDescent="0.2">
      <c r="A62" s="69" t="s">
        <v>158</v>
      </c>
      <c r="B62" s="25"/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</row>
    <row r="63" spans="1:67" s="71" customFormat="1" x14ac:dyDescent="0.2">
      <c r="A63" s="69" t="s">
        <v>38</v>
      </c>
      <c r="B63" s="25" t="s">
        <v>39</v>
      </c>
      <c r="C63" s="70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</row>
    <row r="64" spans="1:67" s="71" customFormat="1" x14ac:dyDescent="0.2">
      <c r="A64" s="69" t="s">
        <v>74</v>
      </c>
      <c r="B64" s="25" t="s">
        <v>131</v>
      </c>
      <c r="C64" s="70"/>
      <c r="D64" s="24"/>
      <c r="E64" s="24"/>
      <c r="F64" s="100">
        <v>30000</v>
      </c>
      <c r="G64" s="100">
        <f>7500+16500</f>
        <v>24000</v>
      </c>
      <c r="H64" s="24"/>
      <c r="I64" s="100">
        <v>12000</v>
      </c>
      <c r="J64" s="24"/>
      <c r="K64" s="100">
        <v>30000</v>
      </c>
      <c r="L64" s="100">
        <v>9500</v>
      </c>
      <c r="M64" s="24"/>
      <c r="N64" s="100">
        <v>22000</v>
      </c>
      <c r="O64" s="24"/>
      <c r="P64" s="24"/>
      <c r="Q64" s="100">
        <v>20000</v>
      </c>
      <c r="R64" s="24"/>
      <c r="S64" s="24"/>
      <c r="T64" s="143">
        <v>40000</v>
      </c>
      <c r="U64" s="143">
        <v>12000</v>
      </c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</row>
    <row r="65" spans="1:67" s="71" customFormat="1" x14ac:dyDescent="0.2">
      <c r="A65" s="69" t="s">
        <v>74</v>
      </c>
      <c r="B65" s="25" t="s">
        <v>150</v>
      </c>
      <c r="C65" s="164">
        <v>3567700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</row>
    <row r="66" spans="1:67" s="73" customFormat="1" x14ac:dyDescent="0.2">
      <c r="A66" s="78"/>
      <c r="B66" s="79"/>
      <c r="C66" s="75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</row>
    <row r="67" spans="1:67" s="94" customFormat="1" ht="33.75" x14ac:dyDescent="0.2">
      <c r="A67" s="91" t="s">
        <v>60</v>
      </c>
      <c r="B67" s="92" t="s">
        <v>58</v>
      </c>
      <c r="C67" s="93">
        <v>248639.70012000017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3"/>
      <c r="BK67" s="93"/>
      <c r="BL67" s="93"/>
      <c r="BM67" s="93"/>
      <c r="BN67" s="93"/>
      <c r="BO67" s="93"/>
    </row>
    <row r="68" spans="1:67" s="5" customFormat="1" x14ac:dyDescent="0.2">
      <c r="A68" s="42"/>
      <c r="B68" s="12"/>
      <c r="C68" s="68"/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</row>
    <row r="69" spans="1:67" s="5" customFormat="1" x14ac:dyDescent="0.2">
      <c r="A69" s="36" t="s">
        <v>49</v>
      </c>
      <c r="B69" s="12"/>
      <c r="C69" s="13"/>
      <c r="D69" s="26"/>
      <c r="E69" s="13">
        <f>1400000+7400*A3</f>
        <v>2060629.8199999998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</row>
    <row r="70" spans="1:67" s="5" customFormat="1" x14ac:dyDescent="0.2">
      <c r="A70" s="36" t="s">
        <v>57</v>
      </c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C70" s="13"/>
      <c r="AD70" s="13"/>
      <c r="AE70" s="168">
        <v>1600000</v>
      </c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</row>
    <row r="71" spans="1:67" s="5" customFormat="1" x14ac:dyDescent="0.2">
      <c r="A71" s="36" t="s">
        <v>61</v>
      </c>
      <c r="B71" s="12"/>
      <c r="C71" s="13">
        <v>112000</v>
      </c>
      <c r="D71" s="26"/>
      <c r="E71" s="13">
        <f>4600*$A$3</f>
        <v>410661.77999999997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</row>
    <row r="72" spans="1:67" s="5" customFormat="1" x14ac:dyDescent="0.2">
      <c r="A72" s="42" t="s">
        <v>151</v>
      </c>
      <c r="B72" s="12"/>
      <c r="C72" s="68">
        <f>(10000*10)*A6</f>
        <v>7826960</v>
      </c>
      <c r="D72" s="26"/>
      <c r="E72" s="126">
        <f>33000*A6</f>
        <v>2582896.7999999998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</row>
    <row r="73" spans="1:67" s="5" customFormat="1" x14ac:dyDescent="0.2">
      <c r="A73" s="36" t="s">
        <v>72</v>
      </c>
      <c r="B73" s="27" t="s">
        <v>73</v>
      </c>
      <c r="C73" s="62">
        <v>3637079.2460000003</v>
      </c>
      <c r="D73" s="35"/>
      <c r="E73" s="28"/>
      <c r="F73" s="28"/>
      <c r="G73" s="13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</row>
    <row r="74" spans="1:67" s="5" customFormat="1" x14ac:dyDescent="0.2">
      <c r="A74" s="42"/>
      <c r="B74" s="12"/>
      <c r="C74" s="61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</row>
    <row r="75" spans="1:67" s="84" customFormat="1" x14ac:dyDescent="0.2">
      <c r="A75" s="81" t="s">
        <v>66</v>
      </c>
      <c r="B75" s="82"/>
      <c r="C75" s="63"/>
      <c r="D75" s="83"/>
      <c r="E75" s="83">
        <f>$C$5+E16-E26</f>
        <v>-3180887.5925384611</v>
      </c>
      <c r="F75" s="83">
        <f t="shared" ref="F75:BO75" si="39">E75+F16-F26</f>
        <v>-1616545.8204051277</v>
      </c>
      <c r="G75" s="83">
        <f t="shared" si="39"/>
        <v>-1698956.5185517943</v>
      </c>
      <c r="H75" s="83">
        <f t="shared" si="39"/>
        <v>-1698956.5185517943</v>
      </c>
      <c r="I75" s="83">
        <f t="shared" si="39"/>
        <v>-1710956.5185517943</v>
      </c>
      <c r="J75" s="83">
        <f t="shared" si="39"/>
        <v>462687.65223729657</v>
      </c>
      <c r="K75" s="83">
        <f t="shared" si="39"/>
        <v>-134304.02962937008</v>
      </c>
      <c r="L75" s="83">
        <f t="shared" si="39"/>
        <v>-508819.5448293701</v>
      </c>
      <c r="M75" s="83">
        <f t="shared" si="39"/>
        <v>-867993.04487785499</v>
      </c>
      <c r="N75" s="83">
        <f t="shared" si="39"/>
        <v>-1719057.8934111884</v>
      </c>
      <c r="O75" s="83">
        <f t="shared" si="39"/>
        <v>-1719057.8934111884</v>
      </c>
      <c r="P75" s="83">
        <f t="shared" si="39"/>
        <v>-1719057.8934111884</v>
      </c>
      <c r="Q75" s="83">
        <f t="shared" si="39"/>
        <v>348053.72888281161</v>
      </c>
      <c r="R75" s="83">
        <f t="shared" si="39"/>
        <v>11966.53299499338</v>
      </c>
      <c r="S75" s="83">
        <f t="shared" si="39"/>
        <v>-360965.34204433998</v>
      </c>
      <c r="T75" s="83">
        <f t="shared" si="39"/>
        <v>-675744.00021155213</v>
      </c>
      <c r="U75" s="83">
        <f t="shared" si="39"/>
        <v>-355895.25896276429</v>
      </c>
      <c r="V75" s="83">
        <f t="shared" si="39"/>
        <v>-355895.25896276429</v>
      </c>
      <c r="W75" s="83">
        <f t="shared" si="39"/>
        <v>-355895.25896276429</v>
      </c>
      <c r="X75" s="83">
        <f t="shared" si="39"/>
        <v>1689520.6993312356</v>
      </c>
      <c r="Y75" s="83">
        <f t="shared" si="39"/>
        <v>726553.45525759924</v>
      </c>
      <c r="Z75" s="83">
        <f t="shared" si="39"/>
        <v>380313.80101759924</v>
      </c>
      <c r="AA75" s="83">
        <f t="shared" si="39"/>
        <v>252722.6276842659</v>
      </c>
      <c r="AB75" s="83">
        <f t="shared" si="39"/>
        <v>-25282.382955734152</v>
      </c>
      <c r="AC75" s="83">
        <f t="shared" si="39"/>
        <v>-375282.38295573415</v>
      </c>
      <c r="AD75" s="83">
        <f t="shared" si="39"/>
        <v>-375282.38295573415</v>
      </c>
      <c r="AE75" s="83">
        <f t="shared" si="39"/>
        <v>-464260.89229937037</v>
      </c>
      <c r="AF75" s="83">
        <f t="shared" si="39"/>
        <v>-2159735.1485611885</v>
      </c>
      <c r="AG75" s="83">
        <f t="shared" si="39"/>
        <v>-2670102.7600448248</v>
      </c>
      <c r="AH75" s="83">
        <f t="shared" si="39"/>
        <v>-3124081.5805884609</v>
      </c>
      <c r="AI75" s="83">
        <f t="shared" si="39"/>
        <v>-4255620.7578684613</v>
      </c>
      <c r="AJ75" s="83">
        <f t="shared" si="39"/>
        <v>-4255620.7578684613</v>
      </c>
      <c r="AK75" s="83">
        <f t="shared" si="39"/>
        <v>-4255620.7578684613</v>
      </c>
      <c r="AL75" s="83">
        <f t="shared" si="39"/>
        <v>-2578404.3341302793</v>
      </c>
      <c r="AM75" s="83">
        <f t="shared" si="39"/>
        <v>-2674683.7489811885</v>
      </c>
      <c r="AN75" s="83">
        <f t="shared" si="39"/>
        <v>-2954233.1638320978</v>
      </c>
      <c r="AO75" s="83">
        <f t="shared" si="39"/>
        <v>-3050512.578683007</v>
      </c>
      <c r="AP75" s="83">
        <f t="shared" si="39"/>
        <v>-3199801.0844430071</v>
      </c>
      <c r="AQ75" s="83">
        <f t="shared" si="39"/>
        <v>-3199801.0844430071</v>
      </c>
      <c r="AR75" s="83">
        <f t="shared" si="39"/>
        <v>-3199801.0844430071</v>
      </c>
      <c r="AS75" s="83">
        <f t="shared" si="39"/>
        <v>-3370158.924443007</v>
      </c>
      <c r="AT75" s="83">
        <f t="shared" si="39"/>
        <v>-3540516.7644430068</v>
      </c>
      <c r="AU75" s="83">
        <f t="shared" si="39"/>
        <v>-3710874.6044430067</v>
      </c>
      <c r="AV75" s="83">
        <f t="shared" si="39"/>
        <v>-3881232.4444430065</v>
      </c>
      <c r="AW75" s="83">
        <f t="shared" si="39"/>
        <v>-4051590.2844430064</v>
      </c>
      <c r="AX75" s="83">
        <f t="shared" si="39"/>
        <v>-4051590.2844430064</v>
      </c>
      <c r="AY75" s="83">
        <f t="shared" si="39"/>
        <v>-4051590.2844430064</v>
      </c>
      <c r="AZ75" s="83">
        <f t="shared" si="39"/>
        <v>-4221948.1244430067</v>
      </c>
      <c r="BA75" s="83">
        <f t="shared" si="39"/>
        <v>-4392305.9644430066</v>
      </c>
      <c r="BB75" s="83">
        <f t="shared" si="39"/>
        <v>-4525125.2484642183</v>
      </c>
      <c r="BC75" s="83">
        <f t="shared" si="39"/>
        <v>-4586686.6924854303</v>
      </c>
      <c r="BD75" s="83">
        <f t="shared" si="39"/>
        <v>-4648248.1365066422</v>
      </c>
      <c r="BE75" s="83">
        <f t="shared" si="39"/>
        <v>-4648248.1365066422</v>
      </c>
      <c r="BF75" s="83">
        <f t="shared" si="39"/>
        <v>-4648248.1365066422</v>
      </c>
      <c r="BG75" s="83">
        <f t="shared" si="39"/>
        <v>-4709809.5805278542</v>
      </c>
      <c r="BH75" s="83">
        <f t="shared" si="39"/>
        <v>-1593205.9445490662</v>
      </c>
      <c r="BI75" s="83">
        <f t="shared" si="39"/>
        <v>-1654767.3885702784</v>
      </c>
      <c r="BJ75" s="83">
        <f t="shared" si="39"/>
        <v>-1839451.7206339147</v>
      </c>
      <c r="BK75" s="83">
        <f t="shared" si="39"/>
        <v>-2024136.052697551</v>
      </c>
      <c r="BL75" s="83">
        <f t="shared" si="39"/>
        <v>-2024136.052697551</v>
      </c>
      <c r="BM75" s="83">
        <f t="shared" si="39"/>
        <v>-2024136.052697551</v>
      </c>
      <c r="BN75" s="83">
        <f t="shared" si="39"/>
        <v>-2024136.052697551</v>
      </c>
      <c r="BO75" s="83">
        <f t="shared" si="39"/>
        <v>-2024136.052697551</v>
      </c>
    </row>
    <row r="77" spans="1:67" s="5" customFormat="1" x14ac:dyDescent="0.2">
      <c r="A77" s="42"/>
      <c r="B77" s="12"/>
      <c r="C77" s="68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</row>
    <row r="78" spans="1:67" s="89" customFormat="1" x14ac:dyDescent="0.2">
      <c r="A78" s="85" t="s">
        <v>65</v>
      </c>
      <c r="B78" s="86"/>
      <c r="C78" s="87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</row>
    <row r="79" spans="1:67" s="5" customFormat="1" ht="22.5" x14ac:dyDescent="0.2">
      <c r="A79" s="36" t="s">
        <v>67</v>
      </c>
      <c r="B79" s="27" t="s">
        <v>68</v>
      </c>
      <c r="C79" s="68">
        <v>3221210.79</v>
      </c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</row>
    <row r="80" spans="1:67" s="5" customFormat="1" x14ac:dyDescent="0.2">
      <c r="A80" s="36" t="s">
        <v>69</v>
      </c>
      <c r="B80" s="27" t="s">
        <v>70</v>
      </c>
      <c r="C80" s="68">
        <v>9814338.4000000004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</row>
    <row r="81" spans="1:67" s="5" customFormat="1" x14ac:dyDescent="0.2">
      <c r="A81" s="36"/>
      <c r="B81" s="27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</row>
    <row r="82" spans="1:67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</row>
    <row r="84" spans="1:67" x14ac:dyDescent="0.25">
      <c r="B84" s="14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4"/>
  <sheetViews>
    <sheetView workbookViewId="0">
      <selection sqref="A1:XFD1048576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2" style="3" customWidth="1"/>
    <col min="6" max="6" width="11.140625" style="3" customWidth="1"/>
    <col min="7" max="7" width="12.7109375" style="3" customWidth="1"/>
    <col min="8" max="8" width="11.42578125" style="3" customWidth="1"/>
    <col min="9" max="9" width="11.7109375" style="3" customWidth="1"/>
    <col min="10" max="10" width="10.5703125" style="3" customWidth="1"/>
    <col min="11" max="11" width="12" style="3" customWidth="1"/>
    <col min="12" max="12" width="11.140625" style="3" customWidth="1"/>
    <col min="13" max="13" width="10.42578125" style="3" customWidth="1"/>
    <col min="14" max="14" width="14" style="3" customWidth="1"/>
    <col min="15" max="15" width="10.42578125" style="3" customWidth="1"/>
    <col min="16" max="16" width="12.5703125" style="3" customWidth="1"/>
    <col min="17" max="17" width="13.28515625" style="3" customWidth="1"/>
    <col min="18" max="18" width="12.140625" style="3" customWidth="1"/>
    <col min="19" max="19" width="12.42578125" style="3" customWidth="1"/>
    <col min="20" max="20" width="12.28515625" style="3" customWidth="1"/>
    <col min="21" max="21" width="12.7109375" style="3" customWidth="1"/>
    <col min="22" max="22" width="11.28515625" style="3" customWidth="1"/>
    <col min="23" max="23" width="11.85546875" style="3" customWidth="1"/>
    <col min="24" max="24" width="12.28515625" style="3" customWidth="1"/>
    <col min="25" max="25" width="11.140625" style="3" customWidth="1"/>
    <col min="26" max="26" width="10.5703125" style="3" customWidth="1"/>
    <col min="27" max="27" width="10.85546875" style="3" customWidth="1"/>
    <col min="28" max="28" width="12" style="3" customWidth="1"/>
    <col min="29" max="29" width="13.140625" style="3" customWidth="1"/>
    <col min="30" max="30" width="11.140625" style="3" customWidth="1"/>
    <col min="31" max="31" width="12.5703125" style="3" customWidth="1"/>
    <col min="32" max="32" width="12.140625" style="3" customWidth="1"/>
    <col min="33" max="33" width="12.42578125" style="3" customWidth="1"/>
    <col min="34" max="34" width="12" style="3" customWidth="1"/>
    <col min="35" max="35" width="14.85546875" style="3" customWidth="1"/>
    <col min="36" max="36" width="11.5703125" style="3" customWidth="1"/>
    <col min="37" max="37" width="13.7109375" style="3" customWidth="1"/>
    <col min="38" max="38" width="12.42578125" style="3" customWidth="1"/>
    <col min="39" max="39" width="10.85546875" style="3" customWidth="1"/>
    <col min="40" max="40" width="12.140625" style="3" customWidth="1"/>
    <col min="41" max="41" width="11.85546875" style="3" customWidth="1"/>
    <col min="42" max="42" width="12.7109375" style="3" customWidth="1"/>
    <col min="43" max="43" width="12.42578125" style="3" customWidth="1"/>
    <col min="44" max="44" width="11.140625" style="3" customWidth="1"/>
    <col min="45" max="45" width="11.5703125" style="3" customWidth="1"/>
    <col min="46" max="46" width="12.28515625" style="3" customWidth="1"/>
    <col min="47" max="61" width="9" style="3"/>
    <col min="62" max="62" width="10.28515625" style="3" bestFit="1" customWidth="1"/>
    <col min="63" max="16384" width="9" style="3"/>
  </cols>
  <sheetData>
    <row r="1" spans="1:69" ht="12" thickBot="1" x14ac:dyDescent="0.3"/>
    <row r="2" spans="1:69" s="1" customFormat="1" x14ac:dyDescent="0.2">
      <c r="A2" s="43" t="s">
        <v>50</v>
      </c>
      <c r="B2" s="15" t="s">
        <v>27</v>
      </c>
      <c r="C2" s="50">
        <v>5840935.9800000004</v>
      </c>
    </row>
    <row r="3" spans="1:69" s="1" customFormat="1" ht="12" thickBot="1" x14ac:dyDescent="0.25">
      <c r="A3" s="44">
        <v>85.182299999999998</v>
      </c>
      <c r="B3" s="15" t="s">
        <v>28</v>
      </c>
      <c r="C3" s="50">
        <v>10778.95</v>
      </c>
    </row>
    <row r="4" spans="1:69" s="8" customFormat="1" ht="12" thickBot="1" x14ac:dyDescent="0.25">
      <c r="A4" s="45"/>
      <c r="B4" s="15" t="s">
        <v>25</v>
      </c>
      <c r="C4" s="51">
        <v>0</v>
      </c>
    </row>
    <row r="5" spans="1:69" s="6" customFormat="1" x14ac:dyDescent="0.2">
      <c r="A5" s="43" t="s">
        <v>51</v>
      </c>
      <c r="B5" s="49" t="s">
        <v>26</v>
      </c>
      <c r="C5" s="52">
        <f>SUM(C2:C4)</f>
        <v>5851714.9300000006</v>
      </c>
    </row>
    <row r="6" spans="1:69" s="6" customFormat="1" ht="12" thickBot="1" x14ac:dyDescent="0.25">
      <c r="A6" s="44">
        <v>74.773799999999994</v>
      </c>
      <c r="B6" s="16"/>
      <c r="C6" s="53"/>
      <c r="D6" s="17"/>
    </row>
    <row r="7" spans="1:69" s="6" customFormat="1" ht="12" thickBot="1" x14ac:dyDescent="0.25">
      <c r="A7" s="105" t="s">
        <v>51</v>
      </c>
      <c r="B7" s="18" t="s">
        <v>127</v>
      </c>
      <c r="C7" s="54">
        <f>SUM(16:16)</f>
        <v>20895964.759999998</v>
      </c>
    </row>
    <row r="8" spans="1:69" x14ac:dyDescent="0.25">
      <c r="A8" s="43" t="s">
        <v>52</v>
      </c>
      <c r="B8" s="18" t="s">
        <v>126</v>
      </c>
      <c r="C8" s="54">
        <f>SUM(26:26)</f>
        <v>51581899.839742273</v>
      </c>
    </row>
    <row r="9" spans="1:69" ht="12" thickBot="1" x14ac:dyDescent="0.3">
      <c r="A9" s="44">
        <v>10.971299999999999</v>
      </c>
      <c r="B9" s="19" t="s">
        <v>64</v>
      </c>
      <c r="C9" s="55">
        <f>C5+C7-C8-C11</f>
        <v>-46654515.380662277</v>
      </c>
    </row>
    <row r="10" spans="1:69" x14ac:dyDescent="0.25">
      <c r="A10" s="99" t="s">
        <v>80</v>
      </c>
      <c r="B10" s="18" t="s">
        <v>23</v>
      </c>
      <c r="C10" s="56">
        <f>C16</f>
        <v>0</v>
      </c>
    </row>
    <row r="11" spans="1:69" x14ac:dyDescent="0.25">
      <c r="A11" s="101" t="s">
        <v>87</v>
      </c>
      <c r="B11" s="18" t="s">
        <v>24</v>
      </c>
      <c r="C11" s="54">
        <f>C26</f>
        <v>21820295.230919998</v>
      </c>
    </row>
    <row r="12" spans="1:69" x14ac:dyDescent="0.25">
      <c r="A12" s="107" t="s">
        <v>88</v>
      </c>
    </row>
    <row r="13" spans="1:69" x14ac:dyDescent="0.25">
      <c r="A13" s="38"/>
      <c r="B13" s="10"/>
      <c r="C13" s="57"/>
      <c r="D13" s="10"/>
    </row>
    <row r="14" spans="1:69" s="2" customFormat="1" x14ac:dyDescent="0.25">
      <c r="A14" s="64"/>
      <c r="B14" s="65"/>
      <c r="C14" s="58" t="s">
        <v>56</v>
      </c>
      <c r="D14" s="66"/>
      <c r="E14" s="66">
        <v>46202</v>
      </c>
      <c r="F14" s="66">
        <v>46203</v>
      </c>
      <c r="G14" s="66">
        <v>46204</v>
      </c>
      <c r="H14" s="66">
        <v>46205</v>
      </c>
      <c r="I14" s="66">
        <v>46206</v>
      </c>
      <c r="J14" s="66">
        <v>46207</v>
      </c>
      <c r="K14" s="66">
        <v>46208</v>
      </c>
      <c r="L14" s="66">
        <v>46209</v>
      </c>
      <c r="M14" s="66">
        <v>46210</v>
      </c>
      <c r="N14" s="66">
        <v>46211</v>
      </c>
      <c r="O14" s="66">
        <v>46212</v>
      </c>
      <c r="P14" s="66">
        <v>46213</v>
      </c>
      <c r="Q14" s="66">
        <v>46214</v>
      </c>
      <c r="R14" s="66">
        <v>46215</v>
      </c>
      <c r="S14" s="66">
        <v>46216</v>
      </c>
      <c r="T14" s="66">
        <v>46217</v>
      </c>
      <c r="U14" s="66">
        <v>46218</v>
      </c>
      <c r="V14" s="66">
        <v>46219</v>
      </c>
      <c r="W14" s="66">
        <v>46220</v>
      </c>
      <c r="X14" s="66">
        <v>46221</v>
      </c>
      <c r="Y14" s="66">
        <v>46222</v>
      </c>
      <c r="Z14" s="66">
        <v>46223</v>
      </c>
      <c r="AA14" s="66">
        <v>46224</v>
      </c>
      <c r="AB14" s="66">
        <v>46225</v>
      </c>
      <c r="AC14" s="66">
        <v>46226</v>
      </c>
      <c r="AD14" s="66">
        <v>46227</v>
      </c>
      <c r="AE14" s="66">
        <v>46228</v>
      </c>
      <c r="AF14" s="66">
        <v>46229</v>
      </c>
      <c r="AG14" s="66">
        <v>46230</v>
      </c>
      <c r="AH14" s="66">
        <v>46231</v>
      </c>
      <c r="AI14" s="66">
        <v>46232</v>
      </c>
      <c r="AJ14" s="66">
        <v>46233</v>
      </c>
      <c r="AK14" s="66">
        <v>46234</v>
      </c>
      <c r="AL14" s="66">
        <v>46235</v>
      </c>
      <c r="AM14" s="66">
        <v>46236</v>
      </c>
      <c r="AN14" s="66">
        <v>46237</v>
      </c>
      <c r="AO14" s="66">
        <v>46238</v>
      </c>
      <c r="AP14" s="66">
        <v>46239</v>
      </c>
      <c r="AQ14" s="66">
        <v>46240</v>
      </c>
      <c r="AR14" s="66">
        <v>46241</v>
      </c>
      <c r="AS14" s="66">
        <v>46242</v>
      </c>
      <c r="AT14" s="66">
        <v>46243</v>
      </c>
      <c r="AU14" s="66">
        <v>46244</v>
      </c>
      <c r="AV14" s="66">
        <v>46245</v>
      </c>
      <c r="AW14" s="66">
        <v>46246</v>
      </c>
      <c r="AX14" s="66">
        <v>46247</v>
      </c>
      <c r="AY14" s="66">
        <v>46248</v>
      </c>
      <c r="AZ14" s="66">
        <v>46249</v>
      </c>
      <c r="BA14" s="66">
        <v>46250</v>
      </c>
      <c r="BB14" s="66">
        <v>46251</v>
      </c>
      <c r="BC14" s="66">
        <v>46252</v>
      </c>
      <c r="BD14" s="66">
        <v>46253</v>
      </c>
      <c r="BE14" s="66">
        <v>46254</v>
      </c>
      <c r="BF14" s="66">
        <v>46255</v>
      </c>
      <c r="BG14" s="66">
        <v>46256</v>
      </c>
      <c r="BH14" s="66">
        <v>46257</v>
      </c>
      <c r="BI14" s="66">
        <v>46258</v>
      </c>
      <c r="BJ14" s="66">
        <v>46259</v>
      </c>
      <c r="BK14" s="66">
        <v>46260</v>
      </c>
      <c r="BL14" s="66">
        <v>46261</v>
      </c>
      <c r="BM14" s="66">
        <v>46262</v>
      </c>
      <c r="BN14" s="66">
        <v>46263</v>
      </c>
      <c r="BO14" s="66">
        <v>46264</v>
      </c>
      <c r="BP14" s="66">
        <v>46265</v>
      </c>
      <c r="BQ14" s="66">
        <v>46266</v>
      </c>
    </row>
    <row r="15" spans="1:69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</row>
    <row r="16" spans="1:69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M16" si="0">SUM(E17:E25)</f>
        <v>2000000</v>
      </c>
      <c r="F16" s="29">
        <f t="shared" si="0"/>
        <v>1500000</v>
      </c>
      <c r="G16" s="29">
        <f t="shared" si="0"/>
        <v>1000000</v>
      </c>
      <c r="H16" s="29">
        <f t="shared" si="0"/>
        <v>0</v>
      </c>
      <c r="I16" s="29">
        <f t="shared" si="0"/>
        <v>0</v>
      </c>
      <c r="J16" s="135">
        <f t="shared" si="0"/>
        <v>0</v>
      </c>
      <c r="K16" s="135">
        <f t="shared" si="0"/>
        <v>0</v>
      </c>
      <c r="L16" s="29">
        <f t="shared" si="0"/>
        <v>2000000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29">
        <f t="shared" si="0"/>
        <v>0</v>
      </c>
      <c r="Q16" s="135">
        <f t="shared" si="0"/>
        <v>0</v>
      </c>
      <c r="R16" s="135">
        <f t="shared" si="0"/>
        <v>0</v>
      </c>
      <c r="S16" s="29">
        <f t="shared" si="0"/>
        <v>2000000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135">
        <f t="shared" si="0"/>
        <v>0</v>
      </c>
      <c r="Y16" s="135">
        <f t="shared" si="0"/>
        <v>0</v>
      </c>
      <c r="Z16" s="29">
        <f t="shared" si="0"/>
        <v>2000000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135">
        <f t="shared" si="0"/>
        <v>0</v>
      </c>
      <c r="AF16" s="135">
        <f t="shared" si="0"/>
        <v>0</v>
      </c>
      <c r="AG16" s="29">
        <f t="shared" si="0"/>
        <v>4330985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29">
        <f t="shared" si="0"/>
        <v>0</v>
      </c>
      <c r="AL16" s="135">
        <f t="shared" si="0"/>
        <v>0</v>
      </c>
      <c r="AM16" s="135">
        <f t="shared" si="0"/>
        <v>0</v>
      </c>
      <c r="AN16" s="29">
        <f t="shared" si="0"/>
        <v>3032489.88</v>
      </c>
      <c r="AO16" s="29">
        <f t="shared" si="0"/>
        <v>0</v>
      </c>
      <c r="AP16" s="29">
        <f t="shared" si="0"/>
        <v>0</v>
      </c>
      <c r="AQ16" s="29">
        <f t="shared" si="0"/>
        <v>0</v>
      </c>
      <c r="AR16" s="29">
        <f t="shared" si="0"/>
        <v>0</v>
      </c>
      <c r="AS16" s="135">
        <f t="shared" si="0"/>
        <v>0</v>
      </c>
      <c r="AT16" s="135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29">
        <f t="shared" si="0"/>
        <v>0</v>
      </c>
      <c r="AZ16" s="135">
        <f t="shared" si="0"/>
        <v>0</v>
      </c>
      <c r="BA16" s="135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29">
        <f t="shared" si="0"/>
        <v>0</v>
      </c>
      <c r="BG16" s="176">
        <f t="shared" si="0"/>
        <v>0</v>
      </c>
      <c r="BH16" s="176">
        <f t="shared" si="0"/>
        <v>0</v>
      </c>
      <c r="BI16" s="29">
        <f t="shared" si="0"/>
        <v>0</v>
      </c>
      <c r="BJ16" s="29">
        <f t="shared" si="0"/>
        <v>3032489.88</v>
      </c>
      <c r="BK16" s="29">
        <f t="shared" si="0"/>
        <v>0</v>
      </c>
      <c r="BL16" s="29">
        <f t="shared" si="0"/>
        <v>0</v>
      </c>
      <c r="BM16" s="29">
        <f t="shared" si="0"/>
        <v>0</v>
      </c>
      <c r="BN16" s="135">
        <f t="shared" ref="BN16:BQ16" si="1">SUM(BN17:BN25)</f>
        <v>0</v>
      </c>
      <c r="BO16" s="135">
        <f t="shared" si="1"/>
        <v>0</v>
      </c>
      <c r="BP16" s="29">
        <f t="shared" si="1"/>
        <v>0</v>
      </c>
      <c r="BQ16" s="29">
        <f t="shared" si="1"/>
        <v>0</v>
      </c>
    </row>
    <row r="17" spans="1:69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</row>
    <row r="18" spans="1:69" s="80" customFormat="1" x14ac:dyDescent="0.25">
      <c r="A18" s="40" t="s">
        <v>9</v>
      </c>
      <c r="B18" s="21"/>
      <c r="C18" s="59"/>
      <c r="D18" s="30"/>
      <c r="E18" s="30"/>
      <c r="F18" s="30">
        <v>1500000</v>
      </c>
      <c r="G18" s="30">
        <v>1000000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</row>
    <row r="19" spans="1:69" s="80" customFormat="1" x14ac:dyDescent="0.25">
      <c r="A19" s="40" t="s">
        <v>10</v>
      </c>
      <c r="B19" s="21"/>
      <c r="C19" s="59"/>
      <c r="D19" s="30"/>
      <c r="E19" s="30">
        <v>2000000</v>
      </c>
      <c r="F19" s="30"/>
      <c r="G19" s="30"/>
      <c r="H19" s="30"/>
      <c r="I19" s="30"/>
      <c r="J19" s="30"/>
      <c r="K19" s="30"/>
      <c r="L19" s="30">
        <v>2000000</v>
      </c>
      <c r="M19" s="30"/>
      <c r="N19" s="30"/>
      <c r="O19" s="30"/>
      <c r="P19" s="30"/>
      <c r="Q19" s="30"/>
      <c r="R19" s="30"/>
      <c r="S19" s="30">
        <v>2000000</v>
      </c>
      <c r="T19" s="30"/>
      <c r="U19" s="30"/>
      <c r="V19" s="30"/>
      <c r="W19" s="30"/>
      <c r="X19" s="30"/>
      <c r="Y19" s="30"/>
      <c r="Z19" s="30">
        <v>2000000</v>
      </c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</row>
    <row r="20" spans="1:69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E20" s="30"/>
      <c r="AF20" s="30"/>
      <c r="AG20" s="30">
        <v>4330985</v>
      </c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</row>
    <row r="21" spans="1:69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</row>
    <row r="22" spans="1:69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</row>
    <row r="23" spans="1:69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</row>
    <row r="24" spans="1:69" s="80" customFormat="1" x14ac:dyDescent="0.25">
      <c r="A24" s="40" t="s">
        <v>13</v>
      </c>
      <c r="B24" s="21"/>
      <c r="C24" s="59"/>
      <c r="D24" s="30"/>
      <c r="F24" s="30"/>
      <c r="G24" s="30"/>
      <c r="H24" s="30"/>
      <c r="I24" s="30"/>
      <c r="J24" s="30"/>
      <c r="K24" s="30"/>
      <c r="L24" s="30"/>
      <c r="M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165">
        <f>35600*A3</f>
        <v>3032489.88</v>
      </c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>
        <f>35600*A3</f>
        <v>3032489.88</v>
      </c>
      <c r="BK24" s="30"/>
      <c r="BL24" s="30"/>
      <c r="BM24" s="30"/>
      <c r="BN24" s="30"/>
      <c r="BO24" s="30"/>
      <c r="BP24" s="30"/>
      <c r="BQ24" s="30"/>
    </row>
    <row r="25" spans="1:69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</row>
    <row r="26" spans="1:69" s="4" customFormat="1" x14ac:dyDescent="0.2">
      <c r="A26" s="41" t="s">
        <v>1</v>
      </c>
      <c r="B26" s="22"/>
      <c r="C26" s="34">
        <f>SUM(C28:C73)</f>
        <v>21820295.230919998</v>
      </c>
      <c r="D26" s="34"/>
      <c r="E26" s="34">
        <f t="shared" ref="E26:BM26" si="2">SUM(E27:E74)</f>
        <v>9728658.9333333336</v>
      </c>
      <c r="F26" s="34">
        <f t="shared" si="2"/>
        <v>1160447.43022</v>
      </c>
      <c r="G26" s="34">
        <f t="shared" si="2"/>
        <v>625428.12883333326</v>
      </c>
      <c r="H26" s="34">
        <f t="shared" si="2"/>
        <v>1063638.4135533334</v>
      </c>
      <c r="I26" s="34">
        <f t="shared" si="2"/>
        <v>520885.81250181817</v>
      </c>
      <c r="J26" s="34">
        <f t="shared" si="2"/>
        <v>0</v>
      </c>
      <c r="K26" s="34">
        <f t="shared" si="2"/>
        <v>12000</v>
      </c>
      <c r="L26" s="34">
        <f t="shared" si="2"/>
        <v>430583.65341090912</v>
      </c>
      <c r="M26" s="34">
        <f t="shared" si="2"/>
        <v>870721.92670181813</v>
      </c>
      <c r="N26" s="34">
        <f t="shared" si="2"/>
        <v>919637.4236286364</v>
      </c>
      <c r="O26" s="34">
        <f t="shared" si="2"/>
        <v>521221.92670181819</v>
      </c>
      <c r="P26" s="34">
        <f t="shared" si="2"/>
        <v>1008491.2996969697</v>
      </c>
      <c r="Q26" s="34">
        <f t="shared" si="2"/>
        <v>0</v>
      </c>
      <c r="R26" s="34">
        <f t="shared" si="2"/>
        <v>0</v>
      </c>
      <c r="S26" s="34">
        <f t="shared" si="2"/>
        <v>2176153.1085200002</v>
      </c>
      <c r="T26" s="34">
        <f t="shared" si="2"/>
        <v>383352.18238181819</v>
      </c>
      <c r="U26" s="34">
        <f t="shared" si="2"/>
        <v>107956.33333333334</v>
      </c>
      <c r="V26" s="34">
        <f t="shared" si="2"/>
        <v>268618.57078863634</v>
      </c>
      <c r="W26" s="34">
        <f t="shared" si="2"/>
        <v>556395.57510863629</v>
      </c>
      <c r="X26" s="34">
        <f t="shared" si="2"/>
        <v>0</v>
      </c>
      <c r="Y26" s="34">
        <f t="shared" si="2"/>
        <v>0</v>
      </c>
      <c r="Z26" s="34">
        <f t="shared" si="2"/>
        <v>1216290.5707886363</v>
      </c>
      <c r="AA26" s="34">
        <f t="shared" si="2"/>
        <v>883188.57078863634</v>
      </c>
      <c r="AB26" s="34">
        <f t="shared" si="2"/>
        <v>314865.31510863634</v>
      </c>
      <c r="AC26" s="34">
        <f t="shared" si="2"/>
        <v>736553.93333333335</v>
      </c>
      <c r="AD26" s="34">
        <f t="shared" si="2"/>
        <v>217488.92453999998</v>
      </c>
      <c r="AE26" s="34">
        <f t="shared" si="2"/>
        <v>350000</v>
      </c>
      <c r="AF26" s="34">
        <f t="shared" si="2"/>
        <v>0</v>
      </c>
      <c r="AG26" s="34">
        <f t="shared" si="2"/>
        <v>4101165.3151086364</v>
      </c>
      <c r="AH26" s="34">
        <f t="shared" si="2"/>
        <v>0</v>
      </c>
      <c r="AI26" s="34">
        <f t="shared" si="2"/>
        <v>159238.36043999999</v>
      </c>
      <c r="AJ26" s="34">
        <f t="shared" si="2"/>
        <v>0</v>
      </c>
      <c r="AK26" s="34">
        <f t="shared" si="2"/>
        <v>682560</v>
      </c>
      <c r="AL26" s="34">
        <f t="shared" si="2"/>
        <v>0</v>
      </c>
      <c r="AM26" s="34">
        <f t="shared" si="2"/>
        <v>0</v>
      </c>
      <c r="AN26" s="34">
        <f t="shared" si="2"/>
        <v>746062.9</v>
      </c>
      <c r="AO26" s="34">
        <f t="shared" si="2"/>
        <v>0</v>
      </c>
      <c r="AP26" s="34">
        <f t="shared" si="2"/>
        <v>0</v>
      </c>
      <c r="AQ26" s="34">
        <f t="shared" si="2"/>
        <v>0</v>
      </c>
      <c r="AR26" s="34">
        <f t="shared" si="2"/>
        <v>0</v>
      </c>
      <c r="AS26" s="34">
        <f t="shared" si="2"/>
        <v>0</v>
      </c>
      <c r="AT26" s="34">
        <f t="shared" si="2"/>
        <v>0</v>
      </c>
      <c r="AU26" s="34">
        <f t="shared" si="2"/>
        <v>0</v>
      </c>
      <c r="AV26" s="34">
        <f t="shared" si="2"/>
        <v>0</v>
      </c>
      <c r="AW26" s="34">
        <f t="shared" si="2"/>
        <v>0</v>
      </c>
      <c r="AX26" s="34">
        <f t="shared" si="2"/>
        <v>0</v>
      </c>
      <c r="AY26" s="34">
        <f t="shared" si="2"/>
        <v>0</v>
      </c>
      <c r="AZ26" s="34">
        <f t="shared" si="2"/>
        <v>0</v>
      </c>
      <c r="BA26" s="34">
        <f t="shared" si="2"/>
        <v>0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ref="BN26:BQ26" si="3">SUM(BN27:BN74)</f>
        <v>0</v>
      </c>
      <c r="BO26" s="34">
        <f t="shared" si="3"/>
        <v>0</v>
      </c>
      <c r="BP26" s="34">
        <f t="shared" si="3"/>
        <v>0</v>
      </c>
      <c r="BQ26" s="34">
        <f t="shared" si="3"/>
        <v>0</v>
      </c>
    </row>
    <row r="27" spans="1:69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</row>
    <row r="28" spans="1:69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</row>
    <row r="29" spans="1:69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</row>
    <row r="30" spans="1:69" s="1" customFormat="1" x14ac:dyDescent="0.2">
      <c r="A30" s="36" t="s">
        <v>2</v>
      </c>
      <c r="B30" s="23" t="s">
        <v>5</v>
      </c>
      <c r="C30" s="60"/>
      <c r="D30" s="24"/>
      <c r="E30" s="24">
        <f>8399365/3</f>
        <v>2799788.3333333335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</row>
    <row r="31" spans="1:69" s="1" customFormat="1" x14ac:dyDescent="0.2">
      <c r="A31" s="36" t="s">
        <v>2</v>
      </c>
      <c r="B31" s="23" t="s">
        <v>6</v>
      </c>
      <c r="C31" s="60"/>
      <c r="D31" s="24"/>
      <c r="E31" s="90">
        <f>291375+137118</f>
        <v>428493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</row>
    <row r="32" spans="1:69" s="1" customFormat="1" x14ac:dyDescent="0.2">
      <c r="A32" s="36" t="s">
        <v>7</v>
      </c>
      <c r="B32" s="23" t="s">
        <v>8</v>
      </c>
      <c r="C32" s="60"/>
      <c r="D32" s="24"/>
      <c r="F32" s="24">
        <v>480520</v>
      </c>
      <c r="G32" s="24"/>
      <c r="H32" s="24"/>
      <c r="I32" s="24"/>
      <c r="J32" s="24"/>
      <c r="K32" s="24"/>
      <c r="L32" s="24"/>
      <c r="M32" s="24"/>
      <c r="N32" s="24"/>
      <c r="O32" s="24"/>
      <c r="P32" s="24">
        <v>360000</v>
      </c>
      <c r="Q32" s="24"/>
      <c r="R32" s="24"/>
      <c r="S32" s="24"/>
      <c r="T32" s="24"/>
      <c r="U32" s="24"/>
      <c r="V32" s="24"/>
      <c r="W32" s="24"/>
      <c r="X32" s="24"/>
      <c r="Y32" s="24"/>
      <c r="Z32" s="24">
        <v>300000</v>
      </c>
      <c r="AA32" s="24"/>
      <c r="AB32" s="24"/>
      <c r="AC32" s="24"/>
      <c r="AD32" s="24"/>
      <c r="AE32" s="24">
        <v>350000</v>
      </c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</row>
    <row r="33" spans="1:69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>
        <v>300000</v>
      </c>
      <c r="N33" s="24"/>
      <c r="O33" s="24"/>
      <c r="P33" s="24"/>
      <c r="Q33" s="24"/>
      <c r="R33" s="24"/>
      <c r="S33" s="24">
        <v>271506</v>
      </c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</row>
    <row r="34" spans="1:69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</row>
    <row r="35" spans="1:69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>
        <v>200113.9</v>
      </c>
      <c r="I35" s="24">
        <v>40000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>
        <v>200113.9</v>
      </c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</row>
    <row r="36" spans="1:69" s="1" customFormat="1" x14ac:dyDescent="0.2">
      <c r="A36" s="36" t="s">
        <v>53</v>
      </c>
      <c r="B36" s="23"/>
      <c r="C36" s="60"/>
      <c r="D36" s="24"/>
      <c r="E36" s="24"/>
      <c r="F36" s="24"/>
      <c r="G36" s="24"/>
      <c r="H36" s="24">
        <v>545949</v>
      </c>
      <c r="I36" s="24"/>
      <c r="J36" s="24"/>
      <c r="K36" s="24"/>
      <c r="L36" s="24">
        <v>100000</v>
      </c>
      <c r="M36" s="24"/>
      <c r="N36" s="24">
        <v>100000</v>
      </c>
      <c r="O36" s="24"/>
      <c r="P36" s="24">
        <v>100000</v>
      </c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>
        <v>545949</v>
      </c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</row>
    <row r="37" spans="1:69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 s="71" customFormat="1" x14ac:dyDescent="0.2">
      <c r="A38" s="69" t="s">
        <v>14</v>
      </c>
      <c r="B38" s="25" t="s">
        <v>30</v>
      </c>
      <c r="C38" s="70"/>
      <c r="D38" s="24"/>
      <c r="E38" s="24"/>
      <c r="F38" s="100">
        <v>149474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</row>
    <row r="39" spans="1:69" s="71" customFormat="1" x14ac:dyDescent="0.2">
      <c r="A39" s="69" t="s">
        <v>115</v>
      </c>
      <c r="B39" s="25" t="s">
        <v>116</v>
      </c>
      <c r="C39" s="70"/>
      <c r="D39" s="24"/>
      <c r="F39" s="24"/>
      <c r="G39" s="108">
        <f>312320/10</f>
        <v>31232</v>
      </c>
      <c r="H39" s="24"/>
      <c r="I39" s="24"/>
      <c r="J39" s="24"/>
      <c r="K39" s="24"/>
      <c r="L39" s="24"/>
      <c r="M39" s="24"/>
      <c r="N39" s="108">
        <f>312320/10</f>
        <v>31232</v>
      </c>
      <c r="O39" s="24"/>
      <c r="P39" s="108">
        <v>124838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</row>
    <row r="40" spans="1:69" s="71" customFormat="1" x14ac:dyDescent="0.2">
      <c r="A40" s="69" t="s">
        <v>162</v>
      </c>
      <c r="B40" s="25"/>
      <c r="C40" s="70"/>
      <c r="D40" s="24"/>
      <c r="F40" s="100">
        <v>124000</v>
      </c>
      <c r="G40" s="108"/>
      <c r="H40" s="24"/>
      <c r="I40" s="24"/>
      <c r="J40" s="24"/>
      <c r="K40" s="24"/>
      <c r="L40" s="24"/>
      <c r="M40" s="24"/>
      <c r="N40" s="108"/>
      <c r="O40" s="24"/>
      <c r="P40" s="108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</row>
    <row r="41" spans="1:69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100">
        <f>472500-142500-310500</f>
        <v>19500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100">
        <v>654570</v>
      </c>
      <c r="AB41" s="24"/>
      <c r="AC41" s="24"/>
      <c r="AD41" s="24"/>
      <c r="AE41" s="24"/>
      <c r="AF41" s="24"/>
      <c r="AG41" s="100">
        <v>314300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</row>
    <row r="42" spans="1:69" s="71" customFormat="1" x14ac:dyDescent="0.2">
      <c r="A42" s="69" t="s">
        <v>15</v>
      </c>
      <c r="B42" s="25" t="s">
        <v>31</v>
      </c>
      <c r="C42" s="70">
        <f>1547684-50000-50000-50000-50000-50000-50000-50000</f>
        <v>1197684</v>
      </c>
      <c r="D42" s="24"/>
      <c r="F42" s="108">
        <f t="shared" ref="F42:I42" si="4">516230/10</f>
        <v>51623</v>
      </c>
      <c r="G42" s="108">
        <f t="shared" si="4"/>
        <v>51623</v>
      </c>
      <c r="H42" s="108">
        <f t="shared" si="4"/>
        <v>51623</v>
      </c>
      <c r="I42" s="108">
        <f t="shared" si="4"/>
        <v>51623</v>
      </c>
      <c r="J42" s="24"/>
      <c r="L42" s="108">
        <f t="shared" ref="L42:P42" si="5">516230/10</f>
        <v>51623</v>
      </c>
      <c r="M42" s="108">
        <f t="shared" si="5"/>
        <v>51623</v>
      </c>
      <c r="N42" s="108">
        <f t="shared" si="5"/>
        <v>51623</v>
      </c>
      <c r="O42" s="108">
        <f t="shared" si="5"/>
        <v>51623</v>
      </c>
      <c r="P42" s="108">
        <f t="shared" si="5"/>
        <v>51623</v>
      </c>
      <c r="Q42" s="24"/>
      <c r="R42" s="24"/>
      <c r="S42" s="100">
        <v>516230</v>
      </c>
      <c r="T42" s="108">
        <f>516230/10</f>
        <v>51623</v>
      </c>
      <c r="U42" s="108">
        <f t="shared" ref="U42" si="6">516230/10</f>
        <v>51623</v>
      </c>
      <c r="V42" s="108">
        <f>516230/10</f>
        <v>51623</v>
      </c>
      <c r="W42" s="98">
        <f>515224/4+54464</f>
        <v>183270</v>
      </c>
      <c r="X42" s="24"/>
      <c r="Y42" s="24"/>
      <c r="Z42" s="100">
        <v>536085</v>
      </c>
      <c r="AA42" s="108">
        <f>516230/10</f>
        <v>51623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</row>
    <row r="43" spans="1:69" s="71" customFormat="1" x14ac:dyDescent="0.2">
      <c r="A43" s="69" t="s">
        <v>85</v>
      </c>
      <c r="B43" s="25" t="s">
        <v>47</v>
      </c>
      <c r="C43" s="70"/>
      <c r="D43" s="24"/>
      <c r="E43" s="24"/>
      <c r="F43" s="24"/>
      <c r="G43" s="100">
        <f>2997.5*A6</f>
        <v>224134.46549999999</v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</row>
    <row r="44" spans="1:69" s="71" customFormat="1" x14ac:dyDescent="0.2">
      <c r="A44" s="69" t="s">
        <v>143</v>
      </c>
      <c r="B44" s="25" t="s">
        <v>45</v>
      </c>
      <c r="C44" s="24">
        <f>188496*A9-12500*A9-12600*A9-12500*A9-10000*A9</f>
        <v>1545812.2848</v>
      </c>
      <c r="D44" s="24"/>
      <c r="E44" s="24"/>
      <c r="F44" s="24"/>
      <c r="G44" s="24"/>
      <c r="H44" s="24"/>
      <c r="I44" s="108">
        <f t="shared" ref="I44:M44" si="7">(188496*$A$9)/15</f>
        <v>137869.74432</v>
      </c>
      <c r="J44" s="24"/>
      <c r="K44" s="24"/>
      <c r="L44" s="108">
        <f t="shared" ref="L44" si="8">(188496*$A$9)/15</f>
        <v>137869.74432</v>
      </c>
      <c r="M44" s="108">
        <f t="shared" si="7"/>
        <v>137869.74432</v>
      </c>
      <c r="N44" s="108">
        <f>((188496*$A$9)/15)*2</f>
        <v>275739.48864</v>
      </c>
      <c r="O44" s="108">
        <f>(188496*$A$9)/15</f>
        <v>137869.74432</v>
      </c>
      <c r="P44" s="108">
        <f t="shared" ref="G44:U45" si="9">507000/9</f>
        <v>56333.333333333336</v>
      </c>
      <c r="Q44" s="24"/>
      <c r="R44" s="24"/>
      <c r="S44" s="108">
        <f>(188496*$A$9)/15</f>
        <v>137869.74432</v>
      </c>
      <c r="T44" s="24"/>
      <c r="U44" s="24"/>
      <c r="V44" s="24"/>
      <c r="W44" s="108">
        <f>(188496*$A$9)/15</f>
        <v>137869.74432</v>
      </c>
      <c r="X44" s="24"/>
      <c r="Y44" s="24"/>
      <c r="Z44" s="24"/>
      <c r="AA44" s="24"/>
      <c r="AB44" s="108">
        <f t="shared" ref="AB44:AG44" si="10">(188496*$A$9)/15</f>
        <v>137869.74432</v>
      </c>
      <c r="AC44" s="24"/>
      <c r="AD44" s="108">
        <f t="shared" si="10"/>
        <v>137869.74432</v>
      </c>
      <c r="AE44" s="24"/>
      <c r="AF44" s="24"/>
      <c r="AG44" s="108">
        <f t="shared" si="10"/>
        <v>137869.74432</v>
      </c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</row>
    <row r="45" spans="1:69" s="71" customFormat="1" x14ac:dyDescent="0.2">
      <c r="A45" s="69" t="s">
        <v>120</v>
      </c>
      <c r="B45" s="25" t="s">
        <v>121</v>
      </c>
      <c r="C45" s="120">
        <f>507000+1014000-47000-56000-45000-50000-90000-50000</f>
        <v>1183000</v>
      </c>
      <c r="D45" s="24"/>
      <c r="E45" s="24"/>
      <c r="G45" s="108">
        <f t="shared" si="9"/>
        <v>56333.333333333336</v>
      </c>
      <c r="H45" s="108">
        <f t="shared" si="9"/>
        <v>56333.333333333336</v>
      </c>
      <c r="I45" s="108">
        <f t="shared" ref="I45:M45" si="11">1014000/11</f>
        <v>92181.818181818177</v>
      </c>
      <c r="J45" s="24"/>
      <c r="L45" s="108">
        <f>(1014000/11)/2</f>
        <v>46090.909090909088</v>
      </c>
      <c r="M45" s="108">
        <f t="shared" si="11"/>
        <v>92181.818181818177</v>
      </c>
      <c r="N45" s="108">
        <f>(1014000/11+88393.5*$A$9)/6</f>
        <v>176995.57078863634</v>
      </c>
      <c r="O45" s="108">
        <f t="shared" ref="O45:T45" si="12">1014000/11</f>
        <v>92181.818181818177</v>
      </c>
      <c r="P45" s="108">
        <f>(1014000/11)*2+9333.33</f>
        <v>193696.96636363634</v>
      </c>
      <c r="Q45" s="24"/>
      <c r="R45" s="24"/>
      <c r="S45" s="108">
        <v>991000</v>
      </c>
      <c r="T45" s="108">
        <f t="shared" si="12"/>
        <v>92181.818181818177</v>
      </c>
      <c r="U45" s="108">
        <f t="shared" si="9"/>
        <v>56333.333333333336</v>
      </c>
      <c r="V45" s="108">
        <f>(1014000/11+88393.5*$A$9)/6</f>
        <v>176995.57078863634</v>
      </c>
      <c r="W45" s="108">
        <f>(1014000/11+88393.5*$A$9)/6</f>
        <v>176995.57078863634</v>
      </c>
      <c r="X45" s="24"/>
      <c r="Y45" s="24"/>
      <c r="Z45" s="108">
        <f>(1014000/11+88393.5*$A$9)/6</f>
        <v>176995.57078863634</v>
      </c>
      <c r="AA45" s="108">
        <f>(1014000/11+88393.5*$A$9)/6</f>
        <v>176995.57078863634</v>
      </c>
      <c r="AB45" s="108">
        <f>(1014000/11+88393.5*$A$9)/6</f>
        <v>176995.57078863634</v>
      </c>
      <c r="AC45" s="108">
        <f>507000/9</f>
        <v>56333.333333333336</v>
      </c>
      <c r="AD45" s="160">
        <f>(52206*$A$9+2988*$A$6)/10</f>
        <v>79619.180219999995</v>
      </c>
      <c r="AE45" s="24"/>
      <c r="AF45" s="24"/>
      <c r="AG45" s="108">
        <f>(1014000/11+88393.5*$A$9)/6</f>
        <v>176995.57078863634</v>
      </c>
      <c r="AH45" s="24"/>
      <c r="AI45" s="24"/>
      <c r="AJ45" s="24"/>
      <c r="AK45" s="129">
        <v>682560</v>
      </c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</row>
    <row r="46" spans="1:69" s="73" customFormat="1" x14ac:dyDescent="0.2">
      <c r="A46" s="69" t="s">
        <v>22</v>
      </c>
      <c r="B46" s="25" t="s">
        <v>48</v>
      </c>
      <c r="C46" s="137"/>
      <c r="D46" s="72"/>
      <c r="E46" s="24"/>
      <c r="F46" s="160">
        <f t="shared" ref="F46" si="13">(52206*$A$9+2988*$A$6)/10</f>
        <v>79619.180219999995</v>
      </c>
      <c r="H46" s="160">
        <f t="shared" ref="H46" si="14">(52206*$A$9+2988*$A$6)/10</f>
        <v>79619.180219999995</v>
      </c>
      <c r="J46" s="72"/>
      <c r="K46" s="72"/>
      <c r="M46" s="160">
        <f>(109170*$A$9)/5</f>
        <v>239547.36420000001</v>
      </c>
      <c r="N46" s="160">
        <f t="shared" ref="N46:O46" si="15">(109170*$A$9)/5</f>
        <v>239547.36420000001</v>
      </c>
      <c r="O46" s="160">
        <f t="shared" si="15"/>
        <v>239547.36420000001</v>
      </c>
      <c r="P46" s="72"/>
      <c r="Q46" s="72"/>
      <c r="R46" s="72"/>
      <c r="S46" s="160">
        <f t="shared" ref="S46:T46" si="16">(109170*$A$9)/5</f>
        <v>239547.36420000001</v>
      </c>
      <c r="T46" s="160">
        <f t="shared" si="16"/>
        <v>239547.36420000001</v>
      </c>
      <c r="U46" s="72"/>
      <c r="V46" s="72"/>
      <c r="W46" s="177">
        <v>46260.26</v>
      </c>
      <c r="X46" s="72"/>
      <c r="Y46" s="72"/>
      <c r="Z46" s="72"/>
      <c r="AA46" s="72"/>
      <c r="AB46" s="72"/>
      <c r="AC46" s="178">
        <f>62000*$A$9</f>
        <v>680220.6</v>
      </c>
      <c r="AD46" s="72"/>
      <c r="AE46" s="72"/>
      <c r="AF46" s="72"/>
      <c r="AG46" s="72"/>
      <c r="AH46" s="72"/>
      <c r="AI46" s="160">
        <f>((52206*$A$9+2988*$A$6)/10)*2</f>
        <v>159238.36043999999</v>
      </c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</row>
    <row r="47" spans="1:69" s="73" customFormat="1" x14ac:dyDescent="0.2">
      <c r="A47" s="69" t="s">
        <v>108</v>
      </c>
      <c r="B47" s="25" t="s">
        <v>109</v>
      </c>
      <c r="C47" s="120"/>
      <c r="D47" s="72"/>
      <c r="E47" s="24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</row>
    <row r="48" spans="1:69" s="71" customFormat="1" x14ac:dyDescent="0.2">
      <c r="A48" s="69" t="s">
        <v>36</v>
      </c>
      <c r="B48" s="25" t="s">
        <v>37</v>
      </c>
      <c r="C48" s="130"/>
      <c r="D48" s="24"/>
      <c r="E48" s="24"/>
      <c r="F48" s="100">
        <f>350422.5/2</f>
        <v>175211.25</v>
      </c>
      <c r="G48" s="24"/>
      <c r="H48" s="24"/>
      <c r="I48" s="100">
        <f>350422.5/2</f>
        <v>175211.25</v>
      </c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</row>
    <row r="49" spans="1:69" s="71" customFormat="1" x14ac:dyDescent="0.2">
      <c r="A49" s="69" t="s">
        <v>86</v>
      </c>
      <c r="B49" s="25" t="s">
        <v>35</v>
      </c>
      <c r="C49" s="70"/>
      <c r="D49" s="77"/>
      <c r="E49" s="24"/>
      <c r="F49" s="24"/>
      <c r="G49" s="100">
        <f>2850*A6</f>
        <v>213105.33</v>
      </c>
      <c r="H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</row>
    <row r="50" spans="1:69" s="71" customFormat="1" x14ac:dyDescent="0.2">
      <c r="A50" s="69" t="s">
        <v>34</v>
      </c>
      <c r="B50" s="25"/>
      <c r="C50" s="70"/>
      <c r="D50" s="77"/>
      <c r="E50" s="24"/>
      <c r="F50" s="24"/>
      <c r="G50" s="100"/>
      <c r="H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100">
        <v>1872000</v>
      </c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</row>
    <row r="51" spans="1:69" s="71" customFormat="1" x14ac:dyDescent="0.2">
      <c r="A51" s="69" t="s">
        <v>29</v>
      </c>
      <c r="B51" s="25" t="s">
        <v>43</v>
      </c>
      <c r="C51" s="70">
        <f>439750-19750-25000-25000-25000-20000-20000-25000-50000</f>
        <v>230000</v>
      </c>
      <c r="D51" s="24"/>
      <c r="F51" s="24"/>
      <c r="G51" s="24"/>
      <c r="H51" s="24"/>
      <c r="J51" s="24"/>
      <c r="K51" s="24"/>
      <c r="L51" s="95">
        <v>95000</v>
      </c>
      <c r="M51" s="24"/>
      <c r="N51" s="95">
        <v>35000</v>
      </c>
      <c r="O51" s="24"/>
      <c r="P51" s="95">
        <v>100000</v>
      </c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</row>
    <row r="52" spans="1:69" s="71" customFormat="1" x14ac:dyDescent="0.2">
      <c r="A52" s="69" t="s">
        <v>141</v>
      </c>
      <c r="B52" s="25" t="s">
        <v>142</v>
      </c>
      <c r="C52" s="70"/>
      <c r="D52" s="24"/>
      <c r="E52" s="24"/>
      <c r="F52" s="24"/>
      <c r="G52" s="28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</row>
    <row r="53" spans="1:69" s="71" customFormat="1" x14ac:dyDescent="0.2">
      <c r="A53" s="69" t="s">
        <v>159</v>
      </c>
      <c r="B53" s="25" t="s">
        <v>160</v>
      </c>
      <c r="C53" s="7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</row>
    <row r="54" spans="1:69" s="71" customFormat="1" x14ac:dyDescent="0.2">
      <c r="A54" s="69" t="s">
        <v>124</v>
      </c>
      <c r="B54" s="25" t="s">
        <v>125</v>
      </c>
      <c r="C54" s="70"/>
      <c r="D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129">
        <v>203210</v>
      </c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</row>
    <row r="55" spans="1:69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</row>
    <row r="56" spans="1:69" s="71" customFormat="1" x14ac:dyDescent="0.2">
      <c r="A56" s="69" t="s">
        <v>90</v>
      </c>
      <c r="B56" s="25" t="s">
        <v>91</v>
      </c>
      <c r="C56" s="70">
        <f>912000+1012000-100000-100000-75000-75000-75000-75000-75000-75000-75000-75000-75000-75000-75000-75000-100000-75000-100000-100000-100000</f>
        <v>349000</v>
      </c>
      <c r="D56" s="77"/>
      <c r="E56" s="24"/>
      <c r="F56" s="129">
        <v>100000</v>
      </c>
      <c r="G56" s="129">
        <v>49000</v>
      </c>
      <c r="H56" s="129">
        <v>100000</v>
      </c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</row>
    <row r="57" spans="1:69" s="71" customFormat="1" x14ac:dyDescent="0.2">
      <c r="A57" s="69" t="s">
        <v>138</v>
      </c>
      <c r="B57" s="25" t="s">
        <v>136</v>
      </c>
      <c r="C57" s="70"/>
      <c r="D57" s="77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</row>
    <row r="58" spans="1:69" s="71" customFormat="1" x14ac:dyDescent="0.2">
      <c r="A58" s="69" t="s">
        <v>156</v>
      </c>
      <c r="B58" s="25" t="s">
        <v>157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</row>
    <row r="59" spans="1:69" s="71" customFormat="1" ht="12.75" customHeight="1" x14ac:dyDescent="0.2">
      <c r="A59" s="151" t="s">
        <v>139</v>
      </c>
      <c r="B59" s="152" t="s">
        <v>161</v>
      </c>
      <c r="C59" s="70">
        <f>2772000-150000-200000-150000</f>
        <v>2272000</v>
      </c>
      <c r="D59" s="77"/>
      <c r="E59" s="100">
        <v>339500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</row>
    <row r="60" spans="1:69" s="71" customFormat="1" x14ac:dyDescent="0.2">
      <c r="A60" s="69" t="s">
        <v>128</v>
      </c>
      <c r="B60" s="25" t="s">
        <v>129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</row>
    <row r="61" spans="1:69" s="71" customFormat="1" x14ac:dyDescent="0.2">
      <c r="A61" s="69" t="s">
        <v>154</v>
      </c>
      <c r="B61" s="25" t="s">
        <v>153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</row>
    <row r="62" spans="1:69" s="71" customFormat="1" x14ac:dyDescent="0.2">
      <c r="A62" s="69" t="s">
        <v>158</v>
      </c>
      <c r="B62" s="25"/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</row>
    <row r="63" spans="1:69" s="71" customFormat="1" x14ac:dyDescent="0.2">
      <c r="A63" s="69" t="s">
        <v>38</v>
      </c>
      <c r="B63" s="25" t="s">
        <v>39</v>
      </c>
      <c r="C63" s="70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</row>
    <row r="64" spans="1:69" s="71" customFormat="1" x14ac:dyDescent="0.2">
      <c r="A64" s="69" t="s">
        <v>74</v>
      </c>
      <c r="B64" s="25" t="s">
        <v>131</v>
      </c>
      <c r="C64" s="70"/>
      <c r="D64" s="24"/>
      <c r="F64" s="24"/>
      <c r="G64" s="24"/>
      <c r="H64" s="100">
        <v>30000</v>
      </c>
      <c r="I64" s="100">
        <f>7500+16500</f>
        <v>24000</v>
      </c>
      <c r="J64" s="24"/>
      <c r="K64" s="100">
        <v>12000</v>
      </c>
      <c r="L64" s="24"/>
      <c r="M64" s="100">
        <v>30000</v>
      </c>
      <c r="N64" s="100">
        <v>9500</v>
      </c>
      <c r="O64" s="24"/>
      <c r="P64" s="100">
        <v>22000</v>
      </c>
      <c r="Q64" s="24"/>
      <c r="R64" s="24"/>
      <c r="S64" s="100">
        <v>20000</v>
      </c>
      <c r="T64" s="24"/>
      <c r="U64" s="24"/>
      <c r="V64" s="143">
        <v>40000</v>
      </c>
      <c r="W64" s="143">
        <v>12000</v>
      </c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</row>
    <row r="65" spans="1:69" s="71" customFormat="1" x14ac:dyDescent="0.2">
      <c r="A65" s="69" t="s">
        <v>74</v>
      </c>
      <c r="B65" s="25" t="s">
        <v>150</v>
      </c>
      <c r="C65" s="164">
        <v>3567700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</row>
    <row r="66" spans="1:69" s="73" customFormat="1" x14ac:dyDescent="0.2">
      <c r="A66" s="78"/>
      <c r="B66" s="79"/>
      <c r="C66" s="75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  <c r="BP66" s="72"/>
      <c r="BQ66" s="72"/>
    </row>
    <row r="67" spans="1:69" s="94" customFormat="1" ht="33.75" x14ac:dyDescent="0.2">
      <c r="A67" s="91" t="s">
        <v>60</v>
      </c>
      <c r="B67" s="92" t="s">
        <v>58</v>
      </c>
      <c r="C67" s="93">
        <v>248639.70012000017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3"/>
      <c r="BK67" s="93"/>
      <c r="BL67" s="93"/>
      <c r="BM67" s="93"/>
      <c r="BN67" s="93"/>
      <c r="BO67" s="93"/>
      <c r="BP67" s="93"/>
      <c r="BQ67" s="93"/>
    </row>
    <row r="68" spans="1:69" s="5" customFormat="1" x14ac:dyDescent="0.2">
      <c r="A68" s="42"/>
      <c r="B68" s="12"/>
      <c r="C68" s="68"/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</row>
    <row r="69" spans="1:69" s="5" customFormat="1" x14ac:dyDescent="0.2">
      <c r="A69" s="36" t="s">
        <v>49</v>
      </c>
      <c r="B69" s="12"/>
      <c r="C69" s="13"/>
      <c r="D69" s="26"/>
      <c r="E69" s="13">
        <f>1400000+7400*A3</f>
        <v>2030349.02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</row>
    <row r="70" spans="1:69" s="5" customFormat="1" x14ac:dyDescent="0.2">
      <c r="A70" s="36" t="s">
        <v>57</v>
      </c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E70" s="13"/>
      <c r="AF70" s="13"/>
      <c r="AG70" s="168">
        <v>1600000</v>
      </c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</row>
    <row r="71" spans="1:69" s="5" customFormat="1" x14ac:dyDescent="0.2">
      <c r="A71" s="36" t="s">
        <v>61</v>
      </c>
      <c r="B71" s="12"/>
      <c r="C71" s="13">
        <v>112000</v>
      </c>
      <c r="D71" s="26"/>
      <c r="E71" s="13">
        <f>4600*$A$3</f>
        <v>391838.58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</row>
    <row r="72" spans="1:69" s="5" customFormat="1" x14ac:dyDescent="0.2">
      <c r="A72" s="42" t="s">
        <v>151</v>
      </c>
      <c r="B72" s="12"/>
      <c r="C72" s="68">
        <f>(10000*10)*A6</f>
        <v>7477379.9999999991</v>
      </c>
      <c r="D72" s="26"/>
      <c r="E72" s="126">
        <f>C72/2</f>
        <v>3738689.9999999995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</row>
    <row r="73" spans="1:69" s="5" customFormat="1" x14ac:dyDescent="0.2">
      <c r="A73" s="36" t="s">
        <v>72</v>
      </c>
      <c r="B73" s="27" t="s">
        <v>73</v>
      </c>
      <c r="C73" s="62">
        <v>3637079.2460000003</v>
      </c>
      <c r="D73" s="35"/>
      <c r="E73" s="28"/>
      <c r="F73" s="28"/>
      <c r="G73" s="28"/>
      <c r="H73" s="28"/>
      <c r="I73" s="13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1:69" s="5" customFormat="1" x14ac:dyDescent="0.2">
      <c r="A74" s="42"/>
      <c r="B74" s="12"/>
      <c r="C74" s="61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</row>
    <row r="75" spans="1:69" s="84" customFormat="1" x14ac:dyDescent="0.2">
      <c r="A75" s="81" t="s">
        <v>66</v>
      </c>
      <c r="B75" s="82"/>
      <c r="C75" s="63"/>
      <c r="D75" s="83"/>
      <c r="E75" s="83">
        <f>$C$5+E16-E26</f>
        <v>-1876944.0033333329</v>
      </c>
      <c r="F75" s="83">
        <f t="shared" ref="F75:BN75" si="17">E75+F16-F26</f>
        <v>-1537391.4335533329</v>
      </c>
      <c r="G75" s="83">
        <f t="shared" si="17"/>
        <v>-1162819.5623866662</v>
      </c>
      <c r="H75" s="83">
        <f t="shared" si="17"/>
        <v>-2226457.9759399993</v>
      </c>
      <c r="I75" s="83">
        <f t="shared" si="17"/>
        <v>-2747343.7884418173</v>
      </c>
      <c r="J75" s="83">
        <f t="shared" si="17"/>
        <v>-2747343.7884418173</v>
      </c>
      <c r="K75" s="83">
        <f t="shared" si="17"/>
        <v>-2759343.7884418173</v>
      </c>
      <c r="L75" s="83">
        <f t="shared" si="17"/>
        <v>-1189927.4418527265</v>
      </c>
      <c r="M75" s="83">
        <f t="shared" si="17"/>
        <v>-2060649.3685545446</v>
      </c>
      <c r="N75" s="83">
        <f t="shared" si="17"/>
        <v>-2980286.7921831813</v>
      </c>
      <c r="O75" s="83">
        <f t="shared" si="17"/>
        <v>-3501508.7188849994</v>
      </c>
      <c r="P75" s="83">
        <f t="shared" si="17"/>
        <v>-4510000.0185819687</v>
      </c>
      <c r="Q75" s="83">
        <f t="shared" si="17"/>
        <v>-4510000.0185819687</v>
      </c>
      <c r="R75" s="83">
        <f t="shared" si="17"/>
        <v>-4510000.0185819687</v>
      </c>
      <c r="S75" s="83">
        <f t="shared" si="17"/>
        <v>-4686153.127101969</v>
      </c>
      <c r="T75" s="83">
        <f t="shared" si="17"/>
        <v>-5069505.309483787</v>
      </c>
      <c r="U75" s="83">
        <f t="shared" si="17"/>
        <v>-5177461.6428171201</v>
      </c>
      <c r="V75" s="83">
        <f t="shared" si="17"/>
        <v>-5446080.2136057559</v>
      </c>
      <c r="W75" s="83">
        <f t="shared" si="17"/>
        <v>-6002475.7887143921</v>
      </c>
      <c r="X75" s="83">
        <f t="shared" si="17"/>
        <v>-6002475.7887143921</v>
      </c>
      <c r="Y75" s="83">
        <f t="shared" si="17"/>
        <v>-6002475.7887143921</v>
      </c>
      <c r="Z75" s="83">
        <f t="shared" si="17"/>
        <v>-5218766.3595030289</v>
      </c>
      <c r="AA75" s="83">
        <f t="shared" si="17"/>
        <v>-6101954.9302916657</v>
      </c>
      <c r="AB75" s="83">
        <f t="shared" si="17"/>
        <v>-6416820.2454003021</v>
      </c>
      <c r="AC75" s="83">
        <f t="shared" si="17"/>
        <v>-7153374.1787336357</v>
      </c>
      <c r="AD75" s="83">
        <f t="shared" si="17"/>
        <v>-7370863.1032736357</v>
      </c>
      <c r="AE75" s="83">
        <f t="shared" si="17"/>
        <v>-7720863.1032736357</v>
      </c>
      <c r="AF75" s="83">
        <f t="shared" si="17"/>
        <v>-7720863.1032736357</v>
      </c>
      <c r="AG75" s="83">
        <f t="shared" si="17"/>
        <v>-7491043.4183822721</v>
      </c>
      <c r="AH75" s="83">
        <f t="shared" si="17"/>
        <v>-7491043.4183822721</v>
      </c>
      <c r="AI75" s="83">
        <f t="shared" si="17"/>
        <v>-7650281.7788222721</v>
      </c>
      <c r="AJ75" s="83">
        <f t="shared" si="17"/>
        <v>-7650281.7788222721</v>
      </c>
      <c r="AK75" s="83">
        <f t="shared" si="17"/>
        <v>-8332841.7788222721</v>
      </c>
      <c r="AL75" s="83">
        <f t="shared" si="17"/>
        <v>-8332841.7788222721</v>
      </c>
      <c r="AM75" s="83">
        <f t="shared" si="17"/>
        <v>-8332841.7788222721</v>
      </c>
      <c r="AN75" s="83">
        <f t="shared" si="17"/>
        <v>-6046414.7988222726</v>
      </c>
      <c r="AO75" s="83">
        <f t="shared" si="17"/>
        <v>-6046414.7988222726</v>
      </c>
      <c r="AP75" s="83">
        <f t="shared" si="17"/>
        <v>-6046414.7988222726</v>
      </c>
      <c r="AQ75" s="83">
        <f t="shared" si="17"/>
        <v>-6046414.7988222726</v>
      </c>
      <c r="AR75" s="83">
        <f t="shared" si="17"/>
        <v>-6046414.7988222726</v>
      </c>
      <c r="AS75" s="83">
        <f t="shared" si="17"/>
        <v>-6046414.7988222726</v>
      </c>
      <c r="AT75" s="83">
        <f t="shared" si="17"/>
        <v>-6046414.7988222726</v>
      </c>
      <c r="AU75" s="83">
        <f t="shared" si="17"/>
        <v>-6046414.7988222726</v>
      </c>
      <c r="AV75" s="83">
        <f t="shared" si="17"/>
        <v>-6046414.7988222726</v>
      </c>
      <c r="AW75" s="83">
        <f t="shared" si="17"/>
        <v>-6046414.7988222726</v>
      </c>
      <c r="AX75" s="83">
        <f t="shared" si="17"/>
        <v>-6046414.7988222726</v>
      </c>
      <c r="AY75" s="83">
        <f t="shared" si="17"/>
        <v>-6046414.7988222726</v>
      </c>
      <c r="AZ75" s="83">
        <f t="shared" si="17"/>
        <v>-6046414.7988222726</v>
      </c>
      <c r="BA75" s="83">
        <f t="shared" si="17"/>
        <v>-6046414.7988222726</v>
      </c>
      <c r="BB75" s="83">
        <f t="shared" si="17"/>
        <v>-6046414.7988222726</v>
      </c>
      <c r="BC75" s="83">
        <f t="shared" si="17"/>
        <v>-6046414.7988222726</v>
      </c>
      <c r="BD75" s="83">
        <f t="shared" si="17"/>
        <v>-6046414.7988222726</v>
      </c>
      <c r="BE75" s="83">
        <f t="shared" si="17"/>
        <v>-6046414.7988222726</v>
      </c>
      <c r="BF75" s="83">
        <f t="shared" si="17"/>
        <v>-6046414.7988222726</v>
      </c>
      <c r="BG75" s="83">
        <f t="shared" si="17"/>
        <v>-6046414.7988222726</v>
      </c>
      <c r="BH75" s="83">
        <f t="shared" si="17"/>
        <v>-6046414.7988222726</v>
      </c>
      <c r="BI75" s="83">
        <f t="shared" si="17"/>
        <v>-6046414.7988222726</v>
      </c>
      <c r="BJ75" s="83">
        <f t="shared" si="17"/>
        <v>-3013924.9188222727</v>
      </c>
      <c r="BK75" s="83">
        <f t="shared" si="17"/>
        <v>-3013924.9188222727</v>
      </c>
      <c r="BL75" s="83">
        <f t="shared" si="17"/>
        <v>-3013924.9188222727</v>
      </c>
      <c r="BM75" s="83">
        <f t="shared" si="17"/>
        <v>-3013924.9188222727</v>
      </c>
      <c r="BN75" s="83">
        <f t="shared" si="17"/>
        <v>-3013924.9188222727</v>
      </c>
      <c r="BO75" s="83">
        <f t="shared" ref="BO75:BQ75" si="18">BN75+BO16-BO26</f>
        <v>-3013924.9188222727</v>
      </c>
      <c r="BP75" s="83">
        <f t="shared" si="18"/>
        <v>-3013924.9188222727</v>
      </c>
      <c r="BQ75" s="83">
        <f t="shared" si="18"/>
        <v>-3013924.9188222727</v>
      </c>
    </row>
    <row r="77" spans="1:69" s="5" customFormat="1" x14ac:dyDescent="0.2">
      <c r="A77" s="42"/>
      <c r="B77" s="12"/>
      <c r="C77" s="68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</row>
    <row r="78" spans="1:69" s="89" customFormat="1" x14ac:dyDescent="0.2">
      <c r="A78" s="85" t="s">
        <v>65</v>
      </c>
      <c r="B78" s="86"/>
      <c r="C78" s="87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</row>
    <row r="79" spans="1:69" s="5" customFormat="1" ht="22.5" x14ac:dyDescent="0.2">
      <c r="A79" s="36" t="s">
        <v>67</v>
      </c>
      <c r="B79" s="27" t="s">
        <v>68</v>
      </c>
      <c r="C79" s="68">
        <v>3221210.79</v>
      </c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</row>
    <row r="80" spans="1:69" s="5" customFormat="1" x14ac:dyDescent="0.2">
      <c r="A80" s="36" t="s">
        <v>69</v>
      </c>
      <c r="B80" s="27" t="s">
        <v>70</v>
      </c>
      <c r="C80" s="68">
        <v>9814338.4000000004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</row>
    <row r="81" spans="1:69" s="5" customFormat="1" x14ac:dyDescent="0.2">
      <c r="A81" s="36"/>
      <c r="B81" s="27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</row>
    <row r="82" spans="1:69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</row>
    <row r="84" spans="1:69" x14ac:dyDescent="0.25">
      <c r="B84" s="14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T83"/>
  <sheetViews>
    <sheetView workbookViewId="0">
      <selection sqref="A1:XFD1048576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6" width="10.85546875" style="3" customWidth="1"/>
    <col min="7" max="7" width="12.85546875" style="3" customWidth="1"/>
    <col min="8" max="8" width="12" style="3" customWidth="1"/>
    <col min="9" max="9" width="11.140625" style="3" customWidth="1"/>
    <col min="10" max="10" width="12.7109375" style="3" customWidth="1"/>
    <col min="11" max="11" width="11.42578125" style="3" customWidth="1"/>
    <col min="12" max="12" width="11.7109375" style="3" customWidth="1"/>
    <col min="13" max="13" width="10.5703125" style="3" customWidth="1"/>
    <col min="14" max="14" width="12" style="3" customWidth="1"/>
    <col min="15" max="15" width="11.140625" style="3" customWidth="1"/>
    <col min="16" max="16" width="10.42578125" style="3" customWidth="1"/>
    <col min="17" max="17" width="14" style="3" customWidth="1"/>
    <col min="18" max="18" width="10.42578125" style="3" customWidth="1"/>
    <col min="19" max="19" width="12.5703125" style="3" customWidth="1"/>
    <col min="20" max="20" width="13.28515625" style="3" customWidth="1"/>
    <col min="21" max="21" width="12.140625" style="3" customWidth="1"/>
    <col min="22" max="22" width="12.42578125" style="3" customWidth="1"/>
    <col min="23" max="23" width="12.28515625" style="3" customWidth="1"/>
    <col min="24" max="24" width="12.7109375" style="3" customWidth="1"/>
    <col min="25" max="25" width="11.28515625" style="3" customWidth="1"/>
    <col min="26" max="26" width="11.85546875" style="3" customWidth="1"/>
    <col min="27" max="27" width="12.28515625" style="3" customWidth="1"/>
    <col min="28" max="28" width="11.140625" style="3" customWidth="1"/>
    <col min="29" max="29" width="10.5703125" style="3" customWidth="1"/>
    <col min="30" max="30" width="10.85546875" style="3" customWidth="1"/>
    <col min="31" max="31" width="12" style="3" customWidth="1"/>
    <col min="32" max="32" width="13.140625" style="3" customWidth="1"/>
    <col min="33" max="33" width="11.140625" style="3" customWidth="1"/>
    <col min="34" max="34" width="12.5703125" style="3" customWidth="1"/>
    <col min="35" max="35" width="12.140625" style="3" customWidth="1"/>
    <col min="36" max="36" width="12.42578125" style="3" customWidth="1"/>
    <col min="37" max="37" width="12" style="3" customWidth="1"/>
    <col min="38" max="38" width="14.85546875" style="3" customWidth="1"/>
    <col min="39" max="39" width="11.5703125" style="3" customWidth="1"/>
    <col min="40" max="40" width="13.7109375" style="3" customWidth="1"/>
    <col min="41" max="41" width="12.42578125" style="3" customWidth="1"/>
    <col min="42" max="42" width="10.85546875" style="3" customWidth="1"/>
    <col min="43" max="43" width="12.140625" style="3" customWidth="1"/>
    <col min="44" max="44" width="11.85546875" style="3" customWidth="1"/>
    <col min="45" max="45" width="12.7109375" style="3" customWidth="1"/>
    <col min="46" max="46" width="12.42578125" style="3" customWidth="1"/>
    <col min="47" max="47" width="11.140625" style="3" customWidth="1"/>
    <col min="48" max="48" width="11.5703125" style="3" customWidth="1"/>
    <col min="49" max="49" width="12.28515625" style="3" customWidth="1"/>
    <col min="50" max="64" width="9" style="3"/>
    <col min="65" max="65" width="10.28515625" style="3" bestFit="1" customWidth="1"/>
    <col min="66" max="16384" width="9" style="3"/>
  </cols>
  <sheetData>
    <row r="1" spans="1:72" ht="12" thickBot="1" x14ac:dyDescent="0.3"/>
    <row r="2" spans="1:72" s="1" customFormat="1" x14ac:dyDescent="0.2">
      <c r="A2" s="43" t="s">
        <v>50</v>
      </c>
      <c r="B2" s="15" t="s">
        <v>27</v>
      </c>
      <c r="C2" s="50">
        <v>6421093.9800000004</v>
      </c>
    </row>
    <row r="3" spans="1:72" s="1" customFormat="1" ht="12" thickBot="1" x14ac:dyDescent="0.25">
      <c r="A3" s="44">
        <v>85.182299999999998</v>
      </c>
      <c r="B3" s="15" t="s">
        <v>28</v>
      </c>
      <c r="C3" s="50">
        <v>10778.95</v>
      </c>
    </row>
    <row r="4" spans="1:72" s="8" customFormat="1" ht="12" thickBot="1" x14ac:dyDescent="0.25">
      <c r="A4" s="45"/>
      <c r="B4" s="15" t="s">
        <v>25</v>
      </c>
      <c r="C4" s="51">
        <v>0</v>
      </c>
    </row>
    <row r="5" spans="1:72" s="6" customFormat="1" x14ac:dyDescent="0.2">
      <c r="A5" s="43" t="s">
        <v>51</v>
      </c>
      <c r="B5" s="49" t="s">
        <v>26</v>
      </c>
      <c r="C5" s="52">
        <f>SUM(C2:C4)</f>
        <v>6431872.9300000006</v>
      </c>
    </row>
    <row r="6" spans="1:72" s="6" customFormat="1" ht="12" thickBot="1" x14ac:dyDescent="0.25">
      <c r="A6" s="44">
        <v>74.773799999999994</v>
      </c>
      <c r="B6" s="16"/>
      <c r="C6" s="53"/>
      <c r="D6" s="17"/>
    </row>
    <row r="7" spans="1:72" s="6" customFormat="1" ht="12" thickBot="1" x14ac:dyDescent="0.25">
      <c r="A7" s="105" t="s">
        <v>51</v>
      </c>
      <c r="B7" s="18" t="s">
        <v>127</v>
      </c>
      <c r="C7" s="54">
        <f>SUM(16:16)</f>
        <v>20895964.759999998</v>
      </c>
    </row>
    <row r="8" spans="1:72" x14ac:dyDescent="0.25">
      <c r="A8" s="43" t="s">
        <v>52</v>
      </c>
      <c r="B8" s="18" t="s">
        <v>126</v>
      </c>
      <c r="C8" s="54">
        <f>SUM(26:26)</f>
        <v>52085625.839742281</v>
      </c>
    </row>
    <row r="9" spans="1:72" ht="12" thickBot="1" x14ac:dyDescent="0.3">
      <c r="A9" s="44">
        <v>10.971299999999999</v>
      </c>
      <c r="B9" s="19" t="s">
        <v>64</v>
      </c>
      <c r="C9" s="55">
        <f>C5+C7-C8-C11</f>
        <v>-46828083.380662277</v>
      </c>
    </row>
    <row r="10" spans="1:72" x14ac:dyDescent="0.25">
      <c r="A10" s="99" t="s">
        <v>80</v>
      </c>
      <c r="B10" s="18" t="s">
        <v>23</v>
      </c>
      <c r="C10" s="56">
        <f>C16</f>
        <v>0</v>
      </c>
    </row>
    <row r="11" spans="1:72" x14ac:dyDescent="0.25">
      <c r="A11" s="101" t="s">
        <v>87</v>
      </c>
      <c r="B11" s="18" t="s">
        <v>24</v>
      </c>
      <c r="C11" s="54">
        <f>C26</f>
        <v>22070295.230919998</v>
      </c>
    </row>
    <row r="12" spans="1:72" x14ac:dyDescent="0.25">
      <c r="A12" s="107" t="s">
        <v>88</v>
      </c>
    </row>
    <row r="13" spans="1:72" x14ac:dyDescent="0.25">
      <c r="A13" s="38"/>
      <c r="B13" s="10"/>
      <c r="C13" s="57"/>
      <c r="D13" s="10"/>
    </row>
    <row r="14" spans="1:72" s="2" customFormat="1" x14ac:dyDescent="0.25">
      <c r="A14" s="64"/>
      <c r="B14" s="65"/>
      <c r="C14" s="58" t="s">
        <v>56</v>
      </c>
      <c r="D14" s="66"/>
      <c r="E14" s="66">
        <v>46199</v>
      </c>
      <c r="F14" s="66">
        <v>46200</v>
      </c>
      <c r="G14" s="66">
        <v>46201</v>
      </c>
      <c r="H14" s="66">
        <v>46202</v>
      </c>
      <c r="I14" s="66">
        <v>46203</v>
      </c>
      <c r="J14" s="66">
        <v>46204</v>
      </c>
      <c r="K14" s="66">
        <v>46205</v>
      </c>
      <c r="L14" s="66">
        <v>46206</v>
      </c>
      <c r="M14" s="66">
        <v>46207</v>
      </c>
      <c r="N14" s="66">
        <v>46208</v>
      </c>
      <c r="O14" s="66">
        <v>46209</v>
      </c>
      <c r="P14" s="66">
        <v>46210</v>
      </c>
      <c r="Q14" s="66">
        <v>46211</v>
      </c>
      <c r="R14" s="66">
        <v>46212</v>
      </c>
      <c r="S14" s="66">
        <v>46213</v>
      </c>
      <c r="T14" s="66">
        <v>46214</v>
      </c>
      <c r="U14" s="66">
        <v>46215</v>
      </c>
      <c r="V14" s="66">
        <v>46216</v>
      </c>
      <c r="W14" s="66">
        <v>46217</v>
      </c>
      <c r="X14" s="66">
        <v>46218</v>
      </c>
      <c r="Y14" s="66">
        <v>46219</v>
      </c>
      <c r="Z14" s="66">
        <v>46220</v>
      </c>
      <c r="AA14" s="66">
        <v>46221</v>
      </c>
      <c r="AB14" s="66">
        <v>46222</v>
      </c>
      <c r="AC14" s="66">
        <v>46223</v>
      </c>
      <c r="AD14" s="66">
        <v>46224</v>
      </c>
      <c r="AE14" s="66">
        <v>46225</v>
      </c>
      <c r="AF14" s="66">
        <v>46226</v>
      </c>
      <c r="AG14" s="66">
        <v>46227</v>
      </c>
      <c r="AH14" s="66">
        <v>46228</v>
      </c>
      <c r="AI14" s="66">
        <v>46229</v>
      </c>
      <c r="AJ14" s="66">
        <v>46230</v>
      </c>
      <c r="AK14" s="66">
        <v>46231</v>
      </c>
      <c r="AL14" s="66">
        <v>46232</v>
      </c>
      <c r="AM14" s="66">
        <v>46233</v>
      </c>
      <c r="AN14" s="66">
        <v>46234</v>
      </c>
      <c r="AO14" s="66">
        <v>46235</v>
      </c>
      <c r="AP14" s="66">
        <v>46236</v>
      </c>
      <c r="AQ14" s="66">
        <v>46237</v>
      </c>
      <c r="AR14" s="66">
        <v>46238</v>
      </c>
      <c r="AS14" s="66">
        <v>46239</v>
      </c>
      <c r="AT14" s="66">
        <v>46240</v>
      </c>
      <c r="AU14" s="66">
        <v>46241</v>
      </c>
      <c r="AV14" s="66">
        <v>46242</v>
      </c>
      <c r="AW14" s="66">
        <v>46243</v>
      </c>
      <c r="AX14" s="66">
        <v>46244</v>
      </c>
      <c r="AY14" s="66">
        <v>46245</v>
      </c>
      <c r="AZ14" s="66">
        <v>46246</v>
      </c>
      <c r="BA14" s="66">
        <v>46247</v>
      </c>
      <c r="BB14" s="66">
        <v>46248</v>
      </c>
      <c r="BC14" s="66">
        <v>46249</v>
      </c>
      <c r="BD14" s="66">
        <v>46250</v>
      </c>
      <c r="BE14" s="66">
        <v>46251</v>
      </c>
      <c r="BF14" s="66">
        <v>46252</v>
      </c>
      <c r="BG14" s="66">
        <v>46253</v>
      </c>
      <c r="BH14" s="66">
        <v>46254</v>
      </c>
      <c r="BI14" s="66">
        <v>46255</v>
      </c>
      <c r="BJ14" s="66">
        <v>46256</v>
      </c>
      <c r="BK14" s="66">
        <v>46257</v>
      </c>
      <c r="BL14" s="66">
        <v>46258</v>
      </c>
      <c r="BM14" s="66">
        <v>46259</v>
      </c>
      <c r="BN14" s="66">
        <v>46260</v>
      </c>
      <c r="BO14" s="66">
        <v>46261</v>
      </c>
      <c r="BP14" s="66">
        <v>46262</v>
      </c>
      <c r="BQ14" s="66">
        <v>46263</v>
      </c>
      <c r="BR14" s="66">
        <v>46264</v>
      </c>
      <c r="BS14" s="66">
        <v>46265</v>
      </c>
      <c r="BT14" s="66">
        <v>46266</v>
      </c>
    </row>
    <row r="15" spans="1:72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</row>
    <row r="16" spans="1:72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N16" si="0">SUM(E17:E25)</f>
        <v>0</v>
      </c>
      <c r="F16" s="135">
        <f t="shared" si="0"/>
        <v>0</v>
      </c>
      <c r="G16" s="135">
        <f t="shared" si="0"/>
        <v>0</v>
      </c>
      <c r="H16" s="29">
        <f t="shared" si="0"/>
        <v>2000000</v>
      </c>
      <c r="I16" s="29">
        <f t="shared" si="0"/>
        <v>1500000</v>
      </c>
      <c r="J16" s="29">
        <f t="shared" si="0"/>
        <v>1000000</v>
      </c>
      <c r="K16" s="29">
        <f t="shared" si="0"/>
        <v>0</v>
      </c>
      <c r="L16" s="29">
        <f t="shared" si="0"/>
        <v>0</v>
      </c>
      <c r="M16" s="135">
        <f t="shared" si="0"/>
        <v>0</v>
      </c>
      <c r="N16" s="135">
        <f t="shared" si="0"/>
        <v>0</v>
      </c>
      <c r="O16" s="29">
        <f t="shared" si="0"/>
        <v>2000000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135">
        <f t="shared" si="0"/>
        <v>0</v>
      </c>
      <c r="U16" s="135">
        <f t="shared" si="0"/>
        <v>0</v>
      </c>
      <c r="V16" s="29">
        <f t="shared" si="0"/>
        <v>2000000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135">
        <f t="shared" si="0"/>
        <v>0</v>
      </c>
      <c r="AB16" s="135">
        <f t="shared" si="0"/>
        <v>0</v>
      </c>
      <c r="AC16" s="29">
        <f t="shared" si="0"/>
        <v>2000000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135">
        <f t="shared" si="0"/>
        <v>0</v>
      </c>
      <c r="AI16" s="135">
        <f t="shared" si="0"/>
        <v>0</v>
      </c>
      <c r="AJ16" s="29">
        <f t="shared" si="0"/>
        <v>4330985</v>
      </c>
      <c r="AK16" s="29">
        <f t="shared" si="0"/>
        <v>0</v>
      </c>
      <c r="AL16" s="29">
        <f t="shared" si="0"/>
        <v>0</v>
      </c>
      <c r="AM16" s="29">
        <f t="shared" si="0"/>
        <v>0</v>
      </c>
      <c r="AN16" s="29">
        <f t="shared" si="0"/>
        <v>0</v>
      </c>
      <c r="AO16" s="135">
        <f t="shared" si="0"/>
        <v>0</v>
      </c>
      <c r="AP16" s="135">
        <f t="shared" si="0"/>
        <v>0</v>
      </c>
      <c r="AQ16" s="29">
        <f t="shared" si="0"/>
        <v>3032489.88</v>
      </c>
      <c r="AR16" s="29">
        <f t="shared" si="0"/>
        <v>0</v>
      </c>
      <c r="AS16" s="29">
        <f t="shared" si="0"/>
        <v>0</v>
      </c>
      <c r="AT16" s="29">
        <f t="shared" si="0"/>
        <v>0</v>
      </c>
      <c r="AU16" s="29">
        <f t="shared" si="0"/>
        <v>0</v>
      </c>
      <c r="AV16" s="135">
        <f t="shared" si="0"/>
        <v>0</v>
      </c>
      <c r="AW16" s="135">
        <f t="shared" si="0"/>
        <v>0</v>
      </c>
      <c r="AX16" s="29">
        <f t="shared" si="0"/>
        <v>0</v>
      </c>
      <c r="AY16" s="29">
        <f t="shared" si="0"/>
        <v>0</v>
      </c>
      <c r="AZ16" s="29">
        <f t="shared" si="0"/>
        <v>0</v>
      </c>
      <c r="BA16" s="29">
        <f t="shared" si="0"/>
        <v>0</v>
      </c>
      <c r="BB16" s="29">
        <f t="shared" si="0"/>
        <v>0</v>
      </c>
      <c r="BC16" s="135">
        <f t="shared" si="0"/>
        <v>0</v>
      </c>
      <c r="BD16" s="135">
        <f t="shared" si="0"/>
        <v>0</v>
      </c>
      <c r="BE16" s="29">
        <f t="shared" si="0"/>
        <v>0</v>
      </c>
      <c r="BF16" s="29">
        <f t="shared" si="0"/>
        <v>0</v>
      </c>
      <c r="BG16" s="29">
        <f t="shared" si="0"/>
        <v>0</v>
      </c>
      <c r="BH16" s="29">
        <f t="shared" si="0"/>
        <v>0</v>
      </c>
      <c r="BI16" s="29">
        <f t="shared" si="0"/>
        <v>0</v>
      </c>
      <c r="BJ16" s="176">
        <f t="shared" si="0"/>
        <v>0</v>
      </c>
      <c r="BK16" s="176">
        <f t="shared" si="0"/>
        <v>0</v>
      </c>
      <c r="BL16" s="29">
        <f t="shared" si="0"/>
        <v>0</v>
      </c>
      <c r="BM16" s="29">
        <f t="shared" si="0"/>
        <v>3032489.88</v>
      </c>
      <c r="BN16" s="29">
        <f t="shared" si="0"/>
        <v>0</v>
      </c>
      <c r="BO16" s="29">
        <f t="shared" ref="BO16:BT16" si="1">SUM(BO17:BO25)</f>
        <v>0</v>
      </c>
      <c r="BP16" s="29">
        <f t="shared" si="1"/>
        <v>0</v>
      </c>
      <c r="BQ16" s="135">
        <f t="shared" si="1"/>
        <v>0</v>
      </c>
      <c r="BR16" s="135">
        <f t="shared" si="1"/>
        <v>0</v>
      </c>
      <c r="BS16" s="29">
        <f t="shared" si="1"/>
        <v>0</v>
      </c>
      <c r="BT16" s="29">
        <f t="shared" si="1"/>
        <v>0</v>
      </c>
    </row>
    <row r="17" spans="1:72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</row>
    <row r="18" spans="1:72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>
        <v>1500000</v>
      </c>
      <c r="J18" s="30">
        <v>1000000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</row>
    <row r="19" spans="1:72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>
        <v>2000000</v>
      </c>
      <c r="I19" s="30"/>
      <c r="J19" s="30"/>
      <c r="K19" s="30"/>
      <c r="L19" s="30"/>
      <c r="M19" s="30"/>
      <c r="N19" s="30"/>
      <c r="O19" s="30">
        <v>2000000</v>
      </c>
      <c r="P19" s="30"/>
      <c r="Q19" s="30"/>
      <c r="R19" s="30"/>
      <c r="S19" s="30"/>
      <c r="T19" s="30"/>
      <c r="U19" s="30"/>
      <c r="V19" s="30">
        <v>2000000</v>
      </c>
      <c r="W19" s="30"/>
      <c r="X19" s="30"/>
      <c r="Y19" s="30"/>
      <c r="Z19" s="30"/>
      <c r="AA19" s="30"/>
      <c r="AB19" s="30"/>
      <c r="AC19" s="30">
        <v>2000000</v>
      </c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</row>
    <row r="20" spans="1:72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H20" s="30"/>
      <c r="AI20" s="30"/>
      <c r="AJ20" s="30">
        <v>4330985</v>
      </c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</row>
    <row r="21" spans="1:72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</row>
    <row r="22" spans="1:72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</row>
    <row r="23" spans="1:72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</row>
    <row r="24" spans="1:72" s="80" customFormat="1" x14ac:dyDescent="0.25">
      <c r="A24" s="40" t="s">
        <v>13</v>
      </c>
      <c r="B24" s="21"/>
      <c r="C24" s="59"/>
      <c r="D24" s="30"/>
      <c r="E24" s="30"/>
      <c r="F24" s="30"/>
      <c r="G24" s="30"/>
      <c r="I24" s="30"/>
      <c r="J24" s="30"/>
      <c r="K24" s="30"/>
      <c r="L24" s="30"/>
      <c r="M24" s="30"/>
      <c r="N24" s="30"/>
      <c r="O24" s="30"/>
      <c r="P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165">
        <f>35600*A3</f>
        <v>3032489.88</v>
      </c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>
        <f>35600*A3</f>
        <v>3032489.88</v>
      </c>
      <c r="BN24" s="30"/>
      <c r="BO24" s="30"/>
      <c r="BP24" s="30"/>
      <c r="BQ24" s="30"/>
      <c r="BR24" s="30"/>
      <c r="BS24" s="30"/>
      <c r="BT24" s="30"/>
    </row>
    <row r="25" spans="1:72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</row>
    <row r="26" spans="1:72" s="4" customFormat="1" x14ac:dyDescent="0.2">
      <c r="A26" s="41" t="s">
        <v>1</v>
      </c>
      <c r="B26" s="22"/>
      <c r="C26" s="34">
        <f>SUM(C28:C72)</f>
        <v>22070295.230919998</v>
      </c>
      <c r="D26" s="34"/>
      <c r="E26" s="34">
        <f t="shared" ref="E26:BN26" si="2">SUM(E27:E73)</f>
        <v>570500</v>
      </c>
      <c r="F26" s="34">
        <f t="shared" si="2"/>
        <v>0</v>
      </c>
      <c r="G26" s="34">
        <f t="shared" si="2"/>
        <v>460500</v>
      </c>
      <c r="H26" s="34">
        <f t="shared" si="2"/>
        <v>7089191.9333333336</v>
      </c>
      <c r="I26" s="34">
        <f t="shared" si="2"/>
        <v>3634734.7635533335</v>
      </c>
      <c r="J26" s="34">
        <f t="shared" si="2"/>
        <v>625428.12883333326</v>
      </c>
      <c r="K26" s="34">
        <f t="shared" si="2"/>
        <v>1063638.4135533334</v>
      </c>
      <c r="L26" s="34">
        <f t="shared" si="2"/>
        <v>620885.81250181817</v>
      </c>
      <c r="M26" s="34">
        <f t="shared" si="2"/>
        <v>0</v>
      </c>
      <c r="N26" s="34">
        <f t="shared" si="2"/>
        <v>12000</v>
      </c>
      <c r="O26" s="34">
        <f t="shared" si="2"/>
        <v>430583.65341090912</v>
      </c>
      <c r="P26" s="34">
        <f t="shared" si="2"/>
        <v>840721.92670181813</v>
      </c>
      <c r="Q26" s="34">
        <f t="shared" si="2"/>
        <v>884637.4236286364</v>
      </c>
      <c r="R26" s="34">
        <f t="shared" si="2"/>
        <v>521221.92670181819</v>
      </c>
      <c r="S26" s="34">
        <f t="shared" si="2"/>
        <v>727319.96636363631</v>
      </c>
      <c r="T26" s="34">
        <f t="shared" si="2"/>
        <v>0</v>
      </c>
      <c r="U26" s="34">
        <f t="shared" si="2"/>
        <v>0</v>
      </c>
      <c r="V26" s="34">
        <f t="shared" si="2"/>
        <v>2176153.1085200002</v>
      </c>
      <c r="W26" s="34">
        <f t="shared" si="2"/>
        <v>383352.18238181819</v>
      </c>
      <c r="X26" s="34">
        <f t="shared" si="2"/>
        <v>107956.33333333334</v>
      </c>
      <c r="Y26" s="34">
        <f t="shared" si="2"/>
        <v>268618.57078863634</v>
      </c>
      <c r="Z26" s="34">
        <f t="shared" si="2"/>
        <v>556395.57510863629</v>
      </c>
      <c r="AA26" s="34">
        <f t="shared" si="2"/>
        <v>0</v>
      </c>
      <c r="AB26" s="34">
        <f t="shared" si="2"/>
        <v>0</v>
      </c>
      <c r="AC26" s="34">
        <f t="shared" si="2"/>
        <v>1216290.5707886363</v>
      </c>
      <c r="AD26" s="34">
        <f t="shared" si="2"/>
        <v>831565.57078863634</v>
      </c>
      <c r="AE26" s="34">
        <f t="shared" si="2"/>
        <v>314865.31510863634</v>
      </c>
      <c r="AF26" s="34">
        <f t="shared" si="2"/>
        <v>736553.93333333335</v>
      </c>
      <c r="AG26" s="34">
        <f t="shared" si="2"/>
        <v>217488.92453999998</v>
      </c>
      <c r="AH26" s="34">
        <f t="shared" si="2"/>
        <v>350000</v>
      </c>
      <c r="AI26" s="34">
        <f t="shared" si="2"/>
        <v>0</v>
      </c>
      <c r="AJ26" s="34">
        <f t="shared" si="2"/>
        <v>3786865.3151086364</v>
      </c>
      <c r="AK26" s="34">
        <f t="shared" si="2"/>
        <v>0</v>
      </c>
      <c r="AL26" s="34">
        <f t="shared" si="2"/>
        <v>159238.36043999999</v>
      </c>
      <c r="AM26" s="34">
        <f t="shared" si="2"/>
        <v>0</v>
      </c>
      <c r="AN26" s="34">
        <f t="shared" si="2"/>
        <v>682560</v>
      </c>
      <c r="AO26" s="34">
        <f t="shared" si="2"/>
        <v>0</v>
      </c>
      <c r="AP26" s="34">
        <f t="shared" si="2"/>
        <v>0</v>
      </c>
      <c r="AQ26" s="34">
        <f t="shared" si="2"/>
        <v>746062.9</v>
      </c>
      <c r="AR26" s="34">
        <f t="shared" si="2"/>
        <v>0</v>
      </c>
      <c r="AS26" s="34">
        <f t="shared" si="2"/>
        <v>0</v>
      </c>
      <c r="AT26" s="34">
        <f t="shared" si="2"/>
        <v>0</v>
      </c>
      <c r="AU26" s="34">
        <f t="shared" si="2"/>
        <v>0</v>
      </c>
      <c r="AV26" s="34">
        <f t="shared" si="2"/>
        <v>0</v>
      </c>
      <c r="AW26" s="34">
        <f t="shared" si="2"/>
        <v>0</v>
      </c>
      <c r="AX26" s="34">
        <f t="shared" si="2"/>
        <v>0</v>
      </c>
      <c r="AY26" s="34">
        <f t="shared" si="2"/>
        <v>0</v>
      </c>
      <c r="AZ26" s="34">
        <f t="shared" si="2"/>
        <v>0</v>
      </c>
      <c r="BA26" s="34">
        <f t="shared" si="2"/>
        <v>0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si="2"/>
        <v>0</v>
      </c>
      <c r="BO26" s="34">
        <f t="shared" ref="BO26:BT26" si="3">SUM(BO27:BO73)</f>
        <v>0</v>
      </c>
      <c r="BP26" s="34">
        <f t="shared" si="3"/>
        <v>0</v>
      </c>
      <c r="BQ26" s="34">
        <f t="shared" si="3"/>
        <v>0</v>
      </c>
      <c r="BR26" s="34">
        <f t="shared" si="3"/>
        <v>0</v>
      </c>
      <c r="BS26" s="34">
        <f t="shared" si="3"/>
        <v>0</v>
      </c>
      <c r="BT26" s="34">
        <f t="shared" si="3"/>
        <v>0</v>
      </c>
    </row>
    <row r="27" spans="1:72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</row>
    <row r="28" spans="1:72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</row>
    <row r="29" spans="1:72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</row>
    <row r="30" spans="1:72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>
        <f>8399365/3</f>
        <v>2799788.3333333335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</row>
    <row r="31" spans="1:72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90">
        <f>291375+137118</f>
        <v>428493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</row>
    <row r="32" spans="1:72" s="1" customFormat="1" x14ac:dyDescent="0.2">
      <c r="A32" s="36" t="s">
        <v>7</v>
      </c>
      <c r="B32" s="23" t="s">
        <v>8</v>
      </c>
      <c r="C32" s="60"/>
      <c r="D32" s="24"/>
      <c r="F32" s="24"/>
      <c r="G32" s="24"/>
      <c r="H32" s="24">
        <v>480520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>
        <v>360000</v>
      </c>
      <c r="T32" s="24"/>
      <c r="U32" s="24"/>
      <c r="V32" s="24"/>
      <c r="W32" s="24"/>
      <c r="X32" s="24"/>
      <c r="Y32" s="24"/>
      <c r="Z32" s="24"/>
      <c r="AA32" s="24"/>
      <c r="AB32" s="24"/>
      <c r="AC32" s="24">
        <v>300000</v>
      </c>
      <c r="AD32" s="24"/>
      <c r="AE32" s="24"/>
      <c r="AF32" s="24"/>
      <c r="AG32" s="24"/>
      <c r="AH32" s="24">
        <v>350000</v>
      </c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</row>
    <row r="33" spans="1:72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>
        <v>300000</v>
      </c>
      <c r="Q33" s="24"/>
      <c r="R33" s="24"/>
      <c r="S33" s="24"/>
      <c r="T33" s="24"/>
      <c r="U33" s="24"/>
      <c r="V33" s="24">
        <v>271506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</row>
    <row r="34" spans="1:72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</row>
    <row r="35" spans="1:72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>
        <v>200113.9</v>
      </c>
      <c r="L35" s="24">
        <v>40000</v>
      </c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>
        <v>200113.9</v>
      </c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</row>
    <row r="36" spans="1:72" s="1" customFormat="1" x14ac:dyDescent="0.2">
      <c r="A36" s="36" t="s">
        <v>53</v>
      </c>
      <c r="B36" s="23"/>
      <c r="C36" s="60"/>
      <c r="D36" s="24"/>
      <c r="E36" s="24"/>
      <c r="F36" s="24"/>
      <c r="G36" s="24"/>
      <c r="H36" s="24"/>
      <c r="I36" s="24"/>
      <c r="J36" s="24"/>
      <c r="K36" s="24">
        <v>545949</v>
      </c>
      <c r="L36" s="24"/>
      <c r="M36" s="24"/>
      <c r="N36" s="24"/>
      <c r="O36" s="24">
        <v>100000</v>
      </c>
      <c r="P36" s="24"/>
      <c r="Q36" s="24">
        <v>100000</v>
      </c>
      <c r="R36" s="24"/>
      <c r="S36" s="24">
        <v>100000</v>
      </c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>
        <v>545949</v>
      </c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</row>
    <row r="37" spans="1:72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</row>
    <row r="38" spans="1:72" s="71" customFormat="1" x14ac:dyDescent="0.2">
      <c r="A38" s="69" t="s">
        <v>14</v>
      </c>
      <c r="B38" s="25" t="s">
        <v>30</v>
      </c>
      <c r="C38" s="70"/>
      <c r="D38" s="24"/>
      <c r="E38" s="24"/>
      <c r="F38" s="24"/>
      <c r="G38" s="24"/>
      <c r="H38" s="100">
        <v>150000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</row>
    <row r="39" spans="1:72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24"/>
      <c r="H39" s="108">
        <v>124838</v>
      </c>
      <c r="I39" s="24"/>
      <c r="J39" s="108">
        <f>312320/10</f>
        <v>31232</v>
      </c>
      <c r="K39" s="24"/>
      <c r="L39" s="24"/>
      <c r="M39" s="24"/>
      <c r="N39" s="24"/>
      <c r="O39" s="24"/>
      <c r="P39" s="24"/>
      <c r="Q39" s="108">
        <f>312320/10</f>
        <v>31232</v>
      </c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</row>
    <row r="40" spans="1:72" s="71" customFormat="1" x14ac:dyDescent="0.2">
      <c r="A40" s="69" t="s">
        <v>97</v>
      </c>
      <c r="B40" s="25" t="s">
        <v>137</v>
      </c>
      <c r="C40" s="70"/>
      <c r="D40" s="24"/>
      <c r="E40" s="100">
        <v>310500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100">
        <f>472500-142500-310500</f>
        <v>19500</v>
      </c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100">
        <v>654570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</row>
    <row r="41" spans="1:72" s="71" customFormat="1" x14ac:dyDescent="0.2">
      <c r="A41" s="69" t="s">
        <v>15</v>
      </c>
      <c r="B41" s="25" t="s">
        <v>31</v>
      </c>
      <c r="C41" s="70">
        <f>1547684-50000-50000-50000-50000-50000-50000-50000</f>
        <v>1197684</v>
      </c>
      <c r="D41" s="24"/>
      <c r="F41" s="24"/>
      <c r="G41" s="24"/>
      <c r="H41" s="108">
        <f>516230/10</f>
        <v>51623</v>
      </c>
      <c r="I41" s="108">
        <f t="shared" ref="I41:L41" si="4">516230/10</f>
        <v>51623</v>
      </c>
      <c r="J41" s="108">
        <f t="shared" si="4"/>
        <v>51623</v>
      </c>
      <c r="K41" s="108">
        <f t="shared" si="4"/>
        <v>51623</v>
      </c>
      <c r="L41" s="108">
        <f t="shared" si="4"/>
        <v>51623</v>
      </c>
      <c r="M41" s="24"/>
      <c r="O41" s="108">
        <f t="shared" ref="O41:S41" si="5">516230/10</f>
        <v>51623</v>
      </c>
      <c r="P41" s="108">
        <f t="shared" si="5"/>
        <v>51623</v>
      </c>
      <c r="Q41" s="108">
        <f t="shared" si="5"/>
        <v>51623</v>
      </c>
      <c r="R41" s="108">
        <f t="shared" si="5"/>
        <v>51623</v>
      </c>
      <c r="S41" s="108">
        <f t="shared" si="5"/>
        <v>51623</v>
      </c>
      <c r="T41" s="24"/>
      <c r="U41" s="24"/>
      <c r="V41" s="100">
        <v>516230</v>
      </c>
      <c r="W41" s="108">
        <f>516230/10</f>
        <v>51623</v>
      </c>
      <c r="X41" s="108">
        <f t="shared" ref="X41" si="6">516230/10</f>
        <v>51623</v>
      </c>
      <c r="Y41" s="108">
        <f>516230/10</f>
        <v>51623</v>
      </c>
      <c r="Z41" s="98">
        <f>515224/4+54464</f>
        <v>183270</v>
      </c>
      <c r="AA41" s="24"/>
      <c r="AB41" s="24"/>
      <c r="AC41" s="100">
        <v>536085</v>
      </c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</row>
    <row r="42" spans="1:72" s="71" customFormat="1" x14ac:dyDescent="0.2">
      <c r="A42" s="69" t="s">
        <v>85</v>
      </c>
      <c r="B42" s="25" t="s">
        <v>47</v>
      </c>
      <c r="C42" s="70"/>
      <c r="D42" s="24"/>
      <c r="E42" s="24"/>
      <c r="F42" s="24"/>
      <c r="G42" s="24"/>
      <c r="H42" s="24"/>
      <c r="I42" s="24"/>
      <c r="J42" s="100">
        <f>2997.5*A6</f>
        <v>224134.46549999999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</row>
    <row r="43" spans="1:72" s="71" customFormat="1" x14ac:dyDescent="0.2">
      <c r="A43" s="69" t="s">
        <v>143</v>
      </c>
      <c r="B43" s="25" t="s">
        <v>45</v>
      </c>
      <c r="C43" s="24">
        <f>188496*A9-12500*A9-12600*A9-12500*A9-10000*A9</f>
        <v>1545812.2848</v>
      </c>
      <c r="D43" s="24"/>
      <c r="E43" s="24"/>
      <c r="F43" s="24"/>
      <c r="G43" s="24"/>
      <c r="I43" s="24"/>
      <c r="J43" s="24"/>
      <c r="K43" s="24"/>
      <c r="L43" s="108">
        <f t="shared" ref="L43:P43" si="7">(188496*$A$9)/15</f>
        <v>137869.74432</v>
      </c>
      <c r="M43" s="24"/>
      <c r="N43" s="24"/>
      <c r="O43" s="108">
        <f t="shared" ref="O43" si="8">(188496*$A$9)/15</f>
        <v>137869.74432</v>
      </c>
      <c r="P43" s="108">
        <f t="shared" si="7"/>
        <v>137869.74432</v>
      </c>
      <c r="Q43" s="108">
        <f>((188496*$A$9)/15)*2</f>
        <v>275739.48864</v>
      </c>
      <c r="R43" s="108">
        <f>(188496*$A$9)/15</f>
        <v>137869.74432</v>
      </c>
      <c r="S43" s="24"/>
      <c r="T43" s="24"/>
      <c r="U43" s="24"/>
      <c r="V43" s="108">
        <f>(188496*$A$9)/15</f>
        <v>137869.74432</v>
      </c>
      <c r="W43" s="24"/>
      <c r="X43" s="24"/>
      <c r="Y43" s="24"/>
      <c r="Z43" s="108">
        <f>(188496*$A$9)/15</f>
        <v>137869.74432</v>
      </c>
      <c r="AA43" s="24"/>
      <c r="AB43" s="24"/>
      <c r="AC43" s="24"/>
      <c r="AD43" s="24"/>
      <c r="AE43" s="108">
        <f t="shared" ref="AE43:AJ43" si="9">(188496*$A$9)/15</f>
        <v>137869.74432</v>
      </c>
      <c r="AF43" s="24"/>
      <c r="AG43" s="108">
        <f t="shared" si="9"/>
        <v>137869.74432</v>
      </c>
      <c r="AH43" s="24"/>
      <c r="AI43" s="24"/>
      <c r="AJ43" s="108">
        <f t="shared" si="9"/>
        <v>137869.74432</v>
      </c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</row>
    <row r="44" spans="1:72" s="71" customFormat="1" x14ac:dyDescent="0.2">
      <c r="A44" s="69" t="s">
        <v>120</v>
      </c>
      <c r="B44" s="25" t="s">
        <v>121</v>
      </c>
      <c r="C44" s="120">
        <f>507000+1014000-47000-56000-45000-50000-90000-50000</f>
        <v>1183000</v>
      </c>
      <c r="D44" s="24"/>
      <c r="E44" s="24"/>
      <c r="F44" s="24"/>
      <c r="G44" s="24"/>
      <c r="H44" s="108">
        <f t="shared" ref="H44:X44" si="10">507000/9</f>
        <v>56333.333333333336</v>
      </c>
      <c r="J44" s="108">
        <f t="shared" si="10"/>
        <v>56333.333333333336</v>
      </c>
      <c r="K44" s="108">
        <f t="shared" ref="K44" si="11">507000/9</f>
        <v>56333.333333333336</v>
      </c>
      <c r="L44" s="108">
        <f t="shared" ref="L44:P44" si="12">1014000/11</f>
        <v>92181.818181818177</v>
      </c>
      <c r="M44" s="24"/>
      <c r="O44" s="108">
        <f>(1014000/11)/2</f>
        <v>46090.909090909088</v>
      </c>
      <c r="P44" s="108">
        <f t="shared" si="12"/>
        <v>92181.818181818177</v>
      </c>
      <c r="Q44" s="108">
        <f>(1014000/11+88393.5*$A$9)/6</f>
        <v>176995.57078863634</v>
      </c>
      <c r="R44" s="108">
        <f t="shared" ref="R44:W44" si="13">1014000/11</f>
        <v>92181.818181818177</v>
      </c>
      <c r="S44" s="108">
        <f>(1014000/11)*2+9333.33</f>
        <v>193696.96636363634</v>
      </c>
      <c r="T44" s="24"/>
      <c r="U44" s="24"/>
      <c r="V44" s="108">
        <v>991000</v>
      </c>
      <c r="W44" s="108">
        <f t="shared" si="13"/>
        <v>92181.818181818177</v>
      </c>
      <c r="X44" s="108">
        <f t="shared" si="10"/>
        <v>56333.333333333336</v>
      </c>
      <c r="Y44" s="108">
        <f>(1014000/11+88393.5*$A$9)/6</f>
        <v>176995.57078863634</v>
      </c>
      <c r="Z44" s="108">
        <f>(1014000/11+88393.5*$A$9)/6</f>
        <v>176995.57078863634</v>
      </c>
      <c r="AA44" s="24"/>
      <c r="AB44" s="24"/>
      <c r="AC44" s="108">
        <f>(1014000/11+88393.5*$A$9)/6</f>
        <v>176995.57078863634</v>
      </c>
      <c r="AD44" s="108">
        <f>(1014000/11+88393.5*$A$9)/6</f>
        <v>176995.57078863634</v>
      </c>
      <c r="AE44" s="108">
        <f>(1014000/11+88393.5*$A$9)/6</f>
        <v>176995.57078863634</v>
      </c>
      <c r="AF44" s="108">
        <f>507000/9</f>
        <v>56333.333333333336</v>
      </c>
      <c r="AG44" s="160">
        <f>(52206*$A$9+2988*$A$6)/10</f>
        <v>79619.180219999995</v>
      </c>
      <c r="AH44" s="24"/>
      <c r="AI44" s="24"/>
      <c r="AJ44" s="108">
        <f>(1014000/11+88393.5*$A$9)/6</f>
        <v>176995.57078863634</v>
      </c>
      <c r="AK44" s="24"/>
      <c r="AL44" s="24"/>
      <c r="AM44" s="24"/>
      <c r="AN44" s="129">
        <v>682560</v>
      </c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</row>
    <row r="45" spans="1:72" s="73" customFormat="1" x14ac:dyDescent="0.2">
      <c r="A45" s="69" t="s">
        <v>22</v>
      </c>
      <c r="B45" s="25" t="s">
        <v>48</v>
      </c>
      <c r="C45" s="137"/>
      <c r="D45" s="72"/>
      <c r="F45" s="72"/>
      <c r="G45" s="72"/>
      <c r="I45" s="160">
        <f t="shared" ref="I45" si="14">(52206*$A$9+2988*$A$6)/10</f>
        <v>79619.180219999995</v>
      </c>
      <c r="K45" s="160">
        <f t="shared" ref="K45" si="15">(52206*$A$9+2988*$A$6)/10</f>
        <v>79619.180219999995</v>
      </c>
      <c r="M45" s="72"/>
      <c r="N45" s="72"/>
      <c r="P45" s="160">
        <f>(109170*$A$9)/5</f>
        <v>239547.36420000001</v>
      </c>
      <c r="Q45" s="160">
        <f t="shared" ref="Q45:R45" si="16">(109170*$A$9)/5</f>
        <v>239547.36420000001</v>
      </c>
      <c r="R45" s="160">
        <f t="shared" si="16"/>
        <v>239547.36420000001</v>
      </c>
      <c r="S45" s="72"/>
      <c r="T45" s="72"/>
      <c r="U45" s="72"/>
      <c r="V45" s="160">
        <f t="shared" ref="V45:W45" si="17">(109170*$A$9)/5</f>
        <v>239547.36420000001</v>
      </c>
      <c r="W45" s="160">
        <f t="shared" si="17"/>
        <v>239547.36420000001</v>
      </c>
      <c r="X45" s="72"/>
      <c r="Y45" s="72"/>
      <c r="Z45" s="177">
        <v>46260.26</v>
      </c>
      <c r="AA45" s="72"/>
      <c r="AB45" s="72"/>
      <c r="AC45" s="72"/>
      <c r="AD45" s="72"/>
      <c r="AE45" s="72"/>
      <c r="AF45" s="178">
        <f>62000*$A$9</f>
        <v>680220.6</v>
      </c>
      <c r="AG45" s="72"/>
      <c r="AH45" s="72"/>
      <c r="AI45" s="72"/>
      <c r="AJ45" s="72"/>
      <c r="AK45" s="72"/>
      <c r="AL45" s="160">
        <f>((52206*$A$9+2988*$A$6)/10)*2</f>
        <v>159238.36043999999</v>
      </c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</row>
    <row r="46" spans="1:72" s="73" customFormat="1" x14ac:dyDescent="0.2">
      <c r="A46" s="69" t="s">
        <v>108</v>
      </c>
      <c r="B46" s="25" t="s">
        <v>109</v>
      </c>
      <c r="C46" s="120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</row>
    <row r="47" spans="1:72" s="71" customFormat="1" x14ac:dyDescent="0.2">
      <c r="A47" s="69" t="s">
        <v>36</v>
      </c>
      <c r="B47" s="25" t="s">
        <v>37</v>
      </c>
      <c r="C47" s="130"/>
      <c r="D47" s="24"/>
      <c r="F47" s="24"/>
      <c r="G47" s="24"/>
      <c r="H47" s="24"/>
      <c r="I47" s="100">
        <f>350422.5/2</f>
        <v>175211.25</v>
      </c>
      <c r="J47" s="24"/>
      <c r="K47" s="24"/>
      <c r="L47" s="100">
        <f>350422.5/2</f>
        <v>175211.25</v>
      </c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</row>
    <row r="48" spans="1:72" s="71" customFormat="1" x14ac:dyDescent="0.2">
      <c r="A48" s="69" t="s">
        <v>86</v>
      </c>
      <c r="B48" s="25" t="s">
        <v>35</v>
      </c>
      <c r="C48" s="70"/>
      <c r="D48" s="77"/>
      <c r="E48" s="24"/>
      <c r="F48" s="24"/>
      <c r="G48" s="24"/>
      <c r="H48" s="24"/>
      <c r="I48" s="24"/>
      <c r="J48" s="100">
        <f>2850*A6</f>
        <v>213105.33</v>
      </c>
      <c r="K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</row>
    <row r="49" spans="1:72" s="71" customFormat="1" x14ac:dyDescent="0.2">
      <c r="A49" s="69" t="s">
        <v>34</v>
      </c>
      <c r="B49" s="25"/>
      <c r="C49" s="70"/>
      <c r="D49" s="77"/>
      <c r="E49" s="179"/>
      <c r="F49" s="24"/>
      <c r="G49" s="24"/>
      <c r="H49" s="24"/>
      <c r="I49" s="24"/>
      <c r="J49" s="100"/>
      <c r="K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100">
        <v>1872000</v>
      </c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</row>
    <row r="50" spans="1:72" s="71" customFormat="1" x14ac:dyDescent="0.2">
      <c r="A50" s="69" t="s">
        <v>29</v>
      </c>
      <c r="B50" s="25" t="s">
        <v>43</v>
      </c>
      <c r="C50" s="70">
        <f>439750-19750-25000-25000-25000-20000-20000-25000-50000</f>
        <v>230000</v>
      </c>
      <c r="D50" s="24"/>
      <c r="F50" s="24"/>
      <c r="G50" s="24"/>
      <c r="H50" s="95">
        <v>35000</v>
      </c>
      <c r="I50" s="24"/>
      <c r="J50" s="24"/>
      <c r="K50" s="24"/>
      <c r="L50" s="95">
        <v>100000</v>
      </c>
      <c r="M50" s="24"/>
      <c r="N50" s="24"/>
      <c r="O50" s="95">
        <v>95000</v>
      </c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</row>
    <row r="51" spans="1:72" s="71" customFormat="1" x14ac:dyDescent="0.2">
      <c r="A51" s="69" t="s">
        <v>141</v>
      </c>
      <c r="B51" s="25" t="s">
        <v>142</v>
      </c>
      <c r="C51" s="70"/>
      <c r="D51" s="24"/>
      <c r="E51" s="24"/>
      <c r="F51" s="24"/>
      <c r="G51" s="24"/>
      <c r="H51" s="24"/>
      <c r="I51" s="24"/>
      <c r="J51" s="28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</row>
    <row r="52" spans="1:72" s="71" customFormat="1" x14ac:dyDescent="0.2">
      <c r="A52" s="69" t="s">
        <v>159</v>
      </c>
      <c r="B52" s="25" t="s">
        <v>160</v>
      </c>
      <c r="C52" s="70"/>
      <c r="D52" s="24"/>
      <c r="E52" s="24"/>
      <c r="F52" s="24"/>
      <c r="G52" s="24">
        <f>E40+E58</f>
        <v>460500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</row>
    <row r="53" spans="1:72" s="71" customFormat="1" x14ac:dyDescent="0.2">
      <c r="A53" s="69" t="s">
        <v>124</v>
      </c>
      <c r="B53" s="25" t="s">
        <v>125</v>
      </c>
      <c r="C53" s="70"/>
      <c r="D53" s="24"/>
      <c r="E53" s="24"/>
      <c r="F53" s="24"/>
      <c r="G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129">
        <v>203210</v>
      </c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</row>
    <row r="54" spans="1:72" s="71" customFormat="1" x14ac:dyDescent="0.2">
      <c r="A54" s="69" t="s">
        <v>40</v>
      </c>
      <c r="B54" s="25" t="s">
        <v>44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</row>
    <row r="55" spans="1:72" s="71" customFormat="1" x14ac:dyDescent="0.2">
      <c r="A55" s="69" t="s">
        <v>90</v>
      </c>
      <c r="B55" s="25" t="s">
        <v>91</v>
      </c>
      <c r="C55" s="70">
        <f>912000+1012000-100000-100000-75000-75000-75000-75000-75000-75000-75000-75000-75000-75000-75000-75000-100000-75000-100000-100000</f>
        <v>449000</v>
      </c>
      <c r="D55" s="77"/>
      <c r="E55" s="129">
        <v>100000</v>
      </c>
      <c r="F55" s="24"/>
      <c r="G55" s="24"/>
      <c r="H55" s="24"/>
      <c r="I55" s="129">
        <v>100000</v>
      </c>
      <c r="J55" s="129">
        <v>49000</v>
      </c>
      <c r="K55" s="129">
        <v>100000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</row>
    <row r="56" spans="1:72" s="71" customFormat="1" x14ac:dyDescent="0.2">
      <c r="A56" s="69" t="s">
        <v>138</v>
      </c>
      <c r="B56" s="25" t="s">
        <v>136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</row>
    <row r="57" spans="1:72" s="71" customFormat="1" x14ac:dyDescent="0.2">
      <c r="A57" s="69" t="s">
        <v>156</v>
      </c>
      <c r="B57" s="25" t="s">
        <v>157</v>
      </c>
      <c r="C57" s="70"/>
      <c r="D57" s="77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</row>
    <row r="58" spans="1:72" s="71" customFormat="1" ht="12.75" customHeight="1" x14ac:dyDescent="0.2">
      <c r="A58" s="151" t="s">
        <v>139</v>
      </c>
      <c r="B58" s="152" t="s">
        <v>161</v>
      </c>
      <c r="C58" s="70">
        <f>2772000-150000-200000</f>
        <v>2422000</v>
      </c>
      <c r="D58" s="77"/>
      <c r="E58" s="100">
        <v>150000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</row>
    <row r="59" spans="1:72" s="71" customFormat="1" x14ac:dyDescent="0.2">
      <c r="A59" s="69" t="s">
        <v>128</v>
      </c>
      <c r="B59" s="25" t="s">
        <v>129</v>
      </c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</row>
    <row r="60" spans="1:72" s="71" customFormat="1" x14ac:dyDescent="0.2">
      <c r="A60" s="69" t="s">
        <v>154</v>
      </c>
      <c r="B60" s="25" t="s">
        <v>153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</row>
    <row r="61" spans="1:72" s="71" customFormat="1" x14ac:dyDescent="0.2">
      <c r="A61" s="69" t="s">
        <v>158</v>
      </c>
      <c r="B61" s="25"/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</row>
    <row r="62" spans="1:72" s="71" customFormat="1" x14ac:dyDescent="0.2">
      <c r="A62" s="69" t="s">
        <v>38</v>
      </c>
      <c r="B62" s="25" t="s">
        <v>39</v>
      </c>
      <c r="C62" s="70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</row>
    <row r="63" spans="1:72" s="71" customFormat="1" x14ac:dyDescent="0.2">
      <c r="A63" s="69" t="s">
        <v>74</v>
      </c>
      <c r="B63" s="25" t="s">
        <v>131</v>
      </c>
      <c r="C63" s="70"/>
      <c r="D63" s="24"/>
      <c r="E63" s="100">
        <v>10000</v>
      </c>
      <c r="F63" s="24"/>
      <c r="G63" s="24"/>
      <c r="H63" s="100">
        <v>30000</v>
      </c>
      <c r="I63" s="24"/>
      <c r="J63" s="24"/>
      <c r="K63" s="100">
        <v>30000</v>
      </c>
      <c r="L63" s="100">
        <f>7500+16500</f>
        <v>24000</v>
      </c>
      <c r="M63" s="24"/>
      <c r="N63" s="100">
        <v>12000</v>
      </c>
      <c r="O63" s="24"/>
      <c r="P63" s="24"/>
      <c r="Q63" s="100">
        <v>9500</v>
      </c>
      <c r="R63" s="24"/>
      <c r="S63" s="100">
        <v>22000</v>
      </c>
      <c r="T63" s="24"/>
      <c r="U63" s="24"/>
      <c r="V63" s="100">
        <v>20000</v>
      </c>
      <c r="W63" s="24"/>
      <c r="X63" s="24"/>
      <c r="Y63" s="143">
        <v>40000</v>
      </c>
      <c r="Z63" s="143">
        <v>12000</v>
      </c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</row>
    <row r="64" spans="1:72" s="71" customFormat="1" x14ac:dyDescent="0.2">
      <c r="A64" s="69" t="s">
        <v>74</v>
      </c>
      <c r="B64" s="25" t="s">
        <v>150</v>
      </c>
      <c r="C64" s="164">
        <v>3567700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</row>
    <row r="65" spans="1:72" s="73" customFormat="1" x14ac:dyDescent="0.2">
      <c r="A65" s="78"/>
      <c r="B65" s="79"/>
      <c r="C65" s="75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</row>
    <row r="66" spans="1:72" s="94" customFormat="1" ht="33.75" x14ac:dyDescent="0.2">
      <c r="A66" s="91" t="s">
        <v>60</v>
      </c>
      <c r="B66" s="92" t="s">
        <v>58</v>
      </c>
      <c r="C66" s="93">
        <v>248639.70012000017</v>
      </c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3"/>
      <c r="BN66" s="93"/>
      <c r="BO66" s="93"/>
      <c r="BP66" s="93"/>
      <c r="BQ66" s="93"/>
      <c r="BR66" s="93"/>
      <c r="BS66" s="93"/>
      <c r="BT66" s="93"/>
    </row>
    <row r="67" spans="1:72" s="5" customFormat="1" x14ac:dyDescent="0.2">
      <c r="A67" s="42"/>
      <c r="B67" s="12"/>
      <c r="C67" s="68"/>
      <c r="D67" s="26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</row>
    <row r="68" spans="1:72" s="5" customFormat="1" x14ac:dyDescent="0.2">
      <c r="A68" s="36" t="s">
        <v>49</v>
      </c>
      <c r="B68" s="12"/>
      <c r="C68" s="13"/>
      <c r="D68" s="26"/>
      <c r="F68" s="13"/>
      <c r="G68" s="13"/>
      <c r="H68" s="13">
        <f>1400000+7400*A3</f>
        <v>2030349.02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</row>
    <row r="69" spans="1:72" s="5" customFormat="1" x14ac:dyDescent="0.2">
      <c r="A69" s="36" t="s">
        <v>57</v>
      </c>
      <c r="B69" s="12"/>
      <c r="C69" s="68"/>
      <c r="D69" s="26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H69" s="13"/>
      <c r="AI69" s="13"/>
      <c r="AJ69" s="168">
        <v>1600000</v>
      </c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</row>
    <row r="70" spans="1:72" s="5" customFormat="1" x14ac:dyDescent="0.2">
      <c r="A70" s="36" t="s">
        <v>61</v>
      </c>
      <c r="B70" s="12"/>
      <c r="C70" s="13">
        <v>112000</v>
      </c>
      <c r="D70" s="26"/>
      <c r="F70" s="13"/>
      <c r="G70" s="13"/>
      <c r="H70" s="13">
        <f>4600*$A$3</f>
        <v>391838.58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</row>
    <row r="71" spans="1:72" s="5" customFormat="1" x14ac:dyDescent="0.2">
      <c r="A71" s="42" t="s">
        <v>151</v>
      </c>
      <c r="B71" s="12"/>
      <c r="C71" s="68">
        <f>(10000*10)*A6</f>
        <v>7477379.9999999991</v>
      </c>
      <c r="D71" s="26"/>
      <c r="F71" s="13"/>
      <c r="G71" s="13"/>
      <c r="H71" s="126">
        <f>C71/2</f>
        <v>3738689.9999999995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</row>
    <row r="72" spans="1:72" s="5" customFormat="1" x14ac:dyDescent="0.2">
      <c r="A72" s="36" t="s">
        <v>72</v>
      </c>
      <c r="B72" s="27" t="s">
        <v>73</v>
      </c>
      <c r="C72" s="62">
        <v>3637079.2460000003</v>
      </c>
      <c r="D72" s="35"/>
      <c r="E72" s="28"/>
      <c r="F72" s="28"/>
      <c r="G72" s="28"/>
      <c r="H72" s="28"/>
      <c r="I72" s="28"/>
      <c r="J72" s="28"/>
      <c r="K72" s="28"/>
      <c r="L72" s="13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</row>
    <row r="73" spans="1:72" s="5" customFormat="1" x14ac:dyDescent="0.2">
      <c r="A73" s="42"/>
      <c r="B73" s="12"/>
      <c r="C73" s="61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</row>
    <row r="74" spans="1:72" s="84" customFormat="1" x14ac:dyDescent="0.2">
      <c r="A74" s="81" t="s">
        <v>66</v>
      </c>
      <c r="B74" s="82"/>
      <c r="C74" s="63"/>
      <c r="D74" s="83"/>
      <c r="E74" s="83">
        <f>$C$5+E16-E26</f>
        <v>5861372.9300000006</v>
      </c>
      <c r="F74" s="83">
        <f t="shared" ref="F74:BO74" si="18">E74+F16-F26</f>
        <v>5861372.9300000006</v>
      </c>
      <c r="G74" s="83">
        <f t="shared" si="18"/>
        <v>5400872.9300000006</v>
      </c>
      <c r="H74" s="83">
        <f t="shared" si="18"/>
        <v>311680.99666666705</v>
      </c>
      <c r="I74" s="83">
        <f t="shared" si="18"/>
        <v>-1823053.7668866664</v>
      </c>
      <c r="J74" s="83">
        <f t="shared" si="18"/>
        <v>-1448481.8957199997</v>
      </c>
      <c r="K74" s="83">
        <f t="shared" si="18"/>
        <v>-2512120.3092733333</v>
      </c>
      <c r="L74" s="83">
        <f t="shared" si="18"/>
        <v>-3133006.1217751512</v>
      </c>
      <c r="M74" s="83">
        <f t="shared" si="18"/>
        <v>-3133006.1217751512</v>
      </c>
      <c r="N74" s="83">
        <f t="shared" si="18"/>
        <v>-3145006.1217751512</v>
      </c>
      <c r="O74" s="83">
        <f t="shared" si="18"/>
        <v>-1575589.7751860605</v>
      </c>
      <c r="P74" s="83">
        <f t="shared" si="18"/>
        <v>-2416311.7018878786</v>
      </c>
      <c r="Q74" s="83">
        <f t="shared" si="18"/>
        <v>-3300949.1255165152</v>
      </c>
      <c r="R74" s="83">
        <f t="shared" si="18"/>
        <v>-3822171.0522183334</v>
      </c>
      <c r="S74" s="83">
        <f t="shared" si="18"/>
        <v>-4549491.0185819697</v>
      </c>
      <c r="T74" s="83">
        <f t="shared" si="18"/>
        <v>-4549491.0185819697</v>
      </c>
      <c r="U74" s="83">
        <f t="shared" si="18"/>
        <v>-4549491.0185819697</v>
      </c>
      <c r="V74" s="83">
        <f t="shared" si="18"/>
        <v>-4725644.1271019699</v>
      </c>
      <c r="W74" s="83">
        <f t="shared" si="18"/>
        <v>-5108996.309483788</v>
      </c>
      <c r="X74" s="83">
        <f t="shared" si="18"/>
        <v>-5216952.642817121</v>
      </c>
      <c r="Y74" s="83">
        <f t="shared" si="18"/>
        <v>-5485571.2136057578</v>
      </c>
      <c r="Z74" s="83">
        <f t="shared" si="18"/>
        <v>-6041966.788714394</v>
      </c>
      <c r="AA74" s="83">
        <f t="shared" si="18"/>
        <v>-6041966.788714394</v>
      </c>
      <c r="AB74" s="83">
        <f t="shared" si="18"/>
        <v>-6041966.788714394</v>
      </c>
      <c r="AC74" s="83">
        <f t="shared" si="18"/>
        <v>-5258257.3595030308</v>
      </c>
      <c r="AD74" s="83">
        <f t="shared" si="18"/>
        <v>-6089822.9302916676</v>
      </c>
      <c r="AE74" s="83">
        <f t="shared" si="18"/>
        <v>-6404688.245400304</v>
      </c>
      <c r="AF74" s="83">
        <f t="shared" si="18"/>
        <v>-7141242.1787336376</v>
      </c>
      <c r="AG74" s="83">
        <f t="shared" si="18"/>
        <v>-7358731.1032736376</v>
      </c>
      <c r="AH74" s="83">
        <f t="shared" si="18"/>
        <v>-7708731.1032736376</v>
      </c>
      <c r="AI74" s="83">
        <f t="shared" si="18"/>
        <v>-7708731.1032736376</v>
      </c>
      <c r="AJ74" s="83">
        <f t="shared" si="18"/>
        <v>-7164611.418382274</v>
      </c>
      <c r="AK74" s="83">
        <f t="shared" si="18"/>
        <v>-7164611.418382274</v>
      </c>
      <c r="AL74" s="83">
        <f t="shared" si="18"/>
        <v>-7323849.7788222739</v>
      </c>
      <c r="AM74" s="83">
        <f t="shared" si="18"/>
        <v>-7323849.7788222739</v>
      </c>
      <c r="AN74" s="83">
        <f t="shared" si="18"/>
        <v>-8006409.7788222739</v>
      </c>
      <c r="AO74" s="83">
        <f t="shared" si="18"/>
        <v>-8006409.7788222739</v>
      </c>
      <c r="AP74" s="83">
        <f t="shared" si="18"/>
        <v>-8006409.7788222739</v>
      </c>
      <c r="AQ74" s="83">
        <f t="shared" si="18"/>
        <v>-5719982.7988222744</v>
      </c>
      <c r="AR74" s="83">
        <f t="shared" si="18"/>
        <v>-5719982.7988222744</v>
      </c>
      <c r="AS74" s="83">
        <f t="shared" si="18"/>
        <v>-5719982.7988222744</v>
      </c>
      <c r="AT74" s="83">
        <f t="shared" si="18"/>
        <v>-5719982.7988222744</v>
      </c>
      <c r="AU74" s="83">
        <f t="shared" si="18"/>
        <v>-5719982.7988222744</v>
      </c>
      <c r="AV74" s="83">
        <f t="shared" si="18"/>
        <v>-5719982.7988222744</v>
      </c>
      <c r="AW74" s="83">
        <f t="shared" si="18"/>
        <v>-5719982.7988222744</v>
      </c>
      <c r="AX74" s="83">
        <f t="shared" si="18"/>
        <v>-5719982.7988222744</v>
      </c>
      <c r="AY74" s="83">
        <f t="shared" si="18"/>
        <v>-5719982.7988222744</v>
      </c>
      <c r="AZ74" s="83">
        <f t="shared" si="18"/>
        <v>-5719982.7988222744</v>
      </c>
      <c r="BA74" s="83">
        <f t="shared" si="18"/>
        <v>-5719982.7988222744</v>
      </c>
      <c r="BB74" s="83">
        <f t="shared" si="18"/>
        <v>-5719982.7988222744</v>
      </c>
      <c r="BC74" s="83">
        <f t="shared" si="18"/>
        <v>-5719982.7988222744</v>
      </c>
      <c r="BD74" s="83">
        <f t="shared" si="18"/>
        <v>-5719982.7988222744</v>
      </c>
      <c r="BE74" s="83">
        <f t="shared" si="18"/>
        <v>-5719982.7988222744</v>
      </c>
      <c r="BF74" s="83">
        <f t="shared" si="18"/>
        <v>-5719982.7988222744</v>
      </c>
      <c r="BG74" s="83">
        <f t="shared" si="18"/>
        <v>-5719982.7988222744</v>
      </c>
      <c r="BH74" s="83">
        <f t="shared" si="18"/>
        <v>-5719982.7988222744</v>
      </c>
      <c r="BI74" s="83">
        <f t="shared" si="18"/>
        <v>-5719982.7988222744</v>
      </c>
      <c r="BJ74" s="83">
        <f t="shared" si="18"/>
        <v>-5719982.7988222744</v>
      </c>
      <c r="BK74" s="83">
        <f t="shared" si="18"/>
        <v>-5719982.7988222744</v>
      </c>
      <c r="BL74" s="83">
        <f t="shared" si="18"/>
        <v>-5719982.7988222744</v>
      </c>
      <c r="BM74" s="83">
        <f t="shared" si="18"/>
        <v>-2687492.9188222745</v>
      </c>
      <c r="BN74" s="83">
        <f t="shared" si="18"/>
        <v>-2687492.9188222745</v>
      </c>
      <c r="BO74" s="83">
        <f t="shared" si="18"/>
        <v>-2687492.9188222745</v>
      </c>
      <c r="BP74" s="83">
        <f t="shared" ref="BP74:BT74" si="19">BO74+BP16-BP26</f>
        <v>-2687492.9188222745</v>
      </c>
      <c r="BQ74" s="83">
        <f t="shared" si="19"/>
        <v>-2687492.9188222745</v>
      </c>
      <c r="BR74" s="83">
        <f t="shared" si="19"/>
        <v>-2687492.9188222745</v>
      </c>
      <c r="BS74" s="83">
        <f t="shared" si="19"/>
        <v>-2687492.9188222745</v>
      </c>
      <c r="BT74" s="83">
        <f t="shared" si="19"/>
        <v>-2687492.9188222745</v>
      </c>
    </row>
    <row r="76" spans="1:72" s="5" customFormat="1" x14ac:dyDescent="0.2">
      <c r="A76" s="42"/>
      <c r="B76" s="12"/>
      <c r="C76" s="68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</row>
    <row r="77" spans="1:72" s="89" customFormat="1" x14ac:dyDescent="0.2">
      <c r="A77" s="85" t="s">
        <v>65</v>
      </c>
      <c r="B77" s="86"/>
      <c r="C77" s="87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</row>
    <row r="78" spans="1:72" s="5" customFormat="1" ht="22.5" x14ac:dyDescent="0.2">
      <c r="A78" s="36" t="s">
        <v>67</v>
      </c>
      <c r="B78" s="27" t="s">
        <v>68</v>
      </c>
      <c r="C78" s="68">
        <v>3221210.79</v>
      </c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</row>
    <row r="79" spans="1:72" s="5" customFormat="1" x14ac:dyDescent="0.2">
      <c r="A79" s="36" t="s">
        <v>69</v>
      </c>
      <c r="B79" s="27" t="s">
        <v>70</v>
      </c>
      <c r="C79" s="68">
        <v>9814338.4000000004</v>
      </c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</row>
    <row r="80" spans="1:72" s="5" customFormat="1" x14ac:dyDescent="0.2">
      <c r="A80" s="36"/>
      <c r="B80" s="27"/>
      <c r="C80" s="68"/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</row>
    <row r="81" spans="1:72" s="5" customFormat="1" x14ac:dyDescent="0.2">
      <c r="A81" s="36"/>
      <c r="B81" s="27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</row>
    <row r="83" spans="1:72" x14ac:dyDescent="0.25">
      <c r="B83" s="14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2"/>
  <sheetViews>
    <sheetView workbookViewId="0">
      <selection activeCell="C27" sqref="C27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1.7109375" style="3" customWidth="1"/>
    <col min="6" max="6" width="11.5703125" style="3" customWidth="1"/>
    <col min="7" max="8" width="10.85546875" style="3" customWidth="1"/>
    <col min="9" max="9" width="12.85546875" style="3" customWidth="1"/>
    <col min="10" max="10" width="12" style="3" customWidth="1"/>
    <col min="11" max="11" width="11.140625" style="3" customWidth="1"/>
    <col min="12" max="12" width="12.7109375" style="3" customWidth="1"/>
    <col min="13" max="13" width="11.42578125" style="3" customWidth="1"/>
    <col min="14" max="14" width="11.7109375" style="3" customWidth="1"/>
    <col min="15" max="15" width="10.5703125" style="3" customWidth="1"/>
    <col min="16" max="16" width="12" style="3" customWidth="1"/>
    <col min="17" max="17" width="11.140625" style="3" customWidth="1"/>
    <col min="18" max="18" width="10.42578125" style="3" customWidth="1"/>
    <col min="19" max="19" width="14" style="3" customWidth="1"/>
    <col min="20" max="20" width="10.42578125" style="3" customWidth="1"/>
    <col min="21" max="21" width="12.5703125" style="3" customWidth="1"/>
    <col min="22" max="22" width="13.28515625" style="3" customWidth="1"/>
    <col min="23" max="23" width="12.140625" style="3" customWidth="1"/>
    <col min="24" max="24" width="12.42578125" style="3" customWidth="1"/>
    <col min="25" max="25" width="12.28515625" style="3" customWidth="1"/>
    <col min="26" max="26" width="12.7109375" style="3" customWidth="1"/>
    <col min="27" max="27" width="11.28515625" style="3" customWidth="1"/>
    <col min="28" max="28" width="11.85546875" style="3" customWidth="1"/>
    <col min="29" max="29" width="12.28515625" style="3" customWidth="1"/>
    <col min="30" max="30" width="11.140625" style="3" customWidth="1"/>
    <col min="31" max="31" width="10.5703125" style="3" customWidth="1"/>
    <col min="32" max="32" width="10.85546875" style="3" customWidth="1"/>
    <col min="33" max="33" width="12" style="3" customWidth="1"/>
    <col min="34" max="34" width="13.140625" style="3" customWidth="1"/>
    <col min="35" max="35" width="11.140625" style="3" customWidth="1"/>
    <col min="36" max="36" width="12.5703125" style="3" customWidth="1"/>
    <col min="37" max="37" width="12.140625" style="3" customWidth="1"/>
    <col min="38" max="38" width="12.42578125" style="3" customWidth="1"/>
    <col min="39" max="39" width="12" style="3" customWidth="1"/>
    <col min="40" max="40" width="14.85546875" style="3" customWidth="1"/>
    <col min="41" max="41" width="11.5703125" style="3" customWidth="1"/>
    <col min="42" max="42" width="13.7109375" style="3" customWidth="1"/>
    <col min="43" max="43" width="12.42578125" style="3" customWidth="1"/>
    <col min="44" max="44" width="10.85546875" style="3" customWidth="1"/>
    <col min="45" max="45" width="12.140625" style="3" customWidth="1"/>
    <col min="46" max="46" width="11.85546875" style="3" customWidth="1"/>
    <col min="47" max="47" width="12.7109375" style="3" customWidth="1"/>
    <col min="48" max="48" width="12.42578125" style="3" customWidth="1"/>
    <col min="49" max="49" width="11.140625" style="3" customWidth="1"/>
    <col min="50" max="50" width="11.5703125" style="3" customWidth="1"/>
    <col min="51" max="51" width="12.28515625" style="3" customWidth="1"/>
    <col min="52" max="16384" width="9" style="3"/>
  </cols>
  <sheetData>
    <row r="1" spans="1:74" ht="12" thickBot="1" x14ac:dyDescent="0.3"/>
    <row r="2" spans="1:74" s="1" customFormat="1" x14ac:dyDescent="0.2">
      <c r="A2" s="43" t="s">
        <v>50</v>
      </c>
      <c r="B2" s="15" t="s">
        <v>27</v>
      </c>
      <c r="C2" s="50">
        <v>8271834.2999999998</v>
      </c>
    </row>
    <row r="3" spans="1:74" s="1" customFormat="1" ht="12" thickBot="1" x14ac:dyDescent="0.25">
      <c r="A3" s="44">
        <v>85.484700000000004</v>
      </c>
      <c r="B3" s="15" t="s">
        <v>28</v>
      </c>
      <c r="C3" s="50">
        <v>10778.95</v>
      </c>
    </row>
    <row r="4" spans="1:74" s="8" customFormat="1" ht="12" thickBot="1" x14ac:dyDescent="0.25">
      <c r="A4" s="45"/>
      <c r="B4" s="15" t="s">
        <v>25</v>
      </c>
      <c r="C4" s="51">
        <v>0</v>
      </c>
    </row>
    <row r="5" spans="1:74" s="6" customFormat="1" x14ac:dyDescent="0.2">
      <c r="A5" s="43" t="s">
        <v>51</v>
      </c>
      <c r="B5" s="49" t="s">
        <v>26</v>
      </c>
      <c r="C5" s="52">
        <f>SUM(C2:C4)</f>
        <v>8282613.25</v>
      </c>
    </row>
    <row r="6" spans="1:74" s="6" customFormat="1" ht="12" thickBot="1" x14ac:dyDescent="0.25">
      <c r="A6" s="44">
        <v>74.62</v>
      </c>
      <c r="B6" s="16"/>
      <c r="C6" s="53"/>
      <c r="D6" s="17"/>
    </row>
    <row r="7" spans="1:74" s="6" customFormat="1" ht="12" thickBot="1" x14ac:dyDescent="0.25">
      <c r="A7" s="105" t="s">
        <v>51</v>
      </c>
      <c r="B7" s="18" t="s">
        <v>127</v>
      </c>
      <c r="C7" s="54">
        <f>SUM(16:16)</f>
        <v>17874240.32</v>
      </c>
    </row>
    <row r="8" spans="1:74" x14ac:dyDescent="0.25">
      <c r="A8" s="43" t="s">
        <v>52</v>
      </c>
      <c r="B8" s="18" t="s">
        <v>126</v>
      </c>
      <c r="C8" s="54">
        <f>SUM(26:26)</f>
        <v>50444904.464998953</v>
      </c>
    </row>
    <row r="9" spans="1:74" ht="12" thickBot="1" x14ac:dyDescent="0.3">
      <c r="A9" s="44">
        <v>10.9947</v>
      </c>
      <c r="B9" s="19" t="s">
        <v>64</v>
      </c>
      <c r="C9" s="55">
        <f>C5+C7-C8-C11</f>
        <v>-46856210.092318952</v>
      </c>
    </row>
    <row r="10" spans="1:74" x14ac:dyDescent="0.25">
      <c r="A10" s="99" t="s">
        <v>80</v>
      </c>
      <c r="B10" s="18" t="s">
        <v>23</v>
      </c>
      <c r="C10" s="56">
        <f>C16</f>
        <v>0</v>
      </c>
    </row>
    <row r="11" spans="1:74" x14ac:dyDescent="0.25">
      <c r="A11" s="101" t="s">
        <v>87</v>
      </c>
      <c r="B11" s="18" t="s">
        <v>24</v>
      </c>
      <c r="C11" s="54">
        <f>C26</f>
        <v>22568159.197319999</v>
      </c>
    </row>
    <row r="12" spans="1:74" x14ac:dyDescent="0.25">
      <c r="A12" s="107" t="s">
        <v>88</v>
      </c>
    </row>
    <row r="13" spans="1:74" x14ac:dyDescent="0.25">
      <c r="A13" s="38"/>
      <c r="B13" s="10"/>
      <c r="C13" s="57"/>
      <c r="D13" s="10"/>
    </row>
    <row r="14" spans="1:74" s="2" customFormat="1" x14ac:dyDescent="0.25">
      <c r="A14" s="64"/>
      <c r="B14" s="65"/>
      <c r="C14" s="58" t="s">
        <v>56</v>
      </c>
      <c r="D14" s="66"/>
      <c r="E14" s="66">
        <v>46197</v>
      </c>
      <c r="F14" s="66">
        <v>46198</v>
      </c>
      <c r="G14" s="66">
        <v>46199</v>
      </c>
      <c r="H14" s="66">
        <v>46200</v>
      </c>
      <c r="I14" s="66">
        <v>46201</v>
      </c>
      <c r="J14" s="66">
        <v>46202</v>
      </c>
      <c r="K14" s="66">
        <v>46203</v>
      </c>
      <c r="L14" s="66">
        <v>46204</v>
      </c>
      <c r="M14" s="66">
        <v>46205</v>
      </c>
      <c r="N14" s="66">
        <v>46206</v>
      </c>
      <c r="O14" s="66">
        <v>46207</v>
      </c>
      <c r="P14" s="66">
        <v>46208</v>
      </c>
      <c r="Q14" s="66">
        <v>46209</v>
      </c>
      <c r="R14" s="66">
        <v>46210</v>
      </c>
      <c r="S14" s="66">
        <v>46211</v>
      </c>
      <c r="T14" s="66">
        <v>46212</v>
      </c>
      <c r="U14" s="66">
        <v>46213</v>
      </c>
      <c r="V14" s="66">
        <v>46214</v>
      </c>
      <c r="W14" s="66">
        <v>46215</v>
      </c>
      <c r="X14" s="66">
        <v>46216</v>
      </c>
      <c r="Y14" s="66">
        <v>46217</v>
      </c>
      <c r="Z14" s="66">
        <v>46218</v>
      </c>
      <c r="AA14" s="66">
        <v>46219</v>
      </c>
      <c r="AB14" s="66">
        <v>46220</v>
      </c>
      <c r="AC14" s="66">
        <v>46221</v>
      </c>
      <c r="AD14" s="66">
        <v>46222</v>
      </c>
      <c r="AE14" s="66">
        <v>46223</v>
      </c>
      <c r="AF14" s="66">
        <v>46224</v>
      </c>
      <c r="AG14" s="66">
        <v>46225</v>
      </c>
      <c r="AH14" s="66">
        <v>46226</v>
      </c>
      <c r="AI14" s="66">
        <v>46227</v>
      </c>
      <c r="AJ14" s="66">
        <v>46228</v>
      </c>
      <c r="AK14" s="66">
        <v>46229</v>
      </c>
      <c r="AL14" s="66">
        <v>46230</v>
      </c>
      <c r="AM14" s="66">
        <v>46231</v>
      </c>
      <c r="AN14" s="66">
        <v>46232</v>
      </c>
      <c r="AO14" s="66">
        <v>46233</v>
      </c>
      <c r="AP14" s="66">
        <v>46234</v>
      </c>
      <c r="AQ14" s="66">
        <v>46235</v>
      </c>
      <c r="AR14" s="66">
        <v>46236</v>
      </c>
      <c r="AS14" s="66">
        <v>46237</v>
      </c>
      <c r="AT14" s="66">
        <v>46238</v>
      </c>
      <c r="AU14" s="66">
        <v>46239</v>
      </c>
      <c r="AV14" s="66">
        <v>46240</v>
      </c>
      <c r="AW14" s="66">
        <v>46241</v>
      </c>
      <c r="AX14" s="66">
        <v>46242</v>
      </c>
      <c r="AY14" s="66">
        <v>46243</v>
      </c>
      <c r="AZ14" s="66">
        <v>46244</v>
      </c>
      <c r="BA14" s="66">
        <v>46245</v>
      </c>
      <c r="BB14" s="66">
        <v>46246</v>
      </c>
      <c r="BC14" s="66">
        <v>46247</v>
      </c>
      <c r="BD14" s="66">
        <v>46248</v>
      </c>
      <c r="BE14" s="66">
        <v>46249</v>
      </c>
      <c r="BF14" s="66">
        <v>46250</v>
      </c>
      <c r="BG14" s="66">
        <v>46251</v>
      </c>
      <c r="BH14" s="66">
        <v>46252</v>
      </c>
      <c r="BI14" s="66">
        <v>46253</v>
      </c>
      <c r="BJ14" s="66">
        <v>46254</v>
      </c>
      <c r="BK14" s="66">
        <v>46255</v>
      </c>
      <c r="BL14" s="66">
        <v>46256</v>
      </c>
      <c r="BM14" s="66">
        <v>46257</v>
      </c>
      <c r="BN14" s="66">
        <v>46258</v>
      </c>
      <c r="BO14" s="66">
        <v>46259</v>
      </c>
      <c r="BP14" s="66">
        <v>46260</v>
      </c>
      <c r="BQ14" s="66">
        <v>46261</v>
      </c>
      <c r="BR14" s="66">
        <v>46262</v>
      </c>
      <c r="BS14" s="66">
        <v>46263</v>
      </c>
      <c r="BT14" s="66">
        <v>46264</v>
      </c>
      <c r="BU14" s="66">
        <v>46265</v>
      </c>
      <c r="BV14" s="66">
        <v>46266</v>
      </c>
    </row>
    <row r="15" spans="1:74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</row>
    <row r="16" spans="1:74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AY16" si="0">SUM(E17:E25)</f>
        <v>0</v>
      </c>
      <c r="F16" s="29">
        <f t="shared" si="0"/>
        <v>0</v>
      </c>
      <c r="G16" s="29">
        <f t="shared" si="0"/>
        <v>1500000</v>
      </c>
      <c r="H16" s="135">
        <f t="shared" si="0"/>
        <v>0</v>
      </c>
      <c r="I16" s="135">
        <f t="shared" si="0"/>
        <v>0</v>
      </c>
      <c r="J16" s="29">
        <f t="shared" si="0"/>
        <v>2000000</v>
      </c>
      <c r="K16" s="29">
        <f t="shared" si="0"/>
        <v>0</v>
      </c>
      <c r="L16" s="29">
        <f t="shared" si="0"/>
        <v>1000000</v>
      </c>
      <c r="M16" s="29">
        <f t="shared" si="0"/>
        <v>0</v>
      </c>
      <c r="N16" s="29">
        <f t="shared" si="0"/>
        <v>0</v>
      </c>
      <c r="O16" s="135">
        <f t="shared" si="0"/>
        <v>0</v>
      </c>
      <c r="P16" s="135">
        <f t="shared" si="0"/>
        <v>0</v>
      </c>
      <c r="Q16" s="29">
        <f t="shared" si="0"/>
        <v>2000000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135">
        <f t="shared" si="0"/>
        <v>0</v>
      </c>
      <c r="W16" s="135">
        <f t="shared" si="0"/>
        <v>0</v>
      </c>
      <c r="X16" s="29">
        <f t="shared" si="0"/>
        <v>2000000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135">
        <f t="shared" si="0"/>
        <v>0</v>
      </c>
      <c r="AD16" s="135">
        <f t="shared" si="0"/>
        <v>0</v>
      </c>
      <c r="AE16" s="29">
        <f t="shared" si="0"/>
        <v>2000000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135">
        <f t="shared" si="0"/>
        <v>0</v>
      </c>
      <c r="AK16" s="135">
        <f t="shared" si="0"/>
        <v>0</v>
      </c>
      <c r="AL16" s="29">
        <f t="shared" si="0"/>
        <v>4330985</v>
      </c>
      <c r="AM16" s="29">
        <f t="shared" si="0"/>
        <v>0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135">
        <f t="shared" si="0"/>
        <v>0</v>
      </c>
      <c r="AR16" s="135">
        <f t="shared" si="0"/>
        <v>0</v>
      </c>
      <c r="AS16" s="29">
        <f t="shared" si="0"/>
        <v>3043255.3200000003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135">
        <f t="shared" si="0"/>
        <v>0</v>
      </c>
      <c r="AY16" s="135">
        <f t="shared" si="0"/>
        <v>0</v>
      </c>
      <c r="AZ16" s="29">
        <f t="shared" ref="AZ16:BM16" si="1">SUM(AZ17:AZ25)</f>
        <v>0</v>
      </c>
      <c r="BA16" s="29">
        <f t="shared" si="1"/>
        <v>0</v>
      </c>
      <c r="BB16" s="29">
        <f t="shared" si="1"/>
        <v>0</v>
      </c>
      <c r="BC16" s="29">
        <f t="shared" si="1"/>
        <v>0</v>
      </c>
      <c r="BD16" s="29">
        <f t="shared" si="1"/>
        <v>0</v>
      </c>
      <c r="BE16" s="135">
        <f t="shared" si="1"/>
        <v>0</v>
      </c>
      <c r="BF16" s="135">
        <f t="shared" si="1"/>
        <v>0</v>
      </c>
      <c r="BG16" s="29">
        <f t="shared" si="1"/>
        <v>0</v>
      </c>
      <c r="BH16" s="29">
        <f t="shared" si="1"/>
        <v>0</v>
      </c>
      <c r="BI16" s="29">
        <f t="shared" si="1"/>
        <v>0</v>
      </c>
      <c r="BJ16" s="29">
        <f t="shared" si="1"/>
        <v>0</v>
      </c>
      <c r="BK16" s="29">
        <f t="shared" si="1"/>
        <v>0</v>
      </c>
      <c r="BL16" s="176">
        <f t="shared" si="1"/>
        <v>0</v>
      </c>
      <c r="BM16" s="176">
        <f t="shared" si="1"/>
        <v>0</v>
      </c>
      <c r="BN16" s="29">
        <f t="shared" ref="BN16:BO16" si="2">SUM(BN17:BN25)</f>
        <v>0</v>
      </c>
      <c r="BO16" s="29">
        <f t="shared" si="2"/>
        <v>0</v>
      </c>
      <c r="BP16" s="29">
        <f t="shared" ref="BP16:BV16" si="3">SUM(BP17:BP25)</f>
        <v>0</v>
      </c>
      <c r="BQ16" s="29">
        <f t="shared" si="3"/>
        <v>0</v>
      </c>
      <c r="BR16" s="29">
        <f t="shared" si="3"/>
        <v>0</v>
      </c>
      <c r="BS16" s="135">
        <f t="shared" si="3"/>
        <v>0</v>
      </c>
      <c r="BT16" s="135">
        <f t="shared" si="3"/>
        <v>0</v>
      </c>
      <c r="BU16" s="29">
        <f t="shared" si="3"/>
        <v>0</v>
      </c>
      <c r="BV16" s="29">
        <f t="shared" si="3"/>
        <v>0</v>
      </c>
    </row>
    <row r="17" spans="1:74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</row>
    <row r="18" spans="1:74" s="80" customFormat="1" x14ac:dyDescent="0.25">
      <c r="A18" s="40" t="s">
        <v>9</v>
      </c>
      <c r="B18" s="21"/>
      <c r="C18" s="59"/>
      <c r="D18" s="30"/>
      <c r="F18" s="30"/>
      <c r="G18" s="30">
        <v>1500000</v>
      </c>
      <c r="H18" s="30"/>
      <c r="I18" s="30"/>
      <c r="J18" s="30"/>
      <c r="K18" s="30"/>
      <c r="L18" s="30">
        <v>1000000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</row>
    <row r="19" spans="1:74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>
        <v>2000000</v>
      </c>
      <c r="K19" s="30"/>
      <c r="L19" s="30"/>
      <c r="M19" s="30"/>
      <c r="N19" s="30"/>
      <c r="O19" s="30"/>
      <c r="P19" s="30"/>
      <c r="Q19" s="30">
        <v>2000000</v>
      </c>
      <c r="R19" s="30"/>
      <c r="S19" s="30"/>
      <c r="T19" s="30"/>
      <c r="U19" s="30"/>
      <c r="V19" s="30"/>
      <c r="W19" s="30"/>
      <c r="X19" s="30">
        <v>2000000</v>
      </c>
      <c r="Y19" s="30"/>
      <c r="Z19" s="30"/>
      <c r="AA19" s="30"/>
      <c r="AB19" s="30"/>
      <c r="AC19" s="30"/>
      <c r="AD19" s="30"/>
      <c r="AE19" s="30">
        <v>2000000</v>
      </c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</row>
    <row r="20" spans="1:74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J20" s="30"/>
      <c r="AK20" s="30"/>
      <c r="AL20" s="30">
        <v>4330985</v>
      </c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</row>
    <row r="21" spans="1:74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</row>
    <row r="22" spans="1:74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</row>
    <row r="23" spans="1:74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</row>
    <row r="24" spans="1:74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K24" s="30"/>
      <c r="L24" s="30"/>
      <c r="M24" s="30"/>
      <c r="N24" s="30"/>
      <c r="O24" s="30"/>
      <c r="P24" s="30"/>
      <c r="Q24" s="30"/>
      <c r="R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165">
        <f>35600*A3</f>
        <v>3043255.3200000003</v>
      </c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</row>
    <row r="25" spans="1:74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</row>
    <row r="26" spans="1:74" s="4" customFormat="1" x14ac:dyDescent="0.2">
      <c r="A26" s="41" t="s">
        <v>1</v>
      </c>
      <c r="B26" s="22"/>
      <c r="C26" s="34">
        <f>SUM(C28:C71)</f>
        <v>22568159.197319999</v>
      </c>
      <c r="D26" s="34"/>
      <c r="E26" s="34">
        <f t="shared" ref="E26:AY26" si="4">SUM(E27:E72)</f>
        <v>757003.97</v>
      </c>
      <c r="F26" s="34">
        <f t="shared" si="4"/>
        <v>1137097.3494466667</v>
      </c>
      <c r="G26" s="34">
        <f t="shared" si="4"/>
        <v>7579595.1682333332</v>
      </c>
      <c r="H26" s="34">
        <f t="shared" si="4"/>
        <v>0</v>
      </c>
      <c r="I26" s="34">
        <f t="shared" si="4"/>
        <v>0</v>
      </c>
      <c r="J26" s="34">
        <f t="shared" si="4"/>
        <v>798558.90505333326</v>
      </c>
      <c r="K26" s="34">
        <f t="shared" si="4"/>
        <v>3772974.7682333337</v>
      </c>
      <c r="L26" s="34">
        <f t="shared" si="4"/>
        <v>713692.5814133333</v>
      </c>
      <c r="M26" s="34">
        <f t="shared" si="4"/>
        <v>1322885.3903386362</v>
      </c>
      <c r="N26" s="34">
        <f t="shared" si="4"/>
        <v>989476.21818181826</v>
      </c>
      <c r="O26" s="34">
        <f t="shared" si="4"/>
        <v>0</v>
      </c>
      <c r="P26" s="34">
        <f t="shared" si="4"/>
        <v>694560</v>
      </c>
      <c r="Q26" s="34">
        <f t="shared" si="4"/>
        <v>330877.7071709091</v>
      </c>
      <c r="R26" s="34">
        <f t="shared" si="4"/>
        <v>852026.89606181823</v>
      </c>
      <c r="S26" s="34">
        <f t="shared" si="4"/>
        <v>754849.18139863643</v>
      </c>
      <c r="T26" s="34">
        <f t="shared" si="4"/>
        <v>522026.89606181823</v>
      </c>
      <c r="U26" s="34">
        <f t="shared" si="4"/>
        <v>267319.96636363631</v>
      </c>
      <c r="V26" s="34">
        <f t="shared" si="4"/>
        <v>0</v>
      </c>
      <c r="W26" s="34">
        <f t="shared" si="4"/>
        <v>0</v>
      </c>
      <c r="X26" s="34">
        <f t="shared" si="4"/>
        <v>2176958.0778800002</v>
      </c>
      <c r="Y26" s="34">
        <f t="shared" si="4"/>
        <v>383863.09798181814</v>
      </c>
      <c r="Z26" s="34">
        <f t="shared" si="4"/>
        <v>107956.33333333334</v>
      </c>
      <c r="AA26" s="34">
        <f t="shared" si="4"/>
        <v>217340.30543863637</v>
      </c>
      <c r="AB26" s="34">
        <f t="shared" si="4"/>
        <v>372610.30543863634</v>
      </c>
      <c r="AC26" s="34">
        <f t="shared" si="4"/>
        <v>0</v>
      </c>
      <c r="AD26" s="34">
        <f t="shared" si="4"/>
        <v>0</v>
      </c>
      <c r="AE26" s="34">
        <f t="shared" si="4"/>
        <v>713425.30543863634</v>
      </c>
      <c r="AF26" s="34">
        <f t="shared" si="4"/>
        <v>831910.30543863634</v>
      </c>
      <c r="AG26" s="34">
        <f t="shared" si="4"/>
        <v>177340.30543863637</v>
      </c>
      <c r="AH26" s="34">
        <f t="shared" si="4"/>
        <v>56333.333333333336</v>
      </c>
      <c r="AI26" s="34">
        <f t="shared" si="4"/>
        <v>0</v>
      </c>
      <c r="AJ26" s="34">
        <f t="shared" si="4"/>
        <v>0</v>
      </c>
      <c r="AK26" s="34">
        <f t="shared" si="4"/>
        <v>0</v>
      </c>
      <c r="AL26" s="34">
        <f t="shared" si="4"/>
        <v>1600000</v>
      </c>
      <c r="AM26" s="34">
        <f t="shared" si="4"/>
        <v>0</v>
      </c>
      <c r="AN26" s="34">
        <f t="shared" si="4"/>
        <v>0</v>
      </c>
      <c r="AO26" s="34">
        <f t="shared" si="4"/>
        <v>0</v>
      </c>
      <c r="AP26" s="34">
        <f t="shared" si="4"/>
        <v>0</v>
      </c>
      <c r="AQ26" s="34">
        <f t="shared" si="4"/>
        <v>0</v>
      </c>
      <c r="AR26" s="34">
        <f t="shared" si="4"/>
        <v>0</v>
      </c>
      <c r="AS26" s="34">
        <f t="shared" si="4"/>
        <v>746062.9</v>
      </c>
      <c r="AT26" s="34">
        <f t="shared" si="4"/>
        <v>0</v>
      </c>
      <c r="AU26" s="34">
        <f t="shared" si="4"/>
        <v>0</v>
      </c>
      <c r="AV26" s="34">
        <f t="shared" si="4"/>
        <v>0</v>
      </c>
      <c r="AW26" s="34">
        <f t="shared" si="4"/>
        <v>0</v>
      </c>
      <c r="AX26" s="34">
        <f t="shared" si="4"/>
        <v>0</v>
      </c>
      <c r="AY26" s="34">
        <f t="shared" si="4"/>
        <v>0</v>
      </c>
      <c r="AZ26" s="34">
        <f t="shared" ref="AZ26" si="5">SUM(AZ27:AZ72)</f>
        <v>0</v>
      </c>
      <c r="BA26" s="34">
        <f t="shared" ref="BA26" si="6">SUM(BA27:BA72)</f>
        <v>0</v>
      </c>
      <c r="BB26" s="34">
        <f t="shared" ref="BB26" si="7">SUM(BB27:BB72)</f>
        <v>0</v>
      </c>
      <c r="BC26" s="34">
        <f t="shared" ref="BC26" si="8">SUM(BC27:BC72)</f>
        <v>0</v>
      </c>
      <c r="BD26" s="34">
        <f t="shared" ref="BD26" si="9">SUM(BD27:BD72)</f>
        <v>0</v>
      </c>
      <c r="BE26" s="34">
        <f t="shared" ref="BE26" si="10">SUM(BE27:BE72)</f>
        <v>0</v>
      </c>
      <c r="BF26" s="34">
        <f t="shared" ref="BF26" si="11">SUM(BF27:BF72)</f>
        <v>0</v>
      </c>
      <c r="BG26" s="34">
        <f t="shared" ref="BG26" si="12">SUM(BG27:BG72)</f>
        <v>0</v>
      </c>
      <c r="BH26" s="34">
        <f t="shared" ref="BH26" si="13">SUM(BH27:BH72)</f>
        <v>0</v>
      </c>
      <c r="BI26" s="34">
        <f t="shared" ref="BI26" si="14">SUM(BI27:BI72)</f>
        <v>0</v>
      </c>
      <c r="BJ26" s="34">
        <f t="shared" ref="BJ26" si="15">SUM(BJ27:BJ72)</f>
        <v>0</v>
      </c>
      <c r="BK26" s="34">
        <f t="shared" ref="BK26" si="16">SUM(BK27:BK72)</f>
        <v>0</v>
      </c>
      <c r="BL26" s="34">
        <f t="shared" ref="BL26" si="17">SUM(BL27:BL72)</f>
        <v>0</v>
      </c>
      <c r="BM26" s="34">
        <f t="shared" ref="BM26" si="18">SUM(BM27:BM72)</f>
        <v>0</v>
      </c>
      <c r="BN26" s="34">
        <f t="shared" ref="BN26" si="19">SUM(BN27:BN72)</f>
        <v>0</v>
      </c>
      <c r="BO26" s="34">
        <f t="shared" ref="BO26" si="20">SUM(BO27:BO72)</f>
        <v>0</v>
      </c>
      <c r="BP26" s="34">
        <f t="shared" ref="BP26" si="21">SUM(BP27:BP72)</f>
        <v>0</v>
      </c>
      <c r="BQ26" s="34">
        <f t="shared" ref="BQ26" si="22">SUM(BQ27:BQ72)</f>
        <v>0</v>
      </c>
      <c r="BR26" s="34">
        <f t="shared" ref="BR26" si="23">SUM(BR27:BR72)</f>
        <v>0</v>
      </c>
      <c r="BS26" s="34">
        <f t="shared" ref="BS26" si="24">SUM(BS27:BS72)</f>
        <v>0</v>
      </c>
      <c r="BT26" s="34">
        <f t="shared" ref="BT26" si="25">SUM(BT27:BT72)</f>
        <v>0</v>
      </c>
      <c r="BU26" s="34">
        <f t="shared" ref="BU26" si="26">SUM(BU27:BU72)</f>
        <v>0</v>
      </c>
      <c r="BV26" s="34">
        <f t="shared" ref="BV26" si="27">SUM(BV27:BV72)</f>
        <v>0</v>
      </c>
    </row>
    <row r="27" spans="1:74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</row>
    <row r="28" spans="1:74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</row>
    <row r="29" spans="1:74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</row>
    <row r="30" spans="1:74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>
        <f>8399365/3</f>
        <v>2799788.3333333335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</row>
    <row r="31" spans="1:74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90">
        <f>291375+137118</f>
        <v>428493</v>
      </c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</row>
    <row r="32" spans="1:74" s="1" customFormat="1" x14ac:dyDescent="0.2">
      <c r="A32" s="36" t="s">
        <v>7</v>
      </c>
      <c r="B32" s="23" t="s">
        <v>8</v>
      </c>
      <c r="C32" s="60"/>
      <c r="D32" s="24"/>
      <c r="F32" s="24">
        <v>350000</v>
      </c>
      <c r="G32" s="24">
        <v>480520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</row>
    <row r="33" spans="1:74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>
        <v>271506</v>
      </c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</row>
    <row r="34" spans="1:74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</row>
    <row r="35" spans="1:74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>
        <v>200113.9</v>
      </c>
      <c r="N35" s="24">
        <v>40000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>
        <v>200113.9</v>
      </c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</row>
    <row r="36" spans="1:74" s="1" customFormat="1" x14ac:dyDescent="0.2">
      <c r="A36" s="36" t="s">
        <v>53</v>
      </c>
      <c r="B36" s="23"/>
      <c r="C36" s="60"/>
      <c r="D36" s="24"/>
      <c r="E36" s="24"/>
      <c r="F36" s="24"/>
      <c r="G36" s="24"/>
      <c r="H36" s="24"/>
      <c r="I36" s="24"/>
      <c r="J36" s="24"/>
      <c r="K36" s="24"/>
      <c r="L36" s="24"/>
      <c r="M36" s="24">
        <v>545949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>
        <v>545949</v>
      </c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</row>
    <row r="37" spans="1:74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</row>
    <row r="38" spans="1:74" s="71" customFormat="1" x14ac:dyDescent="0.2">
      <c r="A38" s="69" t="s">
        <v>14</v>
      </c>
      <c r="B38" s="25" t="s">
        <v>30</v>
      </c>
      <c r="C38" s="70"/>
      <c r="D38" s="24"/>
      <c r="F38" s="100">
        <v>155000</v>
      </c>
      <c r="G38" s="100">
        <v>150000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</row>
    <row r="39" spans="1:74" s="71" customFormat="1" x14ac:dyDescent="0.2">
      <c r="A39" s="69" t="s">
        <v>115</v>
      </c>
      <c r="B39" s="25" t="s">
        <v>116</v>
      </c>
      <c r="C39" s="70"/>
      <c r="D39" s="24"/>
      <c r="E39" s="108">
        <f>312320/10</f>
        <v>31232</v>
      </c>
      <c r="F39" s="24"/>
      <c r="G39" s="108">
        <f>312320/10</f>
        <v>31232</v>
      </c>
      <c r="H39" s="24"/>
      <c r="I39" s="24"/>
      <c r="J39" s="108">
        <v>124838</v>
      </c>
      <c r="K39" s="24"/>
      <c r="L39" s="108">
        <f>312320/10</f>
        <v>31232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</row>
    <row r="40" spans="1:74" s="71" customFormat="1" x14ac:dyDescent="0.2">
      <c r="A40" s="69" t="s">
        <v>97</v>
      </c>
      <c r="B40" s="25" t="s">
        <v>137</v>
      </c>
      <c r="C40" s="70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100">
        <f>472500-142500</f>
        <v>330000</v>
      </c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100">
        <v>654570</v>
      </c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</row>
    <row r="41" spans="1:74" s="71" customFormat="1" x14ac:dyDescent="0.2">
      <c r="A41" s="69" t="s">
        <v>15</v>
      </c>
      <c r="B41" s="25" t="s">
        <v>31</v>
      </c>
      <c r="C41" s="70">
        <f>1547684-50000-50000-50000-50000-50000-50000</f>
        <v>1247684</v>
      </c>
      <c r="D41" s="24"/>
      <c r="E41" s="108">
        <f t="shared" ref="E41" si="28">516230/10</f>
        <v>51623</v>
      </c>
      <c r="F41" s="108">
        <f t="shared" ref="F41" si="29">(515224/4)/3</f>
        <v>42935.333333333336</v>
      </c>
      <c r="G41" s="108">
        <f>516230/10</f>
        <v>51623</v>
      </c>
      <c r="H41" s="24"/>
      <c r="I41" s="24"/>
      <c r="J41" s="108">
        <f>516230/10</f>
        <v>51623</v>
      </c>
      <c r="K41" s="108">
        <f t="shared" ref="K41:N41" si="30">516230/10</f>
        <v>51623</v>
      </c>
      <c r="L41" s="108">
        <f t="shared" si="30"/>
        <v>51623</v>
      </c>
      <c r="M41" s="108">
        <f t="shared" si="30"/>
        <v>51623</v>
      </c>
      <c r="N41" s="108">
        <f t="shared" si="30"/>
        <v>51623</v>
      </c>
      <c r="O41" s="24"/>
      <c r="Q41" s="108">
        <f t="shared" ref="Q41:U41" si="31">516230/10</f>
        <v>51623</v>
      </c>
      <c r="R41" s="108">
        <f t="shared" si="31"/>
        <v>51623</v>
      </c>
      <c r="S41" s="108">
        <f t="shared" si="31"/>
        <v>51623</v>
      </c>
      <c r="T41" s="108">
        <f t="shared" si="31"/>
        <v>51623</v>
      </c>
      <c r="U41" s="108">
        <f t="shared" si="31"/>
        <v>51623</v>
      </c>
      <c r="V41" s="24"/>
      <c r="W41" s="24"/>
      <c r="X41" s="100">
        <v>516230</v>
      </c>
      <c r="Y41" s="108">
        <f>516230/10</f>
        <v>51623</v>
      </c>
      <c r="Z41" s="108">
        <f t="shared" ref="Z41" si="32">516230/10</f>
        <v>51623</v>
      </c>
      <c r="AA41" s="24"/>
      <c r="AB41" s="98">
        <f>515224/4+54464</f>
        <v>183270</v>
      </c>
      <c r="AC41" s="24"/>
      <c r="AD41" s="24"/>
      <c r="AE41" s="100">
        <v>536085</v>
      </c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</row>
    <row r="42" spans="1:74" s="71" customFormat="1" x14ac:dyDescent="0.2">
      <c r="A42" s="69" t="s">
        <v>85</v>
      </c>
      <c r="B42" s="25" t="s">
        <v>47</v>
      </c>
      <c r="C42" s="70"/>
      <c r="D42" s="24"/>
      <c r="E42" s="24"/>
      <c r="F42" s="24"/>
      <c r="G42" s="24"/>
      <c r="H42" s="24"/>
      <c r="I42" s="24"/>
      <c r="J42" s="24"/>
      <c r="K42" s="24"/>
      <c r="L42" s="100">
        <f>2997.5*A6</f>
        <v>223673.45</v>
      </c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</row>
    <row r="43" spans="1:74" s="71" customFormat="1" x14ac:dyDescent="0.2">
      <c r="A43" s="69" t="s">
        <v>143</v>
      </c>
      <c r="B43" s="25" t="s">
        <v>45</v>
      </c>
      <c r="C43" s="24">
        <f>188496*A9-12500*A9-12600*A9-12500*A9</f>
        <v>1659056.2512000001</v>
      </c>
      <c r="D43" s="24"/>
      <c r="E43" s="24"/>
      <c r="F43" s="108">
        <f t="shared" ref="F43:R43" si="33">(188496*$A$9)/15</f>
        <v>138163.79808000001</v>
      </c>
      <c r="G43" s="108">
        <f t="shared" si="33"/>
        <v>138163.79808000001</v>
      </c>
      <c r="H43" s="24"/>
      <c r="I43" s="24"/>
      <c r="J43" s="108">
        <f>(188496*$A$9)/15</f>
        <v>138163.79808000001</v>
      </c>
      <c r="K43" s="108">
        <f t="shared" ref="K43:M43" si="34">(188496*$A$9)/15</f>
        <v>138163.79808000001</v>
      </c>
      <c r="L43" s="108">
        <f t="shared" si="34"/>
        <v>138163.79808000001</v>
      </c>
      <c r="M43" s="108">
        <f t="shared" si="34"/>
        <v>138163.79808000001</v>
      </c>
      <c r="N43" s="28"/>
      <c r="O43" s="24"/>
      <c r="P43" s="24"/>
      <c r="Q43" s="108">
        <f t="shared" ref="Q43" si="35">(188496*$A$9)/15</f>
        <v>138163.79808000001</v>
      </c>
      <c r="R43" s="108">
        <f t="shared" si="33"/>
        <v>138163.79808000001</v>
      </c>
      <c r="S43" s="108">
        <f>((188496*$A$9)/15)*2</f>
        <v>276327.59616000002</v>
      </c>
      <c r="T43" s="108">
        <f>(188496*$A$9)/15</f>
        <v>138163.79808000001</v>
      </c>
      <c r="U43" s="24"/>
      <c r="V43" s="24"/>
      <c r="W43" s="24"/>
      <c r="X43" s="108">
        <f>(188496*$A$9)/15</f>
        <v>138163.79808000001</v>
      </c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</row>
    <row r="44" spans="1:74" s="71" customFormat="1" x14ac:dyDescent="0.2">
      <c r="A44" s="69" t="s">
        <v>120</v>
      </c>
      <c r="B44" s="25" t="s">
        <v>121</v>
      </c>
      <c r="C44" s="120">
        <f>507000+1014000-47000-56000-45000-50000-90000</f>
        <v>1233000</v>
      </c>
      <c r="D44" s="24"/>
      <c r="E44" s="24"/>
      <c r="F44" s="108">
        <f t="shared" ref="F44:G44" si="36">507000/9</f>
        <v>56333.333333333336</v>
      </c>
      <c r="G44" s="108">
        <f t="shared" si="36"/>
        <v>56333.333333333336</v>
      </c>
      <c r="H44" s="24"/>
      <c r="I44" s="24"/>
      <c r="J44" s="108">
        <f t="shared" ref="J44:Z44" si="37">507000/9</f>
        <v>56333.333333333336</v>
      </c>
      <c r="L44" s="108">
        <f t="shared" si="37"/>
        <v>56333.333333333336</v>
      </c>
      <c r="M44" s="108">
        <f>(1014000/11+88393.5*$A$9)/6</f>
        <v>177340.30543863637</v>
      </c>
      <c r="N44" s="108">
        <f t="shared" ref="N44:R44" si="38">1014000/11</f>
        <v>92181.818181818177</v>
      </c>
      <c r="O44" s="24"/>
      <c r="P44" s="100">
        <v>682560</v>
      </c>
      <c r="Q44" s="108">
        <f>(1014000/11)/2</f>
        <v>46090.909090909088</v>
      </c>
      <c r="R44" s="108">
        <f t="shared" si="38"/>
        <v>92181.818181818177</v>
      </c>
      <c r="S44" s="108">
        <f>(1014000/11+88393.5*$A$9)/6</f>
        <v>177340.30543863637</v>
      </c>
      <c r="T44" s="108">
        <f t="shared" ref="T44:Y44" si="39">1014000/11</f>
        <v>92181.818181818177</v>
      </c>
      <c r="U44" s="108">
        <f>(1014000/11)*2+9333.33</f>
        <v>193696.96636363634</v>
      </c>
      <c r="V44" s="24"/>
      <c r="W44" s="24"/>
      <c r="X44" s="108">
        <v>991000</v>
      </c>
      <c r="Y44" s="108">
        <f t="shared" si="39"/>
        <v>92181.818181818177</v>
      </c>
      <c r="Z44" s="108">
        <f t="shared" si="37"/>
        <v>56333.333333333336</v>
      </c>
      <c r="AA44" s="108">
        <f>(1014000/11+88393.5*$A$9)/6</f>
        <v>177340.30543863637</v>
      </c>
      <c r="AB44" s="108">
        <f>(1014000/11+88393.5*$A$9)/6</f>
        <v>177340.30543863637</v>
      </c>
      <c r="AC44" s="24"/>
      <c r="AD44" s="24"/>
      <c r="AE44" s="108">
        <f>(1014000/11+88393.5*$A$9)/6</f>
        <v>177340.30543863637</v>
      </c>
      <c r="AF44" s="108">
        <f>(1014000/11+88393.5*$A$9)/6</f>
        <v>177340.30543863637</v>
      </c>
      <c r="AG44" s="108">
        <f>(1014000/11+88393.5*$A$9)/6</f>
        <v>177340.30543863637</v>
      </c>
      <c r="AH44" s="108">
        <f>507000/9</f>
        <v>56333.333333333336</v>
      </c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</row>
    <row r="45" spans="1:74" s="73" customFormat="1" x14ac:dyDescent="0.2">
      <c r="A45" s="69" t="s">
        <v>22</v>
      </c>
      <c r="B45" s="25" t="s">
        <v>48</v>
      </c>
      <c r="C45" s="137"/>
      <c r="D45" s="72"/>
      <c r="E45" s="24"/>
      <c r="F45" s="160">
        <f>(52206*$A$9)/6</f>
        <v>95664.884699999995</v>
      </c>
      <c r="G45" s="160">
        <f>(52206*$A$9+2988*$A$6)/10</f>
        <v>79695.38682</v>
      </c>
      <c r="H45" s="72"/>
      <c r="I45" s="72"/>
      <c r="J45" s="160">
        <f>((52206*$A$9+2988*$A$6)/10)*2</f>
        <v>159390.77364</v>
      </c>
      <c r="K45" s="160">
        <f t="shared" ref="K45" si="40">(52206*$A$9+2988*$A$6)/10</f>
        <v>79695.38682</v>
      </c>
      <c r="M45" s="160">
        <f t="shared" ref="M45" si="41">(52206*$A$9+2988*$A$6)/10</f>
        <v>79695.38682</v>
      </c>
      <c r="N45" s="166">
        <f>62000*$A$9</f>
        <v>681671.4</v>
      </c>
      <c r="O45" s="72"/>
      <c r="P45" s="72"/>
      <c r="R45" s="160">
        <f>(109170*$A$9)/5</f>
        <v>240058.27979999999</v>
      </c>
      <c r="S45" s="160">
        <f t="shared" ref="S45:T45" si="42">(109170*$A$9)/5</f>
        <v>240058.27979999999</v>
      </c>
      <c r="T45" s="160">
        <f t="shared" si="42"/>
        <v>240058.27979999999</v>
      </c>
      <c r="U45" s="72"/>
      <c r="V45" s="72"/>
      <c r="W45" s="72"/>
      <c r="X45" s="160">
        <f t="shared" ref="X45:Y45" si="43">(109170*$A$9)/5</f>
        <v>240058.27979999999</v>
      </c>
      <c r="Y45" s="160">
        <f t="shared" si="43"/>
        <v>240058.27979999999</v>
      </c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</row>
    <row r="46" spans="1:74" s="73" customFormat="1" x14ac:dyDescent="0.2">
      <c r="A46" s="69" t="s">
        <v>108</v>
      </c>
      <c r="B46" s="25" t="s">
        <v>109</v>
      </c>
      <c r="C46" s="120"/>
      <c r="D46" s="72"/>
      <c r="E46" s="24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</row>
    <row r="47" spans="1:74" s="71" customFormat="1" x14ac:dyDescent="0.2">
      <c r="A47" s="69" t="s">
        <v>36</v>
      </c>
      <c r="B47" s="25" t="s">
        <v>37</v>
      </c>
      <c r="C47" s="130"/>
      <c r="D47" s="24"/>
      <c r="E47" s="24"/>
      <c r="G47" s="100">
        <f>350422.5/2</f>
        <v>175211.25</v>
      </c>
      <c r="H47" s="24"/>
      <c r="I47" s="24"/>
      <c r="J47" s="24"/>
      <c r="K47" s="100">
        <f>350422.5/2</f>
        <v>175211.25</v>
      </c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</row>
    <row r="48" spans="1:74" s="71" customFormat="1" x14ac:dyDescent="0.2">
      <c r="A48" s="69" t="s">
        <v>86</v>
      </c>
      <c r="B48" s="25" t="s">
        <v>35</v>
      </c>
      <c r="C48" s="70"/>
      <c r="D48" s="77"/>
      <c r="E48" s="24"/>
      <c r="F48" s="24"/>
      <c r="G48" s="24"/>
      <c r="H48" s="24"/>
      <c r="I48" s="24"/>
      <c r="J48" s="24"/>
      <c r="K48" s="24"/>
      <c r="L48" s="100">
        <f>2850*A6</f>
        <v>212667</v>
      </c>
      <c r="M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</row>
    <row r="49" spans="1:74" s="71" customFormat="1" x14ac:dyDescent="0.2">
      <c r="A49" s="69" t="s">
        <v>29</v>
      </c>
      <c r="B49" s="25" t="s">
        <v>43</v>
      </c>
      <c r="C49" s="70">
        <f>439750-19750-25000-25000-25000-20000-20000-25000-50000</f>
        <v>230000</v>
      </c>
      <c r="D49" s="24"/>
      <c r="E49" s="24"/>
      <c r="F49" s="24"/>
      <c r="H49" s="24"/>
      <c r="I49" s="24"/>
      <c r="J49" s="95">
        <v>35000</v>
      </c>
      <c r="K49" s="24"/>
      <c r="L49" s="24"/>
      <c r="M49" s="24"/>
      <c r="N49" s="95">
        <v>100000</v>
      </c>
      <c r="O49" s="24"/>
      <c r="P49" s="24"/>
      <c r="Q49" s="95">
        <v>95000</v>
      </c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</row>
    <row r="50" spans="1:74" s="71" customFormat="1" x14ac:dyDescent="0.2">
      <c r="A50" s="69" t="s">
        <v>141</v>
      </c>
      <c r="B50" s="25" t="s">
        <v>142</v>
      </c>
      <c r="C50" s="70"/>
      <c r="D50" s="24"/>
      <c r="E50" s="24"/>
      <c r="F50" s="24"/>
      <c r="G50" s="24"/>
      <c r="H50" s="24"/>
      <c r="I50" s="24"/>
      <c r="J50" s="24"/>
      <c r="K50" s="24"/>
      <c r="L50" s="28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</row>
    <row r="51" spans="1:74" s="71" customFormat="1" x14ac:dyDescent="0.2">
      <c r="A51" s="69" t="s">
        <v>159</v>
      </c>
      <c r="B51" s="25" t="s">
        <v>160</v>
      </c>
      <c r="C51" s="70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</row>
    <row r="52" spans="1:74" s="71" customFormat="1" x14ac:dyDescent="0.2">
      <c r="A52" s="69" t="s">
        <v>124</v>
      </c>
      <c r="B52" s="25" t="s">
        <v>125</v>
      </c>
      <c r="C52" s="70"/>
      <c r="D52" s="24"/>
      <c r="E52" s="100">
        <v>362481.97</v>
      </c>
      <c r="F52" s="24"/>
      <c r="G52" s="24"/>
      <c r="H52" s="24"/>
      <c r="I52" s="24"/>
      <c r="J52" s="100">
        <v>203210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</row>
    <row r="53" spans="1:74" s="71" customFormat="1" x14ac:dyDescent="0.2">
      <c r="A53" s="69" t="s">
        <v>40</v>
      </c>
      <c r="B53" s="25" t="s">
        <v>44</v>
      </c>
      <c r="C53" s="7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</row>
    <row r="54" spans="1:74" s="71" customFormat="1" x14ac:dyDescent="0.2">
      <c r="A54" s="69" t="s">
        <v>90</v>
      </c>
      <c r="B54" s="25" t="s">
        <v>91</v>
      </c>
      <c r="C54" s="70">
        <f>912000+1012000-100000-100000-75000-75000-75000-75000-75000-75000-75000-75000-75000-75000-75000-75000-100000-75000-100000</f>
        <v>549000</v>
      </c>
      <c r="D54" s="77"/>
      <c r="E54" s="129">
        <v>100000</v>
      </c>
      <c r="F54" s="129">
        <f>124000+25000</f>
        <v>149000</v>
      </c>
      <c r="G54" s="129">
        <v>100000</v>
      </c>
      <c r="H54" s="24"/>
      <c r="I54" s="24"/>
      <c r="J54" s="24"/>
      <c r="K54" s="129">
        <v>100000</v>
      </c>
      <c r="L54" s="24"/>
      <c r="M54" s="129">
        <v>100000</v>
      </c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</row>
    <row r="55" spans="1:74" s="71" customFormat="1" x14ac:dyDescent="0.2">
      <c r="A55" s="69" t="s">
        <v>138</v>
      </c>
      <c r="B55" s="25" t="s">
        <v>136</v>
      </c>
      <c r="C55" s="70"/>
      <c r="D55" s="77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</row>
    <row r="56" spans="1:74" s="71" customFormat="1" x14ac:dyDescent="0.2">
      <c r="A56" s="69" t="s">
        <v>156</v>
      </c>
      <c r="B56" s="25" t="s">
        <v>157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</row>
    <row r="57" spans="1:74" s="71" customFormat="1" ht="12.75" customHeight="1" x14ac:dyDescent="0.2">
      <c r="A57" s="151" t="s">
        <v>139</v>
      </c>
      <c r="B57" s="152" t="s">
        <v>161</v>
      </c>
      <c r="C57" s="70">
        <f>2772000-150000</f>
        <v>2622000</v>
      </c>
      <c r="D57" s="77"/>
      <c r="E57" s="100">
        <v>200000</v>
      </c>
      <c r="F57" s="100">
        <v>150000</v>
      </c>
      <c r="G57" s="100">
        <v>150000</v>
      </c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</row>
    <row r="58" spans="1:74" s="71" customFormat="1" x14ac:dyDescent="0.2">
      <c r="A58" s="69" t="s">
        <v>128</v>
      </c>
      <c r="B58" s="25" t="s">
        <v>129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</row>
    <row r="59" spans="1:74" s="71" customFormat="1" x14ac:dyDescent="0.2">
      <c r="A59" s="69" t="s">
        <v>154</v>
      </c>
      <c r="B59" s="25" t="s">
        <v>153</v>
      </c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</row>
    <row r="60" spans="1:74" s="71" customFormat="1" x14ac:dyDescent="0.2">
      <c r="A60" s="69" t="s">
        <v>158</v>
      </c>
      <c r="B60" s="25"/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</row>
    <row r="61" spans="1:74" s="71" customFormat="1" x14ac:dyDescent="0.2">
      <c r="A61" s="69" t="s">
        <v>38</v>
      </c>
      <c r="B61" s="25" t="s">
        <v>39</v>
      </c>
      <c r="C61" s="70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</row>
    <row r="62" spans="1:74" s="71" customFormat="1" x14ac:dyDescent="0.2">
      <c r="A62" s="69" t="s">
        <v>74</v>
      </c>
      <c r="B62" s="25" t="s">
        <v>131</v>
      </c>
      <c r="C62" s="70"/>
      <c r="D62" s="24"/>
      <c r="E62" s="100">
        <v>11667</v>
      </c>
      <c r="F62" s="24"/>
      <c r="G62" s="100">
        <v>10000</v>
      </c>
      <c r="H62" s="24"/>
      <c r="I62" s="24"/>
      <c r="J62" s="100">
        <v>30000</v>
      </c>
      <c r="K62" s="24"/>
      <c r="L62" s="24"/>
      <c r="M62" s="100">
        <v>30000</v>
      </c>
      <c r="N62" s="100">
        <f>7500+16500</f>
        <v>24000</v>
      </c>
      <c r="O62" s="24"/>
      <c r="P62" s="100">
        <v>12000</v>
      </c>
      <c r="Q62" s="24"/>
      <c r="R62" s="24"/>
      <c r="S62" s="100">
        <v>9500</v>
      </c>
      <c r="T62" s="24"/>
      <c r="U62" s="100">
        <v>22000</v>
      </c>
      <c r="V62" s="24"/>
      <c r="W62" s="24"/>
      <c r="X62" s="100">
        <v>20000</v>
      </c>
      <c r="Y62" s="24"/>
      <c r="Z62" s="24"/>
      <c r="AA62" s="143">
        <v>40000</v>
      </c>
      <c r="AB62" s="143">
        <v>12000</v>
      </c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</row>
    <row r="63" spans="1:74" s="71" customFormat="1" x14ac:dyDescent="0.2">
      <c r="A63" s="69" t="s">
        <v>74</v>
      </c>
      <c r="B63" s="25" t="s">
        <v>150</v>
      </c>
      <c r="C63" s="164">
        <v>3567700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</row>
    <row r="64" spans="1:74" s="73" customFormat="1" x14ac:dyDescent="0.2">
      <c r="A64" s="78"/>
      <c r="B64" s="79"/>
      <c r="C64" s="75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</row>
    <row r="65" spans="1:74" s="94" customFormat="1" ht="33.75" x14ac:dyDescent="0.2">
      <c r="A65" s="91" t="s">
        <v>60</v>
      </c>
      <c r="B65" s="92" t="s">
        <v>58</v>
      </c>
      <c r="C65" s="93">
        <v>248639.70012000017</v>
      </c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</row>
    <row r="66" spans="1:74" s="5" customFormat="1" x14ac:dyDescent="0.2">
      <c r="A66" s="42"/>
      <c r="B66" s="12"/>
      <c r="C66" s="68"/>
      <c r="D66" s="26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</row>
    <row r="67" spans="1:74" s="5" customFormat="1" x14ac:dyDescent="0.2">
      <c r="A67" s="36" t="s">
        <v>49</v>
      </c>
      <c r="B67" s="12"/>
      <c r="C67" s="13"/>
      <c r="D67" s="26"/>
      <c r="E67" s="13"/>
      <c r="F67" s="13"/>
      <c r="G67" s="13">
        <f>1400000+7400*A3</f>
        <v>2032586.78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</row>
    <row r="68" spans="1:74" s="5" customFormat="1" x14ac:dyDescent="0.2">
      <c r="A68" s="36" t="s">
        <v>57</v>
      </c>
      <c r="B68" s="12"/>
      <c r="C68" s="68"/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J68" s="13"/>
      <c r="AK68" s="13"/>
      <c r="AL68" s="168">
        <v>1600000</v>
      </c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</row>
    <row r="69" spans="1:74" s="5" customFormat="1" x14ac:dyDescent="0.2">
      <c r="A69" s="36" t="s">
        <v>61</v>
      </c>
      <c r="B69" s="12"/>
      <c r="C69" s="13">
        <v>112000</v>
      </c>
      <c r="D69" s="26"/>
      <c r="E69" s="13"/>
      <c r="F69" s="13"/>
      <c r="G69" s="13">
        <f>4600*$A$3</f>
        <v>393229.62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</row>
    <row r="70" spans="1:74" s="5" customFormat="1" x14ac:dyDescent="0.2">
      <c r="A70" s="42" t="s">
        <v>151</v>
      </c>
      <c r="B70" s="12"/>
      <c r="C70" s="68">
        <f>(10000*10)*A6</f>
        <v>7462000</v>
      </c>
      <c r="D70" s="26"/>
      <c r="E70" s="13"/>
      <c r="F70" s="13"/>
      <c r="G70" s="126">
        <f>C70/2</f>
        <v>3731000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</row>
    <row r="71" spans="1:74" s="5" customFormat="1" x14ac:dyDescent="0.2">
      <c r="A71" s="36" t="s">
        <v>72</v>
      </c>
      <c r="B71" s="27" t="s">
        <v>73</v>
      </c>
      <c r="C71" s="62">
        <v>3637079.2460000003</v>
      </c>
      <c r="D71" s="35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</row>
    <row r="72" spans="1:74" s="5" customFormat="1" x14ac:dyDescent="0.2">
      <c r="A72" s="42"/>
      <c r="B72" s="12"/>
      <c r="C72" s="61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</row>
    <row r="73" spans="1:74" s="84" customFormat="1" x14ac:dyDescent="0.2">
      <c r="A73" s="81" t="s">
        <v>66</v>
      </c>
      <c r="B73" s="82"/>
      <c r="C73" s="63"/>
      <c r="D73" s="83"/>
      <c r="E73" s="83">
        <f>$C$5+E16-E26</f>
        <v>7525609.2800000003</v>
      </c>
      <c r="F73" s="83">
        <f t="shared" ref="F73:AY73" si="44">E73+F16-F26</f>
        <v>6388511.9305533338</v>
      </c>
      <c r="G73" s="83">
        <f t="shared" si="44"/>
        <v>308916.76232000068</v>
      </c>
      <c r="H73" s="83">
        <f t="shared" si="44"/>
        <v>308916.76232000068</v>
      </c>
      <c r="I73" s="83">
        <f t="shared" si="44"/>
        <v>308916.76232000068</v>
      </c>
      <c r="J73" s="83">
        <f t="shared" si="44"/>
        <v>1510357.8572666673</v>
      </c>
      <c r="K73" s="83">
        <f t="shared" si="44"/>
        <v>-2262616.9109666664</v>
      </c>
      <c r="L73" s="83">
        <f t="shared" si="44"/>
        <v>-1976309.4923799997</v>
      </c>
      <c r="M73" s="83">
        <f t="shared" si="44"/>
        <v>-3299194.8827186357</v>
      </c>
      <c r="N73" s="83">
        <f t="shared" si="44"/>
        <v>-4288671.1009004544</v>
      </c>
      <c r="O73" s="83">
        <f t="shared" si="44"/>
        <v>-4288671.1009004544</v>
      </c>
      <c r="P73" s="83">
        <f t="shared" si="44"/>
        <v>-4983231.1009004544</v>
      </c>
      <c r="Q73" s="83">
        <f t="shared" si="44"/>
        <v>-3314108.8080713637</v>
      </c>
      <c r="R73" s="83">
        <f t="shared" si="44"/>
        <v>-4166135.7041331818</v>
      </c>
      <c r="S73" s="83">
        <f t="shared" si="44"/>
        <v>-4920984.8855318185</v>
      </c>
      <c r="T73" s="83">
        <f t="shared" si="44"/>
        <v>-5443011.7815936366</v>
      </c>
      <c r="U73" s="83">
        <f t="shared" si="44"/>
        <v>-5710331.7479572725</v>
      </c>
      <c r="V73" s="83">
        <f t="shared" si="44"/>
        <v>-5710331.7479572725</v>
      </c>
      <c r="W73" s="83">
        <f t="shared" si="44"/>
        <v>-5710331.7479572725</v>
      </c>
      <c r="X73" s="83">
        <f t="shared" si="44"/>
        <v>-5887289.8258372732</v>
      </c>
      <c r="Y73" s="83">
        <f t="shared" si="44"/>
        <v>-6271152.9238190912</v>
      </c>
      <c r="Z73" s="83">
        <f t="shared" si="44"/>
        <v>-6379109.2571524242</v>
      </c>
      <c r="AA73" s="83">
        <f t="shared" si="44"/>
        <v>-6596449.562591061</v>
      </c>
      <c r="AB73" s="83">
        <f t="shared" si="44"/>
        <v>-6969059.8680296969</v>
      </c>
      <c r="AC73" s="83">
        <f t="shared" si="44"/>
        <v>-6969059.8680296969</v>
      </c>
      <c r="AD73" s="83">
        <f t="shared" si="44"/>
        <v>-6969059.8680296969</v>
      </c>
      <c r="AE73" s="83">
        <f t="shared" si="44"/>
        <v>-5682485.1734683327</v>
      </c>
      <c r="AF73" s="83">
        <f t="shared" si="44"/>
        <v>-6514395.4789069686</v>
      </c>
      <c r="AG73" s="83">
        <f t="shared" si="44"/>
        <v>-6691735.7843456054</v>
      </c>
      <c r="AH73" s="83">
        <f t="shared" si="44"/>
        <v>-6748069.1176789384</v>
      </c>
      <c r="AI73" s="83">
        <f t="shared" si="44"/>
        <v>-6748069.1176789384</v>
      </c>
      <c r="AJ73" s="83">
        <f t="shared" si="44"/>
        <v>-6748069.1176789384</v>
      </c>
      <c r="AK73" s="83">
        <f t="shared" si="44"/>
        <v>-6748069.1176789384</v>
      </c>
      <c r="AL73" s="83">
        <f t="shared" si="44"/>
        <v>-4017084.1176789384</v>
      </c>
      <c r="AM73" s="83">
        <f t="shared" si="44"/>
        <v>-4017084.1176789384</v>
      </c>
      <c r="AN73" s="83">
        <f t="shared" si="44"/>
        <v>-4017084.1176789384</v>
      </c>
      <c r="AO73" s="83">
        <f t="shared" si="44"/>
        <v>-4017084.1176789384</v>
      </c>
      <c r="AP73" s="83">
        <f t="shared" si="44"/>
        <v>-4017084.1176789384</v>
      </c>
      <c r="AQ73" s="83">
        <f t="shared" si="44"/>
        <v>-4017084.1176789384</v>
      </c>
      <c r="AR73" s="83">
        <f t="shared" si="44"/>
        <v>-4017084.1176789384</v>
      </c>
      <c r="AS73" s="83">
        <f t="shared" si="44"/>
        <v>-1719891.697678938</v>
      </c>
      <c r="AT73" s="83">
        <f t="shared" si="44"/>
        <v>-1719891.697678938</v>
      </c>
      <c r="AU73" s="83">
        <f t="shared" si="44"/>
        <v>-1719891.697678938</v>
      </c>
      <c r="AV73" s="83">
        <f t="shared" si="44"/>
        <v>-1719891.697678938</v>
      </c>
      <c r="AW73" s="83">
        <f t="shared" si="44"/>
        <v>-1719891.697678938</v>
      </c>
      <c r="AX73" s="83">
        <f t="shared" si="44"/>
        <v>-1719891.697678938</v>
      </c>
      <c r="AY73" s="83">
        <f t="shared" si="44"/>
        <v>-1719891.697678938</v>
      </c>
      <c r="AZ73" s="83">
        <f t="shared" ref="AZ73:BM73" si="45">AY73+AZ16-AZ26</f>
        <v>-1719891.697678938</v>
      </c>
      <c r="BA73" s="83">
        <f t="shared" si="45"/>
        <v>-1719891.697678938</v>
      </c>
      <c r="BB73" s="83">
        <f t="shared" si="45"/>
        <v>-1719891.697678938</v>
      </c>
      <c r="BC73" s="83">
        <f t="shared" si="45"/>
        <v>-1719891.697678938</v>
      </c>
      <c r="BD73" s="83">
        <f t="shared" si="45"/>
        <v>-1719891.697678938</v>
      </c>
      <c r="BE73" s="83">
        <f t="shared" si="45"/>
        <v>-1719891.697678938</v>
      </c>
      <c r="BF73" s="83">
        <f t="shared" si="45"/>
        <v>-1719891.697678938</v>
      </c>
      <c r="BG73" s="83">
        <f t="shared" si="45"/>
        <v>-1719891.697678938</v>
      </c>
      <c r="BH73" s="83">
        <f t="shared" si="45"/>
        <v>-1719891.697678938</v>
      </c>
      <c r="BI73" s="83">
        <f t="shared" si="45"/>
        <v>-1719891.697678938</v>
      </c>
      <c r="BJ73" s="83">
        <f t="shared" si="45"/>
        <v>-1719891.697678938</v>
      </c>
      <c r="BK73" s="83">
        <f t="shared" si="45"/>
        <v>-1719891.697678938</v>
      </c>
      <c r="BL73" s="83">
        <f t="shared" si="45"/>
        <v>-1719891.697678938</v>
      </c>
      <c r="BM73" s="83">
        <f t="shared" si="45"/>
        <v>-1719891.697678938</v>
      </c>
      <c r="BN73" s="83">
        <f t="shared" ref="BN73:BO73" si="46">BM73+BN16-BN26</f>
        <v>-1719891.697678938</v>
      </c>
      <c r="BO73" s="83">
        <f t="shared" si="46"/>
        <v>-1719891.697678938</v>
      </c>
      <c r="BP73" s="83">
        <f t="shared" ref="BP73:BV73" si="47">BO73+BP16-BP26</f>
        <v>-1719891.697678938</v>
      </c>
      <c r="BQ73" s="83">
        <f t="shared" si="47"/>
        <v>-1719891.697678938</v>
      </c>
      <c r="BR73" s="83">
        <f t="shared" si="47"/>
        <v>-1719891.697678938</v>
      </c>
      <c r="BS73" s="83">
        <f t="shared" si="47"/>
        <v>-1719891.697678938</v>
      </c>
      <c r="BT73" s="83">
        <f t="shared" si="47"/>
        <v>-1719891.697678938</v>
      </c>
      <c r="BU73" s="83">
        <f t="shared" si="47"/>
        <v>-1719891.697678938</v>
      </c>
      <c r="BV73" s="83">
        <f t="shared" si="47"/>
        <v>-1719891.697678938</v>
      </c>
    </row>
    <row r="75" spans="1:74" s="5" customFormat="1" x14ac:dyDescent="0.2">
      <c r="A75" s="42"/>
      <c r="B75" s="12"/>
      <c r="C75" s="68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</row>
    <row r="76" spans="1:74" s="89" customFormat="1" x14ac:dyDescent="0.2">
      <c r="A76" s="85" t="s">
        <v>65</v>
      </c>
      <c r="B76" s="86"/>
      <c r="C76" s="87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</row>
    <row r="77" spans="1:74" s="5" customFormat="1" ht="22.5" x14ac:dyDescent="0.2">
      <c r="A77" s="36" t="s">
        <v>67</v>
      </c>
      <c r="B77" s="27" t="s">
        <v>68</v>
      </c>
      <c r="C77" s="68">
        <v>3221210.79</v>
      </c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</row>
    <row r="78" spans="1:74" s="5" customFormat="1" x14ac:dyDescent="0.2">
      <c r="A78" s="36" t="s">
        <v>69</v>
      </c>
      <c r="B78" s="27" t="s">
        <v>70</v>
      </c>
      <c r="C78" s="68">
        <v>9814338.4000000004</v>
      </c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</row>
    <row r="79" spans="1:74" s="5" customFormat="1" x14ac:dyDescent="0.2">
      <c r="A79" s="36"/>
      <c r="B79" s="27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</row>
    <row r="80" spans="1:74" s="5" customFormat="1" x14ac:dyDescent="0.2">
      <c r="A80" s="36"/>
      <c r="B80" s="27"/>
      <c r="C80" s="68"/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</row>
    <row r="82" spans="2:2" x14ac:dyDescent="0.25">
      <c r="B82" s="14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85"/>
  <sheetViews>
    <sheetView topLeftCell="A4" workbookViewId="0">
      <selection activeCell="F23" sqref="F23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1.140625" style="3" customWidth="1"/>
    <col min="6" max="6" width="11.7109375" style="3" customWidth="1"/>
    <col min="7" max="7" width="11.5703125" style="3" customWidth="1"/>
    <col min="8" max="9" width="10.85546875" style="3" customWidth="1"/>
    <col min="10" max="10" width="12.85546875" style="3" customWidth="1"/>
    <col min="11" max="11" width="12" style="3" customWidth="1"/>
    <col min="12" max="12" width="11.140625" style="3" customWidth="1"/>
    <col min="13" max="13" width="12.7109375" style="3" customWidth="1"/>
    <col min="14" max="14" width="11.42578125" style="3" customWidth="1"/>
    <col min="15" max="15" width="11.7109375" style="3" customWidth="1"/>
    <col min="16" max="16" width="10.5703125" style="3" customWidth="1"/>
    <col min="17" max="17" width="12" style="3" customWidth="1"/>
    <col min="18" max="18" width="11.140625" style="3" customWidth="1"/>
    <col min="19" max="19" width="10.42578125" style="3" customWidth="1"/>
    <col min="20" max="20" width="14" style="3" customWidth="1"/>
    <col min="21" max="21" width="10.42578125" style="3" customWidth="1"/>
    <col min="22" max="22" width="12.5703125" style="3" customWidth="1"/>
    <col min="23" max="23" width="13.28515625" style="3" customWidth="1"/>
    <col min="24" max="24" width="12.140625" style="3" customWidth="1"/>
    <col min="25" max="25" width="12.42578125" style="3" customWidth="1"/>
    <col min="26" max="26" width="12.28515625" style="3" customWidth="1"/>
    <col min="27" max="27" width="12.7109375" style="3" customWidth="1"/>
    <col min="28" max="28" width="11.28515625" style="3" customWidth="1"/>
    <col min="29" max="29" width="11.85546875" style="3" customWidth="1"/>
    <col min="30" max="30" width="12.28515625" style="3" customWidth="1"/>
    <col min="31" max="31" width="11.140625" style="3" customWidth="1"/>
    <col min="32" max="32" width="10.5703125" style="3" customWidth="1"/>
    <col min="33" max="33" width="10.85546875" style="3" customWidth="1"/>
    <col min="34" max="34" width="12" style="3" customWidth="1"/>
    <col min="35" max="35" width="13.140625" style="3" customWidth="1"/>
    <col min="36" max="36" width="11.140625" style="3" customWidth="1"/>
    <col min="37" max="37" width="12.5703125" style="3" customWidth="1"/>
    <col min="38" max="38" width="12.140625" style="3" customWidth="1"/>
    <col min="39" max="39" width="12.42578125" style="3" customWidth="1"/>
    <col min="40" max="40" width="12" style="3" customWidth="1"/>
    <col min="41" max="41" width="14.85546875" style="3" customWidth="1"/>
    <col min="42" max="42" width="11.5703125" style="3" customWidth="1"/>
    <col min="43" max="43" width="13.7109375" style="3" customWidth="1"/>
    <col min="44" max="44" width="12.42578125" style="3" customWidth="1"/>
    <col min="45" max="45" width="10.85546875" style="3" customWidth="1"/>
    <col min="46" max="46" width="12.140625" style="3" customWidth="1"/>
    <col min="47" max="47" width="11.85546875" style="3" customWidth="1"/>
    <col min="48" max="48" width="12.7109375" style="3" customWidth="1"/>
    <col min="49" max="49" width="12.42578125" style="3" customWidth="1"/>
    <col min="50" max="50" width="11.140625" style="3" customWidth="1"/>
    <col min="51" max="51" width="11.5703125" style="3" customWidth="1"/>
    <col min="52" max="52" width="12.28515625" style="3" customWidth="1"/>
    <col min="53" max="16384" width="9" style="3"/>
  </cols>
  <sheetData>
    <row r="1" spans="1:52" ht="12" thickBot="1" x14ac:dyDescent="0.3"/>
    <row r="2" spans="1:52" s="1" customFormat="1" x14ac:dyDescent="0.2">
      <c r="A2" s="43" t="s">
        <v>50</v>
      </c>
      <c r="B2" s="15" t="s">
        <v>27</v>
      </c>
      <c r="C2" s="50">
        <v>9036875.8300000001</v>
      </c>
    </row>
    <row r="3" spans="1:52" s="1" customFormat="1" ht="12" thickBot="1" x14ac:dyDescent="0.25">
      <c r="A3" s="44">
        <v>84.586299999999994</v>
      </c>
      <c r="B3" s="15" t="s">
        <v>28</v>
      </c>
      <c r="C3" s="50">
        <v>10778.95</v>
      </c>
    </row>
    <row r="4" spans="1:52" s="8" customFormat="1" ht="12" thickBot="1" x14ac:dyDescent="0.25">
      <c r="A4" s="45"/>
      <c r="B4" s="15" t="s">
        <v>25</v>
      </c>
      <c r="C4" s="51">
        <v>0</v>
      </c>
    </row>
    <row r="5" spans="1:52" s="6" customFormat="1" x14ac:dyDescent="0.2">
      <c r="A5" s="43" t="s">
        <v>51</v>
      </c>
      <c r="B5" s="49" t="s">
        <v>26</v>
      </c>
      <c r="C5" s="52">
        <f>SUM(C2:C4)</f>
        <v>9047654.7799999993</v>
      </c>
    </row>
    <row r="6" spans="1:52" s="6" customFormat="1" ht="12" thickBot="1" x14ac:dyDescent="0.25">
      <c r="A6" s="44">
        <v>73.765000000000001</v>
      </c>
      <c r="B6" s="16"/>
      <c r="C6" s="53"/>
      <c r="D6" s="17"/>
    </row>
    <row r="7" spans="1:52" s="6" customFormat="1" ht="12" thickBot="1" x14ac:dyDescent="0.25">
      <c r="A7" s="105" t="s">
        <v>51</v>
      </c>
      <c r="B7" s="18" t="s">
        <v>127</v>
      </c>
      <c r="C7" s="54">
        <f>SUM(16:16)</f>
        <v>17842257.280000001</v>
      </c>
    </row>
    <row r="8" spans="1:52" x14ac:dyDescent="0.25">
      <c r="A8" s="43" t="s">
        <v>52</v>
      </c>
      <c r="B8" s="18" t="s">
        <v>126</v>
      </c>
      <c r="C8" s="54">
        <f>SUM(26:26)</f>
        <v>48468115.756078951</v>
      </c>
    </row>
    <row r="9" spans="1:52" ht="12" thickBot="1" x14ac:dyDescent="0.3">
      <c r="A9" s="44">
        <v>10.8847</v>
      </c>
      <c r="B9" s="19" t="s">
        <v>64</v>
      </c>
      <c r="C9" s="55">
        <f>C5+C7-C8-C11</f>
        <v>-41883823.083398953</v>
      </c>
    </row>
    <row r="10" spans="1:52" x14ac:dyDescent="0.25">
      <c r="A10" s="99" t="s">
        <v>80</v>
      </c>
      <c r="B10" s="18" t="s">
        <v>23</v>
      </c>
      <c r="C10" s="56">
        <f>C16</f>
        <v>0</v>
      </c>
    </row>
    <row r="11" spans="1:52" x14ac:dyDescent="0.25">
      <c r="A11" s="101" t="s">
        <v>87</v>
      </c>
      <c r="B11" s="18" t="s">
        <v>24</v>
      </c>
      <c r="C11" s="54">
        <f>C26</f>
        <v>20305619.387320001</v>
      </c>
    </row>
    <row r="12" spans="1:52" x14ac:dyDescent="0.25">
      <c r="A12" s="107" t="s">
        <v>88</v>
      </c>
    </row>
    <row r="13" spans="1:52" x14ac:dyDescent="0.25">
      <c r="A13" s="38"/>
      <c r="B13" s="10"/>
      <c r="C13" s="57"/>
      <c r="D13" s="10"/>
    </row>
    <row r="14" spans="1:52" s="2" customFormat="1" x14ac:dyDescent="0.25">
      <c r="A14" s="64"/>
      <c r="B14" s="65"/>
      <c r="C14" s="58" t="s">
        <v>56</v>
      </c>
      <c r="D14" s="66"/>
      <c r="E14" s="66">
        <v>46196</v>
      </c>
      <c r="F14" s="66">
        <v>46197</v>
      </c>
      <c r="G14" s="66">
        <v>46198</v>
      </c>
      <c r="H14" s="66">
        <v>46199</v>
      </c>
      <c r="I14" s="66">
        <v>46200</v>
      </c>
      <c r="J14" s="66">
        <v>46201</v>
      </c>
      <c r="K14" s="66">
        <v>46202</v>
      </c>
      <c r="L14" s="66">
        <v>46203</v>
      </c>
      <c r="M14" s="66">
        <v>46204</v>
      </c>
      <c r="N14" s="66">
        <v>46205</v>
      </c>
      <c r="O14" s="66">
        <v>46206</v>
      </c>
      <c r="P14" s="66">
        <v>46207</v>
      </c>
      <c r="Q14" s="66">
        <v>46208</v>
      </c>
      <c r="R14" s="66">
        <v>46209</v>
      </c>
      <c r="S14" s="66">
        <v>46210</v>
      </c>
      <c r="T14" s="66">
        <v>46211</v>
      </c>
      <c r="U14" s="66">
        <v>46212</v>
      </c>
      <c r="V14" s="66">
        <v>46213</v>
      </c>
      <c r="W14" s="66">
        <v>46214</v>
      </c>
      <c r="X14" s="66">
        <v>46215</v>
      </c>
      <c r="Y14" s="66">
        <v>46216</v>
      </c>
      <c r="Z14" s="66">
        <v>46217</v>
      </c>
      <c r="AA14" s="66">
        <v>46218</v>
      </c>
      <c r="AB14" s="66">
        <v>46219</v>
      </c>
      <c r="AC14" s="66">
        <v>46220</v>
      </c>
      <c r="AD14" s="66">
        <v>46221</v>
      </c>
      <c r="AE14" s="66">
        <v>46222</v>
      </c>
      <c r="AF14" s="66">
        <v>46223</v>
      </c>
      <c r="AG14" s="66">
        <v>46224</v>
      </c>
      <c r="AH14" s="66">
        <v>46225</v>
      </c>
      <c r="AI14" s="66">
        <v>46226</v>
      </c>
      <c r="AJ14" s="66">
        <v>46227</v>
      </c>
      <c r="AK14" s="66">
        <v>46228</v>
      </c>
      <c r="AL14" s="66">
        <v>46229</v>
      </c>
      <c r="AM14" s="66">
        <v>46230</v>
      </c>
      <c r="AN14" s="66">
        <v>46231</v>
      </c>
      <c r="AO14" s="66">
        <v>46232</v>
      </c>
      <c r="AP14" s="66">
        <v>46233</v>
      </c>
      <c r="AQ14" s="66">
        <v>46234</v>
      </c>
      <c r="AR14" s="66">
        <v>46235</v>
      </c>
      <c r="AS14" s="66">
        <v>46236</v>
      </c>
      <c r="AT14" s="66">
        <v>46237</v>
      </c>
      <c r="AU14" s="66">
        <v>46238</v>
      </c>
      <c r="AV14" s="66">
        <v>46239</v>
      </c>
      <c r="AW14" s="66">
        <v>46240</v>
      </c>
      <c r="AX14" s="66">
        <v>46241</v>
      </c>
      <c r="AY14" s="66">
        <v>46242</v>
      </c>
      <c r="AZ14" s="66">
        <v>46243</v>
      </c>
    </row>
    <row r="15" spans="1:52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</row>
    <row r="16" spans="1:52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AZ16" si="0">SUM(E17:E25)</f>
        <v>0</v>
      </c>
      <c r="F16" s="29">
        <f t="shared" si="0"/>
        <v>1000000</v>
      </c>
      <c r="G16" s="29">
        <f t="shared" si="0"/>
        <v>0</v>
      </c>
      <c r="H16" s="29">
        <f t="shared" si="0"/>
        <v>1500000</v>
      </c>
      <c r="I16" s="135">
        <f t="shared" si="0"/>
        <v>0</v>
      </c>
      <c r="J16" s="135">
        <f t="shared" si="0"/>
        <v>0</v>
      </c>
      <c r="K16" s="29">
        <f t="shared" si="0"/>
        <v>2000000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135">
        <f t="shared" si="0"/>
        <v>0</v>
      </c>
      <c r="Q16" s="135">
        <f t="shared" si="0"/>
        <v>0</v>
      </c>
      <c r="R16" s="29">
        <f t="shared" si="0"/>
        <v>2000000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135">
        <f t="shared" si="0"/>
        <v>0</v>
      </c>
      <c r="X16" s="135">
        <f t="shared" si="0"/>
        <v>0</v>
      </c>
      <c r="Y16" s="29">
        <f t="shared" si="0"/>
        <v>2000000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135">
        <f t="shared" si="0"/>
        <v>0</v>
      </c>
      <c r="AE16" s="135">
        <f t="shared" si="0"/>
        <v>0</v>
      </c>
      <c r="AF16" s="29">
        <f t="shared" si="0"/>
        <v>2000000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135">
        <f t="shared" si="0"/>
        <v>0</v>
      </c>
      <c r="AL16" s="135">
        <f t="shared" si="0"/>
        <v>0</v>
      </c>
      <c r="AM16" s="29">
        <f t="shared" si="0"/>
        <v>4330985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29">
        <f t="shared" si="0"/>
        <v>0</v>
      </c>
      <c r="AR16" s="135">
        <f t="shared" si="0"/>
        <v>0</v>
      </c>
      <c r="AS16" s="135">
        <f t="shared" si="0"/>
        <v>0</v>
      </c>
      <c r="AT16" s="29">
        <f t="shared" si="0"/>
        <v>3011272.28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135">
        <f t="shared" si="0"/>
        <v>0</v>
      </c>
      <c r="AZ16" s="135">
        <f t="shared" si="0"/>
        <v>0</v>
      </c>
    </row>
    <row r="17" spans="1:52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</row>
    <row r="18" spans="1:52" s="80" customFormat="1" x14ac:dyDescent="0.25">
      <c r="A18" s="40" t="s">
        <v>9</v>
      </c>
      <c r="B18" s="21"/>
      <c r="C18" s="59"/>
      <c r="D18" s="30"/>
      <c r="E18" s="30"/>
      <c r="F18" s="30">
        <v>1000000</v>
      </c>
      <c r="G18" s="30"/>
      <c r="H18" s="30">
        <v>1500000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</row>
    <row r="19" spans="1:52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>
        <v>2000000</v>
      </c>
      <c r="L19" s="30"/>
      <c r="M19" s="30"/>
      <c r="N19" s="30"/>
      <c r="O19" s="30"/>
      <c r="P19" s="30"/>
      <c r="Q19" s="30"/>
      <c r="R19" s="30">
        <v>2000000</v>
      </c>
      <c r="S19" s="30"/>
      <c r="T19" s="30"/>
      <c r="U19" s="30"/>
      <c r="V19" s="30"/>
      <c r="W19" s="30"/>
      <c r="X19" s="30"/>
      <c r="Y19" s="30">
        <v>2000000</v>
      </c>
      <c r="Z19" s="30"/>
      <c r="AA19" s="30"/>
      <c r="AB19" s="30"/>
      <c r="AC19" s="30"/>
      <c r="AD19" s="30"/>
      <c r="AE19" s="30"/>
      <c r="AF19" s="30">
        <v>2000000</v>
      </c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</row>
    <row r="20" spans="1:52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K20" s="30"/>
      <c r="AL20" s="30"/>
      <c r="AM20" s="30">
        <v>4330985</v>
      </c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</row>
    <row r="21" spans="1:52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</row>
    <row r="22" spans="1:52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</row>
    <row r="23" spans="1:52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</row>
    <row r="24" spans="1:52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L24" s="30"/>
      <c r="M24" s="30"/>
      <c r="N24" s="30"/>
      <c r="O24" s="30"/>
      <c r="P24" s="30"/>
      <c r="Q24" s="30"/>
      <c r="R24" s="30"/>
      <c r="S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165">
        <f>35600*A3</f>
        <v>3011272.28</v>
      </c>
      <c r="AU24" s="30"/>
      <c r="AV24" s="30"/>
      <c r="AW24" s="30"/>
      <c r="AX24" s="30"/>
      <c r="AY24" s="30"/>
      <c r="AZ24" s="30"/>
    </row>
    <row r="25" spans="1:52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</row>
    <row r="26" spans="1:52" s="4" customFormat="1" x14ac:dyDescent="0.2">
      <c r="A26" s="41" t="s">
        <v>1</v>
      </c>
      <c r="B26" s="22"/>
      <c r="C26" s="34">
        <f>SUM(C28:C74)</f>
        <v>20305619.387320001</v>
      </c>
      <c r="D26" s="34"/>
      <c r="E26" s="34">
        <f t="shared" ref="E26:AZ26" si="1">SUM(E27:E75)</f>
        <v>733629.47407999996</v>
      </c>
      <c r="F26" s="34">
        <f t="shared" si="1"/>
        <v>7304368.7080333335</v>
      </c>
      <c r="G26" s="34">
        <f t="shared" si="1"/>
        <v>1158928.0774133333</v>
      </c>
      <c r="H26" s="34">
        <f t="shared" si="1"/>
        <v>790046.72423333337</v>
      </c>
      <c r="I26" s="34">
        <f t="shared" si="1"/>
        <v>0</v>
      </c>
      <c r="J26" s="34">
        <f t="shared" si="1"/>
        <v>0</v>
      </c>
      <c r="K26" s="34">
        <f t="shared" si="1"/>
        <v>795517.12105333328</v>
      </c>
      <c r="L26" s="34">
        <f t="shared" si="1"/>
        <v>3595551.4742333335</v>
      </c>
      <c r="M26" s="34">
        <f t="shared" si="1"/>
        <v>707310.66491333325</v>
      </c>
      <c r="N26" s="34">
        <f t="shared" si="1"/>
        <v>1319052.7988386364</v>
      </c>
      <c r="O26" s="34">
        <f t="shared" si="1"/>
        <v>982656.21818181826</v>
      </c>
      <c r="P26" s="34">
        <f t="shared" si="1"/>
        <v>0</v>
      </c>
      <c r="Q26" s="34">
        <f t="shared" si="1"/>
        <v>694560</v>
      </c>
      <c r="R26" s="34">
        <f t="shared" si="1"/>
        <v>329495.40317090909</v>
      </c>
      <c r="S26" s="34">
        <f t="shared" si="1"/>
        <v>848242.85206181824</v>
      </c>
      <c r="T26" s="34">
        <f t="shared" si="1"/>
        <v>748062.28589863644</v>
      </c>
      <c r="U26" s="34">
        <f t="shared" si="1"/>
        <v>518242.85206181824</v>
      </c>
      <c r="V26" s="34">
        <f t="shared" si="1"/>
        <v>267319.96636363631</v>
      </c>
      <c r="W26" s="34">
        <f t="shared" si="1"/>
        <v>0</v>
      </c>
      <c r="X26" s="34">
        <f t="shared" si="1"/>
        <v>0</v>
      </c>
      <c r="Y26" s="34">
        <f t="shared" si="1"/>
        <v>2173174.03388</v>
      </c>
      <c r="Z26" s="34">
        <f t="shared" si="1"/>
        <v>381461.35798181815</v>
      </c>
      <c r="AA26" s="34">
        <f t="shared" si="1"/>
        <v>107956.33333333334</v>
      </c>
      <c r="AB26" s="34">
        <f t="shared" si="1"/>
        <v>215719.75793863638</v>
      </c>
      <c r="AC26" s="34">
        <f t="shared" si="1"/>
        <v>370989.75793863635</v>
      </c>
      <c r="AD26" s="34">
        <f t="shared" si="1"/>
        <v>0</v>
      </c>
      <c r="AE26" s="34">
        <f t="shared" si="1"/>
        <v>0</v>
      </c>
      <c r="AF26" s="34">
        <f t="shared" si="1"/>
        <v>711804.75793863635</v>
      </c>
      <c r="AG26" s="34">
        <f t="shared" si="1"/>
        <v>830289.75793863635</v>
      </c>
      <c r="AH26" s="34">
        <f t="shared" si="1"/>
        <v>175719.75793863638</v>
      </c>
      <c r="AI26" s="34">
        <f t="shared" si="1"/>
        <v>56333.333333333336</v>
      </c>
      <c r="AJ26" s="34">
        <f t="shared" si="1"/>
        <v>0</v>
      </c>
      <c r="AK26" s="34">
        <f t="shared" si="1"/>
        <v>0</v>
      </c>
      <c r="AL26" s="34">
        <f t="shared" si="1"/>
        <v>0</v>
      </c>
      <c r="AM26" s="34">
        <f t="shared" si="1"/>
        <v>1600000</v>
      </c>
      <c r="AN26" s="34">
        <f t="shared" si="1"/>
        <v>0</v>
      </c>
      <c r="AO26" s="34">
        <f t="shared" si="1"/>
        <v>0</v>
      </c>
      <c r="AP26" s="34">
        <f t="shared" si="1"/>
        <v>0</v>
      </c>
      <c r="AQ26" s="34">
        <f t="shared" si="1"/>
        <v>0</v>
      </c>
      <c r="AR26" s="34">
        <f t="shared" si="1"/>
        <v>0</v>
      </c>
      <c r="AS26" s="34">
        <f t="shared" si="1"/>
        <v>0</v>
      </c>
      <c r="AT26" s="34">
        <f t="shared" si="1"/>
        <v>746062.9</v>
      </c>
      <c r="AU26" s="34">
        <f t="shared" si="1"/>
        <v>0</v>
      </c>
      <c r="AV26" s="34">
        <f t="shared" si="1"/>
        <v>0</v>
      </c>
      <c r="AW26" s="34">
        <f t="shared" si="1"/>
        <v>0</v>
      </c>
      <c r="AX26" s="34">
        <f t="shared" si="1"/>
        <v>0</v>
      </c>
      <c r="AY26" s="34">
        <f t="shared" si="1"/>
        <v>0</v>
      </c>
      <c r="AZ26" s="34">
        <f t="shared" si="1"/>
        <v>0</v>
      </c>
    </row>
    <row r="27" spans="1:52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</row>
    <row r="28" spans="1:52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</row>
    <row r="29" spans="1:52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</row>
    <row r="30" spans="1:52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>
        <f>8399365/3</f>
        <v>2799788.3333333335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</row>
    <row r="31" spans="1:52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90">
        <f>291375+137118</f>
        <v>428493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</row>
    <row r="32" spans="1:52" s="1" customFormat="1" x14ac:dyDescent="0.2">
      <c r="A32" s="36" t="s">
        <v>7</v>
      </c>
      <c r="B32" s="23" t="s">
        <v>8</v>
      </c>
      <c r="C32" s="60"/>
      <c r="D32" s="24"/>
      <c r="E32" s="24"/>
      <c r="F32" s="24">
        <v>480520</v>
      </c>
      <c r="G32" s="24">
        <v>350000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</row>
    <row r="33" spans="1:52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>
        <v>271506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</row>
    <row r="34" spans="1:52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</row>
    <row r="35" spans="1:52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>
        <v>200113.9</v>
      </c>
      <c r="O35" s="24">
        <v>40000</v>
      </c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>
        <v>200113.9</v>
      </c>
      <c r="AU35" s="24"/>
      <c r="AV35" s="24"/>
      <c r="AW35" s="24"/>
      <c r="AX35" s="24"/>
      <c r="AY35" s="24"/>
      <c r="AZ35" s="24"/>
    </row>
    <row r="36" spans="1:52" s="1" customFormat="1" x14ac:dyDescent="0.2">
      <c r="A36" s="36" t="s">
        <v>53</v>
      </c>
      <c r="B36" s="23"/>
      <c r="C36" s="60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>
        <v>545949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>
        <v>545949</v>
      </c>
      <c r="AU36" s="24"/>
      <c r="AV36" s="24"/>
      <c r="AW36" s="24"/>
      <c r="AX36" s="24"/>
      <c r="AY36" s="24"/>
      <c r="AZ36" s="24"/>
    </row>
    <row r="37" spans="1:52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</row>
    <row r="38" spans="1:52" s="71" customFormat="1" x14ac:dyDescent="0.2">
      <c r="A38" s="69" t="s">
        <v>14</v>
      </c>
      <c r="B38" s="25" t="s">
        <v>30</v>
      </c>
      <c r="C38" s="70"/>
      <c r="D38" s="24"/>
      <c r="E38" s="100">
        <v>150000</v>
      </c>
      <c r="F38" s="100">
        <v>150000</v>
      </c>
      <c r="G38" s="100">
        <v>155000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</row>
    <row r="39" spans="1:52" s="71" customFormat="1" x14ac:dyDescent="0.2">
      <c r="A39" s="69" t="s">
        <v>115</v>
      </c>
      <c r="B39" s="25" t="s">
        <v>116</v>
      </c>
      <c r="C39" s="70"/>
      <c r="D39" s="24"/>
      <c r="E39" s="24"/>
      <c r="F39" s="108">
        <f>312320/10</f>
        <v>31232</v>
      </c>
      <c r="G39" s="24"/>
      <c r="H39" s="108">
        <f>312320/10</f>
        <v>31232</v>
      </c>
      <c r="I39" s="24"/>
      <c r="J39" s="24"/>
      <c r="K39" s="108">
        <v>124838</v>
      </c>
      <c r="L39" s="24"/>
      <c r="M39" s="108">
        <f>312320/10</f>
        <v>31232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</row>
    <row r="40" spans="1:52" s="71" customFormat="1" x14ac:dyDescent="0.2">
      <c r="A40" s="69" t="s">
        <v>117</v>
      </c>
      <c r="B40" s="25" t="s">
        <v>119</v>
      </c>
      <c r="C40" s="70">
        <f>475500-50000-150000-100000</f>
        <v>175500</v>
      </c>
      <c r="D40" s="24"/>
      <c r="E40" s="108">
        <v>100000</v>
      </c>
      <c r="F40" s="108">
        <v>75000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</row>
    <row r="41" spans="1:52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100">
        <f>472500-142500</f>
        <v>330000</v>
      </c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100">
        <v>654570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</row>
    <row r="42" spans="1:52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1375000-500000-175000-50000-25000-25000-25000-50000-25000-50000-25000-25000-30000-25000-30000-25000-25000-15000-47500-47500-155000</f>
        <v>0</v>
      </c>
      <c r="D42" s="24"/>
      <c r="E42" s="28"/>
      <c r="F42" s="28"/>
      <c r="G42" s="28"/>
      <c r="H42" s="28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</row>
    <row r="43" spans="1:52" s="71" customFormat="1" x14ac:dyDescent="0.2">
      <c r="A43" s="69" t="s">
        <v>15</v>
      </c>
      <c r="B43" s="25" t="s">
        <v>31</v>
      </c>
      <c r="C43" s="70">
        <f>1547684-50000-50000-50000-50000-50000</f>
        <v>1297684</v>
      </c>
      <c r="D43" s="24"/>
      <c r="E43" s="108">
        <f>516230/10+15224</f>
        <v>66847</v>
      </c>
      <c r="F43" s="108">
        <f t="shared" ref="F43" si="2">516230/10</f>
        <v>51623</v>
      </c>
      <c r="G43" s="108">
        <f t="shared" ref="G43" si="3">(515224/4)/3</f>
        <v>42935.333333333336</v>
      </c>
      <c r="H43" s="108">
        <f>516230/10</f>
        <v>51623</v>
      </c>
      <c r="I43" s="24"/>
      <c r="J43" s="24"/>
      <c r="K43" s="108">
        <f>516230/10</f>
        <v>51623</v>
      </c>
      <c r="L43" s="108">
        <f t="shared" ref="L43:O43" si="4">516230/10</f>
        <v>51623</v>
      </c>
      <c r="M43" s="108">
        <f t="shared" si="4"/>
        <v>51623</v>
      </c>
      <c r="N43" s="108">
        <f t="shared" si="4"/>
        <v>51623</v>
      </c>
      <c r="O43" s="108">
        <f t="shared" si="4"/>
        <v>51623</v>
      </c>
      <c r="P43" s="24"/>
      <c r="R43" s="108">
        <f t="shared" ref="R43:V43" si="5">516230/10</f>
        <v>51623</v>
      </c>
      <c r="S43" s="108">
        <f t="shared" si="5"/>
        <v>51623</v>
      </c>
      <c r="T43" s="108">
        <f t="shared" si="5"/>
        <v>51623</v>
      </c>
      <c r="U43" s="108">
        <f t="shared" si="5"/>
        <v>51623</v>
      </c>
      <c r="V43" s="108">
        <f t="shared" si="5"/>
        <v>51623</v>
      </c>
      <c r="W43" s="24"/>
      <c r="X43" s="24"/>
      <c r="Y43" s="100">
        <v>516230</v>
      </c>
      <c r="Z43" s="108">
        <f>516230/10</f>
        <v>51623</v>
      </c>
      <c r="AA43" s="108">
        <f t="shared" ref="AA43" si="6">516230/10</f>
        <v>51623</v>
      </c>
      <c r="AB43" s="24"/>
      <c r="AC43" s="98">
        <f>515224/4+54464</f>
        <v>183270</v>
      </c>
      <c r="AD43" s="24"/>
      <c r="AE43" s="24"/>
      <c r="AF43" s="100">
        <v>536085</v>
      </c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</row>
    <row r="44" spans="1:52" s="71" customFormat="1" x14ac:dyDescent="0.2">
      <c r="A44" s="69" t="s">
        <v>85</v>
      </c>
      <c r="B44" s="25" t="s">
        <v>47</v>
      </c>
      <c r="C44" s="70"/>
      <c r="D44" s="24"/>
      <c r="E44" s="24"/>
      <c r="F44" s="24"/>
      <c r="G44" s="24"/>
      <c r="H44" s="24"/>
      <c r="I44" s="24"/>
      <c r="J44" s="24"/>
      <c r="K44" s="24"/>
      <c r="L44" s="24"/>
      <c r="M44" s="100">
        <f>2997.5*A6</f>
        <v>221110.58749999999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</row>
    <row r="45" spans="1:52" s="71" customFormat="1" x14ac:dyDescent="0.2">
      <c r="A45" s="69" t="s">
        <v>143</v>
      </c>
      <c r="B45" s="25" t="s">
        <v>45</v>
      </c>
      <c r="C45" s="24">
        <f>188496*A9-12500*A9-12600*A9</f>
        <v>1778516.4412000002</v>
      </c>
      <c r="D45" s="24"/>
      <c r="E45" s="108">
        <f t="shared" ref="E45:S45" si="7">(188496*$A$9)/15</f>
        <v>136781.49408</v>
      </c>
      <c r="G45" s="108">
        <f t="shared" si="7"/>
        <v>136781.49408</v>
      </c>
      <c r="H45" s="108">
        <f t="shared" si="7"/>
        <v>136781.49408</v>
      </c>
      <c r="I45" s="24"/>
      <c r="J45" s="24"/>
      <c r="K45" s="108">
        <f>(188496*$A$9)/15</f>
        <v>136781.49408</v>
      </c>
      <c r="L45" s="108">
        <f t="shared" ref="L45:N45" si="8">(188496*$A$9)/15</f>
        <v>136781.49408</v>
      </c>
      <c r="M45" s="108">
        <f t="shared" si="8"/>
        <v>136781.49408</v>
      </c>
      <c r="N45" s="108">
        <f t="shared" si="8"/>
        <v>136781.49408</v>
      </c>
      <c r="O45" s="28"/>
      <c r="P45" s="24"/>
      <c r="Q45" s="24"/>
      <c r="R45" s="108">
        <f t="shared" ref="R45" si="9">(188496*$A$9)/15</f>
        <v>136781.49408</v>
      </c>
      <c r="S45" s="108">
        <f t="shared" si="7"/>
        <v>136781.49408</v>
      </c>
      <c r="T45" s="108">
        <f>((188496*$A$9)/15)*2</f>
        <v>273562.98816000001</v>
      </c>
      <c r="U45" s="108">
        <f>(188496*$A$9)/15</f>
        <v>136781.49408</v>
      </c>
      <c r="V45" s="24"/>
      <c r="W45" s="24"/>
      <c r="X45" s="24"/>
      <c r="Y45" s="108">
        <f>(188496*$A$9)/15</f>
        <v>136781.49408</v>
      </c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</row>
    <row r="46" spans="1:52" s="71" customFormat="1" x14ac:dyDescent="0.2">
      <c r="A46" s="69" t="s">
        <v>120</v>
      </c>
      <c r="B46" s="25" t="s">
        <v>121</v>
      </c>
      <c r="C46" s="120">
        <f>507000+1014000-47000-56000-45000-50000-90000</f>
        <v>1233000</v>
      </c>
      <c r="D46" s="24"/>
      <c r="E46" s="24"/>
      <c r="F46" s="108">
        <f t="shared" ref="F46:H46" si="10">507000/9</f>
        <v>56333.333333333336</v>
      </c>
      <c r="G46" s="24"/>
      <c r="H46" s="108">
        <f t="shared" si="10"/>
        <v>56333.333333333336</v>
      </c>
      <c r="I46" s="24"/>
      <c r="J46" s="24"/>
      <c r="K46" s="108">
        <f t="shared" ref="K46:AA46" si="11">507000/9</f>
        <v>56333.333333333336</v>
      </c>
      <c r="M46" s="108">
        <f t="shared" si="11"/>
        <v>56333.333333333336</v>
      </c>
      <c r="N46" s="108">
        <f>(1014000/11+88393.5*$A$9)/6</f>
        <v>175719.75793863638</v>
      </c>
      <c r="O46" s="108">
        <f t="shared" ref="O46:S46" si="12">1014000/11</f>
        <v>92181.818181818177</v>
      </c>
      <c r="P46" s="24"/>
      <c r="Q46" s="100">
        <v>682560</v>
      </c>
      <c r="R46" s="108">
        <f>(1014000/11)/2</f>
        <v>46090.909090909088</v>
      </c>
      <c r="S46" s="108">
        <f t="shared" si="12"/>
        <v>92181.818181818177</v>
      </c>
      <c r="T46" s="108">
        <f>(1014000/11+88393.5*$A$9)/6</f>
        <v>175719.75793863638</v>
      </c>
      <c r="U46" s="108">
        <f t="shared" ref="U46:Z46" si="13">1014000/11</f>
        <v>92181.818181818177</v>
      </c>
      <c r="V46" s="108">
        <f>(1014000/11)*2+9333.33</f>
        <v>193696.96636363634</v>
      </c>
      <c r="W46" s="24"/>
      <c r="X46" s="24"/>
      <c r="Y46" s="108">
        <v>991000</v>
      </c>
      <c r="Z46" s="108">
        <f t="shared" si="13"/>
        <v>92181.818181818177</v>
      </c>
      <c r="AA46" s="108">
        <f t="shared" si="11"/>
        <v>56333.333333333336</v>
      </c>
      <c r="AB46" s="108">
        <f>(1014000/11+88393.5*$A$9)/6</f>
        <v>175719.75793863638</v>
      </c>
      <c r="AC46" s="108">
        <f>(1014000/11+88393.5*$A$9)/6</f>
        <v>175719.75793863638</v>
      </c>
      <c r="AD46" s="24"/>
      <c r="AE46" s="24"/>
      <c r="AF46" s="108">
        <f>(1014000/11+88393.5*$A$9)/6</f>
        <v>175719.75793863638</v>
      </c>
      <c r="AG46" s="108">
        <f>(1014000/11+88393.5*$A$9)/6</f>
        <v>175719.75793863638</v>
      </c>
      <c r="AH46" s="108">
        <f>(1014000/11+88393.5*$A$9)/6</f>
        <v>175719.75793863638</v>
      </c>
      <c r="AI46" s="108">
        <f>507000/9</f>
        <v>56333.333333333336</v>
      </c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</row>
    <row r="47" spans="1:52" s="73" customFormat="1" x14ac:dyDescent="0.2">
      <c r="A47" s="69" t="s">
        <v>22</v>
      </c>
      <c r="B47" s="25" t="s">
        <v>48</v>
      </c>
      <c r="C47" s="137"/>
      <c r="D47" s="72"/>
      <c r="E47" s="72"/>
      <c r="F47" s="160">
        <f>(52206*$A$9)/6</f>
        <v>94707.774700000009</v>
      </c>
      <c r="G47" s="72"/>
      <c r="H47" s="160">
        <f>(52206*$A$9+2988*$A$6)/10</f>
        <v>78865.646819999994</v>
      </c>
      <c r="I47" s="72"/>
      <c r="J47" s="72"/>
      <c r="K47" s="160">
        <f>((52206*$A$9+2988*$A$6)/10)*2</f>
        <v>157731.29363999999</v>
      </c>
      <c r="L47" s="160">
        <f t="shared" ref="L47" si="14">(52206*$A$9+2988*$A$6)/10</f>
        <v>78865.646819999994</v>
      </c>
      <c r="N47" s="160">
        <f t="shared" ref="N47" si="15">(52206*$A$9+2988*$A$6)/10</f>
        <v>78865.646819999994</v>
      </c>
      <c r="O47" s="166">
        <f>62000*$A$9</f>
        <v>674851.4</v>
      </c>
      <c r="P47" s="72"/>
      <c r="Q47" s="72"/>
      <c r="S47" s="160">
        <f>(109170*$A$9)/5</f>
        <v>237656.5398</v>
      </c>
      <c r="T47" s="160">
        <f t="shared" ref="T47:U47" si="16">(109170*$A$9)/5</f>
        <v>237656.5398</v>
      </c>
      <c r="U47" s="160">
        <f t="shared" si="16"/>
        <v>237656.5398</v>
      </c>
      <c r="V47" s="72"/>
      <c r="W47" s="72"/>
      <c r="X47" s="72"/>
      <c r="Y47" s="160">
        <f t="shared" ref="Y47:Z47" si="17">(109170*$A$9)/5</f>
        <v>237656.5398</v>
      </c>
      <c r="Z47" s="160">
        <f t="shared" si="17"/>
        <v>237656.5398</v>
      </c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</row>
    <row r="48" spans="1:52" s="73" customFormat="1" x14ac:dyDescent="0.2">
      <c r="A48" s="69" t="s">
        <v>108</v>
      </c>
      <c r="B48" s="25" t="s">
        <v>109</v>
      </c>
      <c r="C48" s="120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</row>
    <row r="49" spans="1:52" s="71" customFormat="1" x14ac:dyDescent="0.2">
      <c r="A49" s="69" t="s">
        <v>36</v>
      </c>
      <c r="B49" s="25" t="s">
        <v>37</v>
      </c>
      <c r="C49" s="130"/>
      <c r="D49" s="24"/>
      <c r="F49" s="24"/>
      <c r="G49" s="100">
        <f>350422.5/2</f>
        <v>175211.25</v>
      </c>
      <c r="H49" s="100">
        <f>350422.5/2</f>
        <v>175211.25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</row>
    <row r="50" spans="1:52" s="71" customFormat="1" x14ac:dyDescent="0.2">
      <c r="A50" s="69" t="s">
        <v>86</v>
      </c>
      <c r="B50" s="25" t="s">
        <v>35</v>
      </c>
      <c r="C50" s="70"/>
      <c r="D50" s="77"/>
      <c r="E50" s="24"/>
      <c r="F50" s="24"/>
      <c r="G50" s="24"/>
      <c r="H50" s="24"/>
      <c r="I50" s="24"/>
      <c r="J50" s="24"/>
      <c r="K50" s="24"/>
      <c r="L50" s="24"/>
      <c r="M50" s="100">
        <f>2850*A6</f>
        <v>210230.25</v>
      </c>
      <c r="N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</row>
    <row r="51" spans="1:52" s="71" customFormat="1" x14ac:dyDescent="0.2">
      <c r="A51" s="69" t="s">
        <v>29</v>
      </c>
      <c r="B51" s="25" t="s">
        <v>43</v>
      </c>
      <c r="C51" s="70">
        <f>439750-19750-25000-25000-25000-20000-20000-25000-50000</f>
        <v>230000</v>
      </c>
      <c r="D51" s="24"/>
      <c r="E51" s="24"/>
      <c r="F51" s="24"/>
      <c r="G51" s="24"/>
      <c r="I51" s="24"/>
      <c r="J51" s="24"/>
      <c r="K51" s="95">
        <v>35000</v>
      </c>
      <c r="L51" s="24"/>
      <c r="M51" s="24"/>
      <c r="N51" s="24"/>
      <c r="O51" s="95">
        <v>100000</v>
      </c>
      <c r="P51" s="24"/>
      <c r="Q51" s="24"/>
      <c r="R51" s="95">
        <v>95000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</row>
    <row r="52" spans="1:52" s="71" customFormat="1" x14ac:dyDescent="0.2">
      <c r="A52" s="69" t="s">
        <v>141</v>
      </c>
      <c r="B52" s="25" t="s">
        <v>142</v>
      </c>
      <c r="C52" s="70"/>
      <c r="D52" s="24"/>
      <c r="E52" s="24"/>
      <c r="F52" s="24"/>
      <c r="G52" s="24"/>
      <c r="H52" s="24"/>
      <c r="I52" s="24"/>
      <c r="J52" s="24"/>
      <c r="K52" s="24"/>
      <c r="L52" s="24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</row>
    <row r="53" spans="1:52" s="71" customFormat="1" x14ac:dyDescent="0.2">
      <c r="A53" s="69" t="s">
        <v>159</v>
      </c>
      <c r="B53" s="25" t="s">
        <v>160</v>
      </c>
      <c r="C53" s="70"/>
      <c r="D53" s="24"/>
      <c r="E53" s="100">
        <v>28476.98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</row>
    <row r="54" spans="1:52" s="71" customFormat="1" x14ac:dyDescent="0.2">
      <c r="A54" s="69" t="s">
        <v>124</v>
      </c>
      <c r="B54" s="25" t="s">
        <v>125</v>
      </c>
      <c r="C54" s="70"/>
      <c r="D54" s="24"/>
      <c r="E54" s="24"/>
      <c r="F54" s="24"/>
      <c r="G54" s="24"/>
      <c r="H54" s="24"/>
      <c r="I54" s="24"/>
      <c r="J54" s="24"/>
      <c r="K54" s="100">
        <v>203210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</row>
    <row r="55" spans="1:52" s="71" customFormat="1" x14ac:dyDescent="0.2">
      <c r="A55" s="69" t="s">
        <v>40</v>
      </c>
      <c r="B55" s="25" t="s">
        <v>44</v>
      </c>
      <c r="C55" s="70"/>
      <c r="D55" s="24"/>
      <c r="E55" s="100">
        <v>1524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</row>
    <row r="56" spans="1:52" s="71" customFormat="1" x14ac:dyDescent="0.2">
      <c r="A56" s="69" t="s">
        <v>90</v>
      </c>
      <c r="B56" s="25" t="s">
        <v>91</v>
      </c>
      <c r="C56" s="70">
        <f>912000+1012000-100000-100000-75000-75000-75000-75000-75000-75000-75000-75000-75000-75000-75000-75000-100000-75000</f>
        <v>649000</v>
      </c>
      <c r="D56" s="77"/>
      <c r="E56" s="129">
        <v>100000</v>
      </c>
      <c r="F56" s="129">
        <v>100000</v>
      </c>
      <c r="G56" s="129">
        <f>124000+25000</f>
        <v>149000</v>
      </c>
      <c r="H56" s="129">
        <v>100000</v>
      </c>
      <c r="I56" s="24"/>
      <c r="J56" s="24"/>
      <c r="K56" s="24"/>
      <c r="L56" s="129">
        <v>100000</v>
      </c>
      <c r="M56" s="24"/>
      <c r="N56" s="129">
        <v>100000</v>
      </c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</row>
    <row r="57" spans="1:52" s="71" customFormat="1" x14ac:dyDescent="0.2">
      <c r="A57" s="69" t="s">
        <v>138</v>
      </c>
      <c r="B57" s="25" t="s">
        <v>136</v>
      </c>
      <c r="C57" s="70"/>
      <c r="D57" s="77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</row>
    <row r="58" spans="1:52" s="71" customFormat="1" x14ac:dyDescent="0.2">
      <c r="A58" s="69" t="s">
        <v>156</v>
      </c>
      <c r="B58" s="25" t="s">
        <v>157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</row>
    <row r="59" spans="1:52" s="71" customFormat="1" ht="12.75" customHeight="1" x14ac:dyDescent="0.2">
      <c r="A59" s="151" t="s">
        <v>139</v>
      </c>
      <c r="B59" s="152" t="s">
        <v>161</v>
      </c>
      <c r="C59" s="70"/>
      <c r="D59" s="77"/>
      <c r="E59" s="100">
        <v>150000</v>
      </c>
      <c r="F59" s="100">
        <v>150000</v>
      </c>
      <c r="G59" s="100">
        <v>150000</v>
      </c>
      <c r="H59" s="100">
        <v>150000</v>
      </c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</row>
    <row r="60" spans="1:52" s="71" customFormat="1" x14ac:dyDescent="0.2">
      <c r="A60" s="69" t="s">
        <v>128</v>
      </c>
      <c r="B60" s="25" t="s">
        <v>129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</row>
    <row r="61" spans="1:52" s="71" customFormat="1" x14ac:dyDescent="0.2">
      <c r="A61" s="69" t="s">
        <v>101</v>
      </c>
      <c r="B61" s="25" t="s">
        <v>130</v>
      </c>
      <c r="C61" s="70">
        <f>37500-25000-12500</f>
        <v>0</v>
      </c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</row>
    <row r="62" spans="1:52" s="71" customFormat="1" x14ac:dyDescent="0.2">
      <c r="A62" s="69" t="s">
        <v>154</v>
      </c>
      <c r="B62" s="25" t="s">
        <v>153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</row>
    <row r="63" spans="1:52" s="71" customFormat="1" x14ac:dyDescent="0.2">
      <c r="A63" s="69" t="s">
        <v>158</v>
      </c>
      <c r="B63" s="25"/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</row>
    <row r="64" spans="1:52" s="71" customFormat="1" x14ac:dyDescent="0.2">
      <c r="A64" s="69" t="s">
        <v>38</v>
      </c>
      <c r="B64" s="25" t="s">
        <v>39</v>
      </c>
      <c r="C64" s="70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</row>
    <row r="65" spans="1:52" s="71" customFormat="1" x14ac:dyDescent="0.2">
      <c r="A65" s="69" t="s">
        <v>74</v>
      </c>
      <c r="B65" s="25" t="s">
        <v>131</v>
      </c>
      <c r="C65" s="70"/>
      <c r="D65" s="24"/>
      <c r="E65" s="24"/>
      <c r="F65" s="100">
        <v>11667</v>
      </c>
      <c r="G65" s="24"/>
      <c r="H65" s="100">
        <v>10000</v>
      </c>
      <c r="I65" s="24"/>
      <c r="J65" s="24"/>
      <c r="K65" s="100">
        <v>30000</v>
      </c>
      <c r="L65" s="24"/>
      <c r="M65" s="24"/>
      <c r="N65" s="100">
        <v>30000</v>
      </c>
      <c r="O65" s="100">
        <f>7500+16500</f>
        <v>24000</v>
      </c>
      <c r="P65" s="24"/>
      <c r="Q65" s="100">
        <v>12000</v>
      </c>
      <c r="R65" s="24"/>
      <c r="S65" s="24"/>
      <c r="T65" s="100">
        <v>9500</v>
      </c>
      <c r="U65" s="24"/>
      <c r="V65" s="100">
        <v>22000</v>
      </c>
      <c r="W65" s="24"/>
      <c r="X65" s="24"/>
      <c r="Y65" s="100">
        <v>20000</v>
      </c>
      <c r="Z65" s="24"/>
      <c r="AA65" s="24"/>
      <c r="AB65" s="143">
        <v>40000</v>
      </c>
      <c r="AC65" s="143">
        <v>12000</v>
      </c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</row>
    <row r="66" spans="1:52" s="71" customFormat="1" x14ac:dyDescent="0.2">
      <c r="A66" s="69" t="s">
        <v>74</v>
      </c>
      <c r="B66" s="25" t="s">
        <v>150</v>
      </c>
      <c r="C66" s="164">
        <v>3567700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</row>
    <row r="67" spans="1:52" s="73" customForma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</row>
    <row r="68" spans="1:52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</row>
    <row r="69" spans="1:52" s="5" customFormat="1" x14ac:dyDescent="0.2">
      <c r="A69" s="42"/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</row>
    <row r="70" spans="1:52" s="5" customFormat="1" x14ac:dyDescent="0.2">
      <c r="A70" s="36" t="s">
        <v>49</v>
      </c>
      <c r="B70" s="12"/>
      <c r="C70" s="13"/>
      <c r="D70" s="26"/>
      <c r="E70" s="13"/>
      <c r="F70" s="13">
        <f>1400000+7400*A3</f>
        <v>2025938.62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</row>
    <row r="71" spans="1:52" s="5" customFormat="1" x14ac:dyDescent="0.2">
      <c r="A71" s="36" t="s">
        <v>57</v>
      </c>
      <c r="B71" s="12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K71" s="13"/>
      <c r="AL71" s="13"/>
      <c r="AM71" s="168">
        <v>1600000</v>
      </c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</row>
    <row r="72" spans="1:52" s="5" customFormat="1" x14ac:dyDescent="0.2">
      <c r="A72" s="36" t="s">
        <v>61</v>
      </c>
      <c r="B72" s="12"/>
      <c r="C72" s="13">
        <v>112000</v>
      </c>
      <c r="D72" s="26"/>
      <c r="E72" s="13"/>
      <c r="F72" s="13">
        <f>4600*$A$3</f>
        <v>389096.98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</row>
    <row r="73" spans="1:52" s="5" customFormat="1" x14ac:dyDescent="0.2">
      <c r="A73" s="42" t="s">
        <v>151</v>
      </c>
      <c r="B73" s="12"/>
      <c r="C73" s="68">
        <f>(10000*10)*A6</f>
        <v>7376500</v>
      </c>
      <c r="D73" s="26"/>
      <c r="E73" s="13"/>
      <c r="F73" s="126">
        <f>C73/2</f>
        <v>3688250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</row>
    <row r="74" spans="1:52" s="5" customFormat="1" x14ac:dyDescent="0.2">
      <c r="A74" s="36" t="s">
        <v>72</v>
      </c>
      <c r="B74" s="27" t="s">
        <v>73</v>
      </c>
      <c r="C74" s="62">
        <v>3637079.2460000003</v>
      </c>
      <c r="D74" s="35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</row>
    <row r="75" spans="1:52" s="5" customFormat="1" x14ac:dyDescent="0.2">
      <c r="A75" s="42"/>
      <c r="B75" s="12"/>
      <c r="C75" s="61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</row>
    <row r="76" spans="1:52" s="84" customFormat="1" x14ac:dyDescent="0.2">
      <c r="A76" s="81" t="s">
        <v>66</v>
      </c>
      <c r="B76" s="82"/>
      <c r="C76" s="63"/>
      <c r="D76" s="83"/>
      <c r="E76" s="83">
        <f>$C$5+E16-E26</f>
        <v>8314025.3059199993</v>
      </c>
      <c r="F76" s="83">
        <f t="shared" ref="F76:AZ76" si="18">E76+F16-F26</f>
        <v>2009656.5978866657</v>
      </c>
      <c r="G76" s="83">
        <f t="shared" si="18"/>
        <v>850728.52047333238</v>
      </c>
      <c r="H76" s="83">
        <f t="shared" si="18"/>
        <v>1560681.7962399987</v>
      </c>
      <c r="I76" s="83">
        <f t="shared" si="18"/>
        <v>1560681.7962399987</v>
      </c>
      <c r="J76" s="83">
        <f t="shared" si="18"/>
        <v>1560681.7962399987</v>
      </c>
      <c r="K76" s="83">
        <f t="shared" si="18"/>
        <v>2765164.6751866653</v>
      </c>
      <c r="L76" s="83">
        <f t="shared" si="18"/>
        <v>-830386.79904666822</v>
      </c>
      <c r="M76" s="83">
        <f t="shared" si="18"/>
        <v>-1537697.4639600015</v>
      </c>
      <c r="N76" s="83">
        <f t="shared" si="18"/>
        <v>-2856750.2627986381</v>
      </c>
      <c r="O76" s="83">
        <f t="shared" si="18"/>
        <v>-3839406.4809804563</v>
      </c>
      <c r="P76" s="83">
        <f t="shared" si="18"/>
        <v>-3839406.4809804563</v>
      </c>
      <c r="Q76" s="83">
        <f t="shared" si="18"/>
        <v>-4533966.4809804559</v>
      </c>
      <c r="R76" s="83">
        <f t="shared" si="18"/>
        <v>-2863461.8841513651</v>
      </c>
      <c r="S76" s="83">
        <f t="shared" si="18"/>
        <v>-3711704.7362131835</v>
      </c>
      <c r="T76" s="83">
        <f t="shared" si="18"/>
        <v>-4459767.0221118201</v>
      </c>
      <c r="U76" s="83">
        <f t="shared" si="18"/>
        <v>-4978009.8741736384</v>
      </c>
      <c r="V76" s="83">
        <f t="shared" si="18"/>
        <v>-5245329.8405372743</v>
      </c>
      <c r="W76" s="83">
        <f t="shared" si="18"/>
        <v>-5245329.8405372743</v>
      </c>
      <c r="X76" s="83">
        <f t="shared" si="18"/>
        <v>-5245329.8405372743</v>
      </c>
      <c r="Y76" s="83">
        <f t="shared" si="18"/>
        <v>-5418503.8744172743</v>
      </c>
      <c r="Z76" s="83">
        <f t="shared" si="18"/>
        <v>-5799965.2323990921</v>
      </c>
      <c r="AA76" s="83">
        <f t="shared" si="18"/>
        <v>-5907921.5657324251</v>
      </c>
      <c r="AB76" s="83">
        <f t="shared" si="18"/>
        <v>-6123641.3236710615</v>
      </c>
      <c r="AC76" s="83">
        <f t="shared" si="18"/>
        <v>-6494631.081609698</v>
      </c>
      <c r="AD76" s="83">
        <f t="shared" si="18"/>
        <v>-6494631.081609698</v>
      </c>
      <c r="AE76" s="83">
        <f t="shared" si="18"/>
        <v>-6494631.081609698</v>
      </c>
      <c r="AF76" s="83">
        <f t="shared" si="18"/>
        <v>-5206435.8395483345</v>
      </c>
      <c r="AG76" s="83">
        <f t="shared" si="18"/>
        <v>-6036725.5974869709</v>
      </c>
      <c r="AH76" s="83">
        <f t="shared" si="18"/>
        <v>-6212445.3554256074</v>
      </c>
      <c r="AI76" s="83">
        <f t="shared" si="18"/>
        <v>-6268778.6887589404</v>
      </c>
      <c r="AJ76" s="83">
        <f t="shared" si="18"/>
        <v>-6268778.6887589404</v>
      </c>
      <c r="AK76" s="83">
        <f t="shared" si="18"/>
        <v>-6268778.6887589404</v>
      </c>
      <c r="AL76" s="83">
        <f t="shared" si="18"/>
        <v>-6268778.6887589404</v>
      </c>
      <c r="AM76" s="83">
        <f t="shared" si="18"/>
        <v>-3537793.6887589404</v>
      </c>
      <c r="AN76" s="83">
        <f t="shared" si="18"/>
        <v>-3537793.6887589404</v>
      </c>
      <c r="AO76" s="83">
        <f t="shared" si="18"/>
        <v>-3537793.6887589404</v>
      </c>
      <c r="AP76" s="83">
        <f t="shared" si="18"/>
        <v>-3537793.6887589404</v>
      </c>
      <c r="AQ76" s="83">
        <f t="shared" si="18"/>
        <v>-3537793.6887589404</v>
      </c>
      <c r="AR76" s="83">
        <f t="shared" si="18"/>
        <v>-3537793.6887589404</v>
      </c>
      <c r="AS76" s="83">
        <f t="shared" si="18"/>
        <v>-3537793.6887589404</v>
      </c>
      <c r="AT76" s="83">
        <f t="shared" si="18"/>
        <v>-1272584.3087589405</v>
      </c>
      <c r="AU76" s="83">
        <f t="shared" si="18"/>
        <v>-1272584.3087589405</v>
      </c>
      <c r="AV76" s="83">
        <f t="shared" si="18"/>
        <v>-1272584.3087589405</v>
      </c>
      <c r="AW76" s="83">
        <f t="shared" si="18"/>
        <v>-1272584.3087589405</v>
      </c>
      <c r="AX76" s="83">
        <f t="shared" si="18"/>
        <v>-1272584.3087589405</v>
      </c>
      <c r="AY76" s="83">
        <f t="shared" si="18"/>
        <v>-1272584.3087589405</v>
      </c>
      <c r="AZ76" s="83">
        <f t="shared" si="18"/>
        <v>-1272584.3087589405</v>
      </c>
    </row>
    <row r="78" spans="1:52" s="5" customFormat="1" x14ac:dyDescent="0.2">
      <c r="A78" s="42"/>
      <c r="B78" s="12"/>
      <c r="C78" s="68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</row>
    <row r="79" spans="1:52" s="89" customFormat="1" x14ac:dyDescent="0.2">
      <c r="A79" s="85" t="s">
        <v>65</v>
      </c>
      <c r="B79" s="86"/>
      <c r="C79" s="87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</row>
    <row r="80" spans="1:52" s="5" customFormat="1" ht="22.5" x14ac:dyDescent="0.2">
      <c r="A80" s="36" t="s">
        <v>67</v>
      </c>
      <c r="B80" s="27" t="s">
        <v>68</v>
      </c>
      <c r="C80" s="68">
        <v>3221210.79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</row>
    <row r="81" spans="1:52" s="5" customFormat="1" x14ac:dyDescent="0.2">
      <c r="A81" s="36" t="s">
        <v>69</v>
      </c>
      <c r="B81" s="27" t="s">
        <v>70</v>
      </c>
      <c r="C81" s="68">
        <v>9814338.4000000004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</row>
    <row r="82" spans="1:52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</row>
    <row r="83" spans="1:52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</row>
    <row r="85" spans="1:52" x14ac:dyDescent="0.25">
      <c r="B85" s="14"/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85"/>
  <sheetViews>
    <sheetView topLeftCell="A19" workbookViewId="0">
      <selection activeCell="C43" sqref="C43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2.28515625" style="3" customWidth="1"/>
    <col min="6" max="6" width="12.140625" style="3" customWidth="1"/>
    <col min="7" max="7" width="11.140625" style="3" customWidth="1"/>
    <col min="8" max="8" width="12.7109375" style="3" customWidth="1"/>
    <col min="9" max="9" width="11.140625" style="3" customWidth="1"/>
    <col min="10" max="10" width="11.7109375" style="3" customWidth="1"/>
    <col min="11" max="11" width="11.5703125" style="3" customWidth="1"/>
    <col min="12" max="13" width="10.85546875" style="3" customWidth="1"/>
    <col min="14" max="14" width="12.85546875" style="3" customWidth="1"/>
    <col min="15" max="15" width="12" style="3" customWidth="1"/>
    <col min="16" max="16" width="11.140625" style="3" customWidth="1"/>
    <col min="17" max="17" width="12.7109375" style="3" customWidth="1"/>
    <col min="18" max="18" width="11.42578125" style="3" customWidth="1"/>
    <col min="19" max="19" width="11.7109375" style="3" customWidth="1"/>
    <col min="20" max="20" width="10.5703125" style="3" customWidth="1"/>
    <col min="21" max="21" width="12" style="3" customWidth="1"/>
    <col min="22" max="22" width="11.140625" style="3" customWidth="1"/>
    <col min="23" max="23" width="10.42578125" style="3" customWidth="1"/>
    <col min="24" max="24" width="14" style="3" customWidth="1"/>
    <col min="25" max="25" width="10.42578125" style="3" customWidth="1"/>
    <col min="26" max="26" width="12.5703125" style="3" customWidth="1"/>
    <col min="27" max="27" width="13.28515625" style="3" customWidth="1"/>
    <col min="28" max="28" width="12.140625" style="3" customWidth="1"/>
    <col min="29" max="29" width="12.42578125" style="3" customWidth="1"/>
    <col min="30" max="30" width="12.28515625" style="3" customWidth="1"/>
    <col min="31" max="31" width="12.7109375" style="3" customWidth="1"/>
    <col min="32" max="32" width="11.28515625" style="3" customWidth="1"/>
    <col min="33" max="33" width="11.85546875" style="3" customWidth="1"/>
    <col min="34" max="34" width="12.28515625" style="3" customWidth="1"/>
    <col min="35" max="35" width="11.140625" style="3" customWidth="1"/>
    <col min="36" max="36" width="10.5703125" style="3" customWidth="1"/>
    <col min="37" max="37" width="10.85546875" style="3" customWidth="1"/>
    <col min="38" max="38" width="12" style="3" customWidth="1"/>
    <col min="39" max="39" width="13.140625" style="3" customWidth="1"/>
    <col min="40" max="40" width="11.140625" style="3" customWidth="1"/>
    <col min="41" max="41" width="12.5703125" style="3" customWidth="1"/>
    <col min="42" max="42" width="12.140625" style="3" customWidth="1"/>
    <col min="43" max="43" width="12.42578125" style="3" customWidth="1"/>
    <col min="44" max="44" width="12" style="3" customWidth="1"/>
    <col min="45" max="45" width="14.85546875" style="3" customWidth="1"/>
    <col min="46" max="46" width="11.5703125" style="3" customWidth="1"/>
    <col min="47" max="47" width="13.7109375" style="3" customWidth="1"/>
    <col min="48" max="48" width="12.42578125" style="3" customWidth="1"/>
    <col min="49" max="49" width="10.85546875" style="3" customWidth="1"/>
    <col min="50" max="50" width="12.140625" style="3" customWidth="1"/>
    <col min="51" max="51" width="11.85546875" style="3" customWidth="1"/>
    <col min="52" max="52" width="12.7109375" style="3" customWidth="1"/>
    <col min="53" max="53" width="12.42578125" style="3" customWidth="1"/>
    <col min="54" max="54" width="11.140625" style="3" customWidth="1"/>
    <col min="55" max="55" width="11.5703125" style="3" customWidth="1"/>
    <col min="56" max="56" width="12.28515625" style="3" customWidth="1"/>
    <col min="57" max="16384" width="9" style="3"/>
  </cols>
  <sheetData>
    <row r="1" spans="1:56" ht="12" thickBot="1" x14ac:dyDescent="0.3"/>
    <row r="2" spans="1:56" s="1" customFormat="1" x14ac:dyDescent="0.2">
      <c r="A2" s="43" t="s">
        <v>50</v>
      </c>
      <c r="B2" s="15" t="s">
        <v>27</v>
      </c>
      <c r="C2" s="50">
        <v>8151467.2400000002</v>
      </c>
    </row>
    <row r="3" spans="1:56" s="1" customFormat="1" ht="12" thickBot="1" x14ac:dyDescent="0.25">
      <c r="A3" s="44">
        <v>85.030500000000004</v>
      </c>
      <c r="B3" s="15" t="s">
        <v>28</v>
      </c>
      <c r="C3" s="50">
        <v>10778.95</v>
      </c>
    </row>
    <row r="4" spans="1:56" s="8" customFormat="1" ht="12" thickBot="1" x14ac:dyDescent="0.25">
      <c r="A4" s="45"/>
      <c r="B4" s="15" t="s">
        <v>25</v>
      </c>
      <c r="C4" s="51">
        <v>0</v>
      </c>
    </row>
    <row r="5" spans="1:56" s="6" customFormat="1" x14ac:dyDescent="0.2">
      <c r="A5" s="43" t="s">
        <v>51</v>
      </c>
      <c r="B5" s="49" t="s">
        <v>26</v>
      </c>
      <c r="C5" s="52">
        <f>SUM(C2:C4)</f>
        <v>8162246.1900000004</v>
      </c>
    </row>
    <row r="6" spans="1:56" s="6" customFormat="1" ht="12" thickBot="1" x14ac:dyDescent="0.25">
      <c r="A6" s="44">
        <v>73.359099999999998</v>
      </c>
      <c r="B6" s="16"/>
      <c r="C6" s="53"/>
      <c r="D6" s="17"/>
    </row>
    <row r="7" spans="1:56" s="6" customFormat="1" ht="12" thickBot="1" x14ac:dyDescent="0.25">
      <c r="A7" s="105" t="s">
        <v>51</v>
      </c>
      <c r="B7" s="18" t="s">
        <v>127</v>
      </c>
      <c r="C7" s="54">
        <f>SUM(16:16)</f>
        <v>19663948.559</v>
      </c>
    </row>
    <row r="8" spans="1:56" x14ac:dyDescent="0.25">
      <c r="A8" s="43" t="s">
        <v>52</v>
      </c>
      <c r="B8" s="18" t="s">
        <v>126</v>
      </c>
      <c r="C8" s="54">
        <f>SUM(26:26)</f>
        <v>49053146.929343931</v>
      </c>
    </row>
    <row r="9" spans="1:56" ht="12" thickBot="1" x14ac:dyDescent="0.3">
      <c r="A9" s="44">
        <v>10.8284</v>
      </c>
      <c r="B9" s="19" t="s">
        <v>64</v>
      </c>
      <c r="C9" s="55">
        <f>C5+C7-C8-C11</f>
        <v>-41875282.372863933</v>
      </c>
    </row>
    <row r="10" spans="1:56" x14ac:dyDescent="0.25">
      <c r="A10" s="99" t="s">
        <v>80</v>
      </c>
      <c r="B10" s="18" t="s">
        <v>23</v>
      </c>
      <c r="C10" s="56">
        <f>C16</f>
        <v>0</v>
      </c>
    </row>
    <row r="11" spans="1:56" x14ac:dyDescent="0.25">
      <c r="A11" s="101" t="s">
        <v>87</v>
      </c>
      <c r="B11" s="18" t="s">
        <v>24</v>
      </c>
      <c r="C11" s="54">
        <f>C26</f>
        <v>20648330.19252</v>
      </c>
    </row>
    <row r="12" spans="1:56" x14ac:dyDescent="0.25">
      <c r="A12" s="107" t="s">
        <v>88</v>
      </c>
    </row>
    <row r="13" spans="1:56" x14ac:dyDescent="0.25">
      <c r="A13" s="38"/>
      <c r="B13" s="10"/>
      <c r="C13" s="57"/>
      <c r="D13" s="10"/>
    </row>
    <row r="14" spans="1:56" s="2" customFormat="1" x14ac:dyDescent="0.25">
      <c r="A14" s="64"/>
      <c r="B14" s="65"/>
      <c r="C14" s="58" t="s">
        <v>56</v>
      </c>
      <c r="D14" s="66"/>
      <c r="E14" s="66">
        <v>46192</v>
      </c>
      <c r="F14" s="66">
        <v>46193</v>
      </c>
      <c r="G14" s="66">
        <v>46194</v>
      </c>
      <c r="H14" s="66">
        <v>46195</v>
      </c>
      <c r="I14" s="66">
        <v>46196</v>
      </c>
      <c r="J14" s="66">
        <v>46197</v>
      </c>
      <c r="K14" s="66">
        <v>46198</v>
      </c>
      <c r="L14" s="66">
        <v>46199</v>
      </c>
      <c r="M14" s="66">
        <v>46200</v>
      </c>
      <c r="N14" s="66">
        <v>46201</v>
      </c>
      <c r="O14" s="66">
        <v>46202</v>
      </c>
      <c r="P14" s="66">
        <v>46203</v>
      </c>
      <c r="Q14" s="66">
        <v>46204</v>
      </c>
      <c r="R14" s="66">
        <v>46205</v>
      </c>
      <c r="S14" s="66">
        <v>46206</v>
      </c>
      <c r="T14" s="66">
        <v>46207</v>
      </c>
      <c r="U14" s="66">
        <v>46208</v>
      </c>
      <c r="V14" s="66">
        <v>46209</v>
      </c>
      <c r="W14" s="66">
        <v>46210</v>
      </c>
      <c r="X14" s="66">
        <v>46211</v>
      </c>
      <c r="Y14" s="66">
        <v>46212</v>
      </c>
      <c r="Z14" s="66">
        <v>46213</v>
      </c>
      <c r="AA14" s="66">
        <v>46214</v>
      </c>
      <c r="AB14" s="66">
        <v>46215</v>
      </c>
      <c r="AC14" s="66">
        <v>46216</v>
      </c>
      <c r="AD14" s="66">
        <v>46217</v>
      </c>
      <c r="AE14" s="66">
        <v>46218</v>
      </c>
      <c r="AF14" s="66">
        <v>46219</v>
      </c>
      <c r="AG14" s="66">
        <v>46220</v>
      </c>
      <c r="AH14" s="66">
        <v>46221</v>
      </c>
      <c r="AI14" s="66">
        <v>46222</v>
      </c>
      <c r="AJ14" s="66">
        <v>46223</v>
      </c>
      <c r="AK14" s="66">
        <v>46224</v>
      </c>
      <c r="AL14" s="66">
        <v>46225</v>
      </c>
      <c r="AM14" s="66">
        <v>46226</v>
      </c>
      <c r="AN14" s="66">
        <v>46227</v>
      </c>
      <c r="AO14" s="66">
        <v>46228</v>
      </c>
      <c r="AP14" s="66">
        <v>46229</v>
      </c>
      <c r="AQ14" s="66">
        <v>46230</v>
      </c>
      <c r="AR14" s="66">
        <v>46231</v>
      </c>
      <c r="AS14" s="66">
        <v>46232</v>
      </c>
      <c r="AT14" s="66">
        <v>46233</v>
      </c>
      <c r="AU14" s="66">
        <v>46234</v>
      </c>
      <c r="AV14" s="66">
        <v>46235</v>
      </c>
      <c r="AW14" s="66">
        <v>46236</v>
      </c>
      <c r="AX14" s="66">
        <v>46237</v>
      </c>
      <c r="AY14" s="66">
        <v>46238</v>
      </c>
      <c r="AZ14" s="66">
        <v>46239</v>
      </c>
      <c r="BA14" s="66">
        <v>46240</v>
      </c>
      <c r="BB14" s="66">
        <v>46241</v>
      </c>
      <c r="BC14" s="66">
        <v>46242</v>
      </c>
      <c r="BD14" s="66">
        <v>46243</v>
      </c>
    </row>
    <row r="15" spans="1:56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</row>
    <row r="16" spans="1:56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D16" si="0">SUM(E17:E25)</f>
        <v>3305877.7590000001</v>
      </c>
      <c r="F16" s="135">
        <f t="shared" si="0"/>
        <v>0</v>
      </c>
      <c r="G16" s="135">
        <f t="shared" si="0"/>
        <v>0</v>
      </c>
      <c r="H16" s="29">
        <f t="shared" si="0"/>
        <v>1000000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0</v>
      </c>
      <c r="M16" s="135">
        <f t="shared" si="0"/>
        <v>0</v>
      </c>
      <c r="N16" s="135">
        <f t="shared" si="0"/>
        <v>0</v>
      </c>
      <c r="O16" s="29">
        <f t="shared" si="0"/>
        <v>2000000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135">
        <f t="shared" si="0"/>
        <v>0</v>
      </c>
      <c r="U16" s="135">
        <f t="shared" si="0"/>
        <v>0</v>
      </c>
      <c r="V16" s="29">
        <f t="shared" si="0"/>
        <v>2000000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135">
        <f t="shared" si="0"/>
        <v>0</v>
      </c>
      <c r="AB16" s="135">
        <f t="shared" si="0"/>
        <v>0</v>
      </c>
      <c r="AC16" s="29">
        <f t="shared" si="0"/>
        <v>2000000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135">
        <f t="shared" si="0"/>
        <v>0</v>
      </c>
      <c r="AI16" s="135">
        <f t="shared" si="0"/>
        <v>0</v>
      </c>
      <c r="AJ16" s="29">
        <f t="shared" si="0"/>
        <v>2000000</v>
      </c>
      <c r="AK16" s="29">
        <f t="shared" si="0"/>
        <v>0</v>
      </c>
      <c r="AL16" s="29">
        <f t="shared" si="0"/>
        <v>0</v>
      </c>
      <c r="AM16" s="29">
        <f t="shared" si="0"/>
        <v>0</v>
      </c>
      <c r="AN16" s="29">
        <f t="shared" si="0"/>
        <v>0</v>
      </c>
      <c r="AO16" s="135">
        <f t="shared" si="0"/>
        <v>0</v>
      </c>
      <c r="AP16" s="135">
        <f t="shared" si="0"/>
        <v>0</v>
      </c>
      <c r="AQ16" s="29">
        <f t="shared" si="0"/>
        <v>4330985</v>
      </c>
      <c r="AR16" s="29">
        <f t="shared" si="0"/>
        <v>0</v>
      </c>
      <c r="AS16" s="29">
        <f t="shared" si="0"/>
        <v>0</v>
      </c>
      <c r="AT16" s="29">
        <f t="shared" si="0"/>
        <v>0</v>
      </c>
      <c r="AU16" s="29">
        <f t="shared" si="0"/>
        <v>0</v>
      </c>
      <c r="AV16" s="135">
        <f t="shared" si="0"/>
        <v>0</v>
      </c>
      <c r="AW16" s="135">
        <f t="shared" si="0"/>
        <v>0</v>
      </c>
      <c r="AX16" s="29">
        <f t="shared" si="0"/>
        <v>3027085.8000000003</v>
      </c>
      <c r="AY16" s="29">
        <f t="shared" si="0"/>
        <v>0</v>
      </c>
      <c r="AZ16" s="29">
        <f t="shared" si="0"/>
        <v>0</v>
      </c>
      <c r="BA16" s="29">
        <f t="shared" si="0"/>
        <v>0</v>
      </c>
      <c r="BB16" s="29">
        <f t="shared" si="0"/>
        <v>0</v>
      </c>
      <c r="BC16" s="135">
        <f t="shared" si="0"/>
        <v>0</v>
      </c>
      <c r="BD16" s="135">
        <f t="shared" si="0"/>
        <v>0</v>
      </c>
    </row>
    <row r="17" spans="1:56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</row>
    <row r="18" spans="1:56" s="80" customFormat="1" x14ac:dyDescent="0.25">
      <c r="A18" s="40" t="s">
        <v>9</v>
      </c>
      <c r="B18" s="21"/>
      <c r="C18" s="59"/>
      <c r="D18" s="30"/>
      <c r="E18" s="30">
        <v>1500000</v>
      </c>
      <c r="F18" s="30"/>
      <c r="G18" s="30"/>
      <c r="H18" s="30">
        <v>1000000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</row>
    <row r="19" spans="1:56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>
        <v>2000000</v>
      </c>
      <c r="P19" s="30"/>
      <c r="Q19" s="30"/>
      <c r="R19" s="30"/>
      <c r="S19" s="30"/>
      <c r="T19" s="30"/>
      <c r="U19" s="30"/>
      <c r="V19" s="30">
        <v>2000000</v>
      </c>
      <c r="W19" s="30"/>
      <c r="X19" s="30"/>
      <c r="Y19" s="30"/>
      <c r="Z19" s="30"/>
      <c r="AA19" s="30"/>
      <c r="AB19" s="30"/>
      <c r="AC19" s="30">
        <v>2000000</v>
      </c>
      <c r="AD19" s="30"/>
      <c r="AE19" s="30"/>
      <c r="AF19" s="30"/>
      <c r="AG19" s="30"/>
      <c r="AH19" s="30"/>
      <c r="AI19" s="30"/>
      <c r="AJ19" s="30">
        <v>2000000</v>
      </c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</row>
    <row r="20" spans="1:56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O20" s="30"/>
      <c r="AP20" s="30"/>
      <c r="AQ20" s="30">
        <v>4330985</v>
      </c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</row>
    <row r="21" spans="1:56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</row>
    <row r="22" spans="1:56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</row>
    <row r="23" spans="1:56" s="80" customFormat="1" x14ac:dyDescent="0.25">
      <c r="A23" s="40" t="s">
        <v>11</v>
      </c>
      <c r="B23" s="21"/>
      <c r="C23" s="59"/>
      <c r="D23" s="30"/>
      <c r="E23" s="30">
        <f>(96084-26000-48846)*A3</f>
        <v>1805877.7590000001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</row>
    <row r="24" spans="1:56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P24" s="30"/>
      <c r="Q24" s="30"/>
      <c r="R24" s="30"/>
      <c r="S24" s="30"/>
      <c r="T24" s="30"/>
      <c r="U24" s="30"/>
      <c r="V24" s="30"/>
      <c r="W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165">
        <f>35600*A3</f>
        <v>3027085.8000000003</v>
      </c>
      <c r="AY24" s="30"/>
      <c r="AZ24" s="30"/>
      <c r="BA24" s="30"/>
      <c r="BB24" s="30"/>
      <c r="BC24" s="30"/>
      <c r="BD24" s="30"/>
    </row>
    <row r="25" spans="1:56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</row>
    <row r="26" spans="1:56" s="4" customFormat="1" x14ac:dyDescent="0.2">
      <c r="A26" s="41" t="s">
        <v>1</v>
      </c>
      <c r="B26" s="22"/>
      <c r="C26" s="34">
        <f>SUM(C28:C74)</f>
        <v>20648330.19252</v>
      </c>
      <c r="D26" s="34"/>
      <c r="E26" s="34">
        <f t="shared" ref="E26:BD26" si="1">SUM(E27:E75)</f>
        <v>6923100.5860000001</v>
      </c>
      <c r="F26" s="34">
        <f t="shared" si="1"/>
        <v>0</v>
      </c>
      <c r="G26" s="34">
        <f t="shared" si="1"/>
        <v>0</v>
      </c>
      <c r="H26" s="34">
        <f t="shared" si="1"/>
        <v>1190904.1825733331</v>
      </c>
      <c r="I26" s="34">
        <f t="shared" si="1"/>
        <v>808133.23575999995</v>
      </c>
      <c r="J26" s="34">
        <f t="shared" si="1"/>
        <v>420073.24173333333</v>
      </c>
      <c r="K26" s="34">
        <f t="shared" si="1"/>
        <v>1008220.5890933333</v>
      </c>
      <c r="L26" s="34">
        <f t="shared" si="1"/>
        <v>463712.78321333334</v>
      </c>
      <c r="M26" s="34">
        <f t="shared" si="1"/>
        <v>0</v>
      </c>
      <c r="N26" s="34">
        <f t="shared" si="1"/>
        <v>0</v>
      </c>
      <c r="O26" s="34">
        <f t="shared" si="1"/>
        <v>347245.33909333334</v>
      </c>
      <c r="P26" s="34">
        <f t="shared" si="1"/>
        <v>3594428.7832133337</v>
      </c>
      <c r="Q26" s="34">
        <f t="shared" si="1"/>
        <v>672997.67634333333</v>
      </c>
      <c r="R26" s="34">
        <f t="shared" si="1"/>
        <v>1317100.6821436365</v>
      </c>
      <c r="S26" s="34">
        <f t="shared" si="1"/>
        <v>955165.61818181816</v>
      </c>
      <c r="T26" s="34">
        <f t="shared" si="1"/>
        <v>0</v>
      </c>
      <c r="U26" s="34">
        <f t="shared" si="1"/>
        <v>694560</v>
      </c>
      <c r="V26" s="34">
        <f t="shared" si="1"/>
        <v>328787.91485090909</v>
      </c>
      <c r="W26" s="34">
        <f t="shared" si="1"/>
        <v>846306.10954181827</v>
      </c>
      <c r="X26" s="34">
        <f t="shared" si="1"/>
        <v>744588.62938363641</v>
      </c>
      <c r="Y26" s="34">
        <f t="shared" si="1"/>
        <v>516306.10954181821</v>
      </c>
      <c r="Z26" s="34">
        <f t="shared" si="1"/>
        <v>267319.96636363631</v>
      </c>
      <c r="AA26" s="34">
        <f t="shared" si="1"/>
        <v>0</v>
      </c>
      <c r="AB26" s="34">
        <f t="shared" si="1"/>
        <v>0</v>
      </c>
      <c r="AC26" s="34">
        <f t="shared" si="1"/>
        <v>2171237.2913600001</v>
      </c>
      <c r="AD26" s="34">
        <f t="shared" si="1"/>
        <v>380232.10378181818</v>
      </c>
      <c r="AE26" s="34">
        <f t="shared" si="1"/>
        <v>107956.33333333334</v>
      </c>
      <c r="AF26" s="34">
        <f t="shared" si="1"/>
        <v>214890.33226363637</v>
      </c>
      <c r="AG26" s="34">
        <f t="shared" si="1"/>
        <v>370160.3322636364</v>
      </c>
      <c r="AH26" s="34">
        <f t="shared" si="1"/>
        <v>0</v>
      </c>
      <c r="AI26" s="34">
        <f t="shared" si="1"/>
        <v>0</v>
      </c>
      <c r="AJ26" s="34">
        <f t="shared" si="1"/>
        <v>710975.3322636364</v>
      </c>
      <c r="AK26" s="34">
        <f t="shared" si="1"/>
        <v>829460.3322636364</v>
      </c>
      <c r="AL26" s="34">
        <f t="shared" si="1"/>
        <v>174890.33226363637</v>
      </c>
      <c r="AM26" s="34">
        <f t="shared" si="1"/>
        <v>0</v>
      </c>
      <c r="AN26" s="34">
        <f t="shared" si="1"/>
        <v>0</v>
      </c>
      <c r="AO26" s="34">
        <f t="shared" si="1"/>
        <v>0</v>
      </c>
      <c r="AP26" s="34">
        <f t="shared" si="1"/>
        <v>0</v>
      </c>
      <c r="AQ26" s="34">
        <f t="shared" si="1"/>
        <v>1600000</v>
      </c>
      <c r="AR26" s="34">
        <f t="shared" si="1"/>
        <v>0</v>
      </c>
      <c r="AS26" s="34">
        <f t="shared" si="1"/>
        <v>0</v>
      </c>
      <c r="AT26" s="34">
        <f t="shared" si="1"/>
        <v>0</v>
      </c>
      <c r="AU26" s="34">
        <f t="shared" si="1"/>
        <v>0</v>
      </c>
      <c r="AV26" s="34">
        <f t="shared" si="1"/>
        <v>0</v>
      </c>
      <c r="AW26" s="34">
        <f t="shared" si="1"/>
        <v>0</v>
      </c>
      <c r="AX26" s="34">
        <f t="shared" si="1"/>
        <v>746062.9</v>
      </c>
      <c r="AY26" s="34">
        <f t="shared" si="1"/>
        <v>0</v>
      </c>
      <c r="AZ26" s="34">
        <f t="shared" si="1"/>
        <v>0</v>
      </c>
      <c r="BA26" s="34">
        <f t="shared" si="1"/>
        <v>0</v>
      </c>
      <c r="BB26" s="34">
        <f t="shared" si="1"/>
        <v>0</v>
      </c>
      <c r="BC26" s="34">
        <f t="shared" si="1"/>
        <v>0</v>
      </c>
      <c r="BD26" s="34">
        <f t="shared" si="1"/>
        <v>0</v>
      </c>
    </row>
    <row r="27" spans="1:56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</row>
    <row r="28" spans="1:56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</row>
    <row r="29" spans="1:56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</row>
    <row r="30" spans="1:56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>
        <f>8399365/3</f>
        <v>2799788.3333333335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</row>
    <row r="31" spans="1:56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90">
        <f>291375+137118</f>
        <v>428493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</row>
    <row r="32" spans="1:56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>
        <v>480520</v>
      </c>
      <c r="I32" s="24"/>
      <c r="J32" s="24"/>
      <c r="K32" s="24">
        <v>350000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</row>
    <row r="33" spans="1:56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>
        <v>271506</v>
      </c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</row>
    <row r="34" spans="1:56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</row>
    <row r="35" spans="1:56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>
        <v>200113.9</v>
      </c>
      <c r="S35" s="24">
        <v>40000</v>
      </c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>
        <v>200113.9</v>
      </c>
      <c r="AY35" s="24"/>
      <c r="AZ35" s="24"/>
      <c r="BA35" s="24"/>
      <c r="BB35" s="24"/>
      <c r="BC35" s="24"/>
      <c r="BD35" s="24"/>
    </row>
    <row r="36" spans="1:56" s="1" customFormat="1" x14ac:dyDescent="0.2">
      <c r="A36" s="36" t="s">
        <v>53</v>
      </c>
      <c r="B36" s="23"/>
      <c r="C36" s="60"/>
      <c r="D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>
        <v>545949</v>
      </c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>
        <v>545949</v>
      </c>
      <c r="AY36" s="24"/>
      <c r="AZ36" s="24"/>
      <c r="BA36" s="24"/>
      <c r="BB36" s="24"/>
      <c r="BC36" s="24"/>
      <c r="BD36" s="24"/>
    </row>
    <row r="37" spans="1:56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</row>
    <row r="38" spans="1:56" s="71" customFormat="1" x14ac:dyDescent="0.2">
      <c r="A38" s="69" t="s">
        <v>14</v>
      </c>
      <c r="B38" s="25" t="s">
        <v>30</v>
      </c>
      <c r="C38" s="70"/>
      <c r="D38" s="24"/>
      <c r="E38" s="100">
        <f>774474-155000-300000</f>
        <v>319474</v>
      </c>
      <c r="F38" s="24"/>
      <c r="G38" s="24"/>
      <c r="I38" s="100">
        <v>300000</v>
      </c>
      <c r="J38" s="24"/>
      <c r="K38" s="100">
        <v>155000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</row>
    <row r="39" spans="1:56" s="71" customFormat="1" x14ac:dyDescent="0.2">
      <c r="A39" s="69" t="s">
        <v>115</v>
      </c>
      <c r="B39" s="25" t="s">
        <v>116</v>
      </c>
      <c r="C39" s="70"/>
      <c r="D39" s="24"/>
      <c r="E39" s="100">
        <f>312320/10</f>
        <v>31232</v>
      </c>
      <c r="F39" s="24"/>
      <c r="G39" s="24"/>
      <c r="H39" s="108">
        <f>312320/10</f>
        <v>31232</v>
      </c>
      <c r="I39" s="24"/>
      <c r="J39" s="108">
        <f>312320/10</f>
        <v>31232</v>
      </c>
      <c r="K39" s="24"/>
      <c r="L39" s="108">
        <f>312320/10</f>
        <v>31232</v>
      </c>
      <c r="M39" s="24"/>
      <c r="N39" s="24"/>
      <c r="O39" s="108">
        <v>124838</v>
      </c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</row>
    <row r="40" spans="1:56" s="71" customFormat="1" x14ac:dyDescent="0.2">
      <c r="A40" s="69" t="s">
        <v>117</v>
      </c>
      <c r="B40" s="25" t="s">
        <v>119</v>
      </c>
      <c r="C40" s="70">
        <f>475500-50000-150000</f>
        <v>275500</v>
      </c>
      <c r="D40" s="24"/>
      <c r="E40" s="108">
        <v>100000</v>
      </c>
      <c r="F40" s="24"/>
      <c r="G40" s="24"/>
      <c r="H40" s="24"/>
      <c r="I40" s="108">
        <v>100000</v>
      </c>
      <c r="J40" s="108">
        <v>75000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</row>
    <row r="41" spans="1:56" s="71" customFormat="1" x14ac:dyDescent="0.2">
      <c r="A41" s="69" t="s">
        <v>97</v>
      </c>
      <c r="B41" s="25" t="s">
        <v>137</v>
      </c>
      <c r="C41" s="70"/>
      <c r="D41" s="24"/>
      <c r="E41" s="28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100">
        <f>472500-142500</f>
        <v>330000</v>
      </c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100">
        <v>654570</v>
      </c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</row>
    <row r="42" spans="1:56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1375000-500000-175000-50000-25000-25000-25000-50000-25000-50000-25000-25000-30000-25000-30000-25000-25000-15000-47500-47500</f>
        <v>155000</v>
      </c>
      <c r="D42" s="24"/>
      <c r="E42" s="142">
        <v>155000</v>
      </c>
      <c r="F42" s="24"/>
      <c r="G42" s="24"/>
      <c r="H42" s="28"/>
      <c r="I42" s="28"/>
      <c r="J42" s="28"/>
      <c r="K42" s="28"/>
      <c r="L42" s="28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</row>
    <row r="43" spans="1:56" s="71" customFormat="1" x14ac:dyDescent="0.2">
      <c r="A43" s="69" t="s">
        <v>15</v>
      </c>
      <c r="B43" s="25" t="s">
        <v>31</v>
      </c>
      <c r="C43" s="70">
        <f>1547684-50000-50000-50000-50000</f>
        <v>1347684</v>
      </c>
      <c r="D43" s="24"/>
      <c r="E43" s="108">
        <f>516230/10</f>
        <v>51623</v>
      </c>
      <c r="F43" s="24"/>
      <c r="G43" s="24"/>
      <c r="H43" s="108">
        <f>516230/10</f>
        <v>51623</v>
      </c>
      <c r="I43" s="108">
        <f>516230/10+15224</f>
        <v>66847</v>
      </c>
      <c r="J43" s="108">
        <f t="shared" ref="J43" si="2">516230/10</f>
        <v>51623</v>
      </c>
      <c r="K43" s="108">
        <f t="shared" ref="K43" si="3">(515224/4)/3</f>
        <v>42935.333333333336</v>
      </c>
      <c r="L43" s="108">
        <f>516230/10</f>
        <v>51623</v>
      </c>
      <c r="M43" s="24"/>
      <c r="N43" s="24"/>
      <c r="P43" s="108">
        <f t="shared" ref="P43:S43" si="4">516230/10</f>
        <v>51623</v>
      </c>
      <c r="Q43" s="108">
        <f t="shared" si="4"/>
        <v>51623</v>
      </c>
      <c r="R43" s="108">
        <f t="shared" si="4"/>
        <v>51623</v>
      </c>
      <c r="S43" s="108">
        <f t="shared" si="4"/>
        <v>51623</v>
      </c>
      <c r="T43" s="24"/>
      <c r="U43" s="24"/>
      <c r="V43" s="108">
        <f t="shared" ref="V43:Z43" si="5">516230/10</f>
        <v>51623</v>
      </c>
      <c r="W43" s="108">
        <f t="shared" si="5"/>
        <v>51623</v>
      </c>
      <c r="X43" s="108">
        <f t="shared" si="5"/>
        <v>51623</v>
      </c>
      <c r="Y43" s="108">
        <f t="shared" si="5"/>
        <v>51623</v>
      </c>
      <c r="Z43" s="108">
        <f t="shared" si="5"/>
        <v>51623</v>
      </c>
      <c r="AA43" s="24"/>
      <c r="AB43" s="24"/>
      <c r="AC43" s="100">
        <v>516230</v>
      </c>
      <c r="AD43" s="108">
        <f>516230/10</f>
        <v>51623</v>
      </c>
      <c r="AE43" s="108">
        <f t="shared" ref="AE43" si="6">516230/10</f>
        <v>51623</v>
      </c>
      <c r="AF43" s="24"/>
      <c r="AG43" s="98">
        <f>515224/4+54464</f>
        <v>183270</v>
      </c>
      <c r="AH43" s="24"/>
      <c r="AI43" s="24"/>
      <c r="AJ43" s="100">
        <v>536085</v>
      </c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</row>
    <row r="44" spans="1:56" s="71" customFormat="1" x14ac:dyDescent="0.2">
      <c r="A44" s="69" t="s">
        <v>85</v>
      </c>
      <c r="B44" s="25" t="s">
        <v>47</v>
      </c>
      <c r="C44" s="70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100">
        <f>2997.5*A6</f>
        <v>219893.90224999998</v>
      </c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</row>
    <row r="45" spans="1:56" s="71" customFormat="1" x14ac:dyDescent="0.2">
      <c r="A45" s="69" t="s">
        <v>143</v>
      </c>
      <c r="B45" s="25" t="s">
        <v>45</v>
      </c>
      <c r="C45" s="24">
        <f>188496*A9-12500*A9-12600*A9</f>
        <v>1769317.2464000001</v>
      </c>
      <c r="D45" s="24"/>
      <c r="E45" s="24"/>
      <c r="F45" s="24"/>
      <c r="G45" s="24"/>
      <c r="I45" s="108">
        <f t="shared" ref="I45:W45" si="7">(188496*$A$9)/15</f>
        <v>136074.00576</v>
      </c>
      <c r="K45" s="108">
        <f t="shared" si="7"/>
        <v>136074.00576</v>
      </c>
      <c r="L45" s="108">
        <f t="shared" si="7"/>
        <v>136074.00576</v>
      </c>
      <c r="M45" s="24"/>
      <c r="N45" s="24"/>
      <c r="O45" s="108">
        <f>(188496*$A$9)/15</f>
        <v>136074.00576</v>
      </c>
      <c r="P45" s="108">
        <f t="shared" ref="P45:R45" si="8">(188496*$A$9)/15</f>
        <v>136074.00576</v>
      </c>
      <c r="Q45" s="108">
        <f t="shared" si="8"/>
        <v>136074.00576</v>
      </c>
      <c r="R45" s="108">
        <f t="shared" si="8"/>
        <v>136074.00576</v>
      </c>
      <c r="S45" s="28"/>
      <c r="T45" s="24"/>
      <c r="U45" s="24"/>
      <c r="V45" s="108">
        <f t="shared" ref="V45" si="9">(188496*$A$9)/15</f>
        <v>136074.00576</v>
      </c>
      <c r="W45" s="108">
        <f t="shared" si="7"/>
        <v>136074.00576</v>
      </c>
      <c r="X45" s="108">
        <f>((188496*$A$9)/15)*2</f>
        <v>272148.01152</v>
      </c>
      <c r="Y45" s="108">
        <f>(188496*$A$9)/15</f>
        <v>136074.00576</v>
      </c>
      <c r="Z45" s="24"/>
      <c r="AA45" s="24"/>
      <c r="AB45" s="24"/>
      <c r="AC45" s="108">
        <f>(188496*$A$9)/15</f>
        <v>136074.00576</v>
      </c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</row>
    <row r="46" spans="1:56" s="71" customFormat="1" x14ac:dyDescent="0.2">
      <c r="A46" s="69" t="s">
        <v>120</v>
      </c>
      <c r="B46" s="25" t="s">
        <v>121</v>
      </c>
      <c r="C46" s="120">
        <f>507000+1014000-47000-56000-45000-50000-90000</f>
        <v>1233000</v>
      </c>
      <c r="D46" s="24"/>
      <c r="E46" s="24"/>
      <c r="F46" s="24"/>
      <c r="G46" s="24"/>
      <c r="H46" s="108">
        <f>507000/9</f>
        <v>56333.333333333336</v>
      </c>
      <c r="I46" s="24"/>
      <c r="J46" s="108">
        <f t="shared" ref="J46:L46" si="10">507000/9</f>
        <v>56333.333333333336</v>
      </c>
      <c r="K46" s="24"/>
      <c r="L46" s="108">
        <f t="shared" si="10"/>
        <v>56333.333333333336</v>
      </c>
      <c r="M46" s="24"/>
      <c r="N46" s="24"/>
      <c r="O46" s="108">
        <f t="shared" ref="O46:AE46" si="11">507000/9</f>
        <v>56333.333333333336</v>
      </c>
      <c r="Q46" s="108">
        <f t="shared" si="11"/>
        <v>56333.333333333336</v>
      </c>
      <c r="R46" s="108">
        <f>(1014000/11+88393.5*$A$9)/6</f>
        <v>174890.33226363637</v>
      </c>
      <c r="S46" s="108">
        <f t="shared" ref="S46:W46" si="12">1014000/11</f>
        <v>92181.818181818177</v>
      </c>
      <c r="T46" s="24"/>
      <c r="U46" s="100">
        <v>682560</v>
      </c>
      <c r="V46" s="108">
        <f>(1014000/11)/2</f>
        <v>46090.909090909088</v>
      </c>
      <c r="W46" s="108">
        <f t="shared" si="12"/>
        <v>92181.818181818177</v>
      </c>
      <c r="X46" s="108">
        <f>(1014000/11+88393.5*$A$9)/6</f>
        <v>174890.33226363637</v>
      </c>
      <c r="Y46" s="108">
        <f t="shared" ref="Y46:AD46" si="13">1014000/11</f>
        <v>92181.818181818177</v>
      </c>
      <c r="Z46" s="108">
        <f>(1014000/11)*2+9333.33</f>
        <v>193696.96636363634</v>
      </c>
      <c r="AA46" s="24"/>
      <c r="AB46" s="24"/>
      <c r="AC46" s="108">
        <v>991000</v>
      </c>
      <c r="AD46" s="108">
        <f t="shared" si="13"/>
        <v>92181.818181818177</v>
      </c>
      <c r="AE46" s="108">
        <f t="shared" si="11"/>
        <v>56333.333333333336</v>
      </c>
      <c r="AF46" s="108">
        <f>(1014000/11+88393.5*$A$9)/6</f>
        <v>174890.33226363637</v>
      </c>
      <c r="AG46" s="108">
        <f>(1014000/11+88393.5*$A$9)/6</f>
        <v>174890.33226363637</v>
      </c>
      <c r="AH46" s="24"/>
      <c r="AI46" s="24"/>
      <c r="AJ46" s="108">
        <f>(1014000/11+88393.5*$A$9)/6</f>
        <v>174890.33226363637</v>
      </c>
      <c r="AK46" s="108">
        <f>(1014000/11+88393.5*$A$9)/6</f>
        <v>174890.33226363637</v>
      </c>
      <c r="AL46" s="108">
        <f>(1014000/11+88393.5*$A$9)/6</f>
        <v>174890.33226363637</v>
      </c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</row>
    <row r="47" spans="1:56" s="73" customFormat="1" x14ac:dyDescent="0.2">
      <c r="A47" s="69" t="s">
        <v>22</v>
      </c>
      <c r="B47" s="25" t="s">
        <v>48</v>
      </c>
      <c r="C47" s="137"/>
      <c r="D47" s="72"/>
      <c r="F47" s="72"/>
      <c r="G47" s="72"/>
      <c r="H47" s="160">
        <f>((52206*$A$9+2988*$A$6)/10)*2</f>
        <v>156900.88824</v>
      </c>
      <c r="I47" s="72"/>
      <c r="J47" s="160">
        <f>(52206*$A$9)/6</f>
        <v>94217.9084</v>
      </c>
      <c r="K47" s="72"/>
      <c r="L47" s="160">
        <f>(52206*$A$9+2988*$A$6)/10</f>
        <v>78450.44412</v>
      </c>
      <c r="M47" s="72"/>
      <c r="N47" s="72"/>
      <c r="O47" s="72"/>
      <c r="P47" s="160">
        <f t="shared" ref="P47" si="14">(52206*$A$9+2988*$A$6)/10</f>
        <v>78450.44412</v>
      </c>
      <c r="R47" s="160">
        <f t="shared" ref="R47" si="15">(52206*$A$9+2988*$A$6)/10</f>
        <v>78450.44412</v>
      </c>
      <c r="S47" s="166">
        <f>62000*$A$9</f>
        <v>671360.8</v>
      </c>
      <c r="T47" s="72"/>
      <c r="U47" s="72"/>
      <c r="W47" s="160">
        <f>(109170*$A$9)/5</f>
        <v>236427.2856</v>
      </c>
      <c r="X47" s="160">
        <f t="shared" ref="X47:Y47" si="16">(109170*$A$9)/5</f>
        <v>236427.2856</v>
      </c>
      <c r="Y47" s="160">
        <f t="shared" si="16"/>
        <v>236427.2856</v>
      </c>
      <c r="Z47" s="72"/>
      <c r="AA47" s="72"/>
      <c r="AB47" s="72"/>
      <c r="AC47" s="160">
        <f t="shared" ref="AC47:AD47" si="17">(109170*$A$9)/5</f>
        <v>236427.2856</v>
      </c>
      <c r="AD47" s="160">
        <f t="shared" si="17"/>
        <v>236427.2856</v>
      </c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</row>
    <row r="48" spans="1:56" s="73" customFormat="1" x14ac:dyDescent="0.2">
      <c r="A48" s="69" t="s">
        <v>108</v>
      </c>
      <c r="B48" s="25" t="s">
        <v>109</v>
      </c>
      <c r="C48" s="120"/>
      <c r="D48" s="72"/>
      <c r="E48" s="138">
        <f>50531.25/2</f>
        <v>25265.625</v>
      </c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</row>
    <row r="49" spans="1:56" s="71" customFormat="1" x14ac:dyDescent="0.2">
      <c r="A49" s="69" t="s">
        <v>36</v>
      </c>
      <c r="B49" s="25" t="s">
        <v>37</v>
      </c>
      <c r="C49" s="130"/>
      <c r="D49" s="24"/>
      <c r="F49" s="24"/>
      <c r="G49" s="24"/>
      <c r="H49" s="24"/>
      <c r="I49" s="100">
        <f>350422.5/2</f>
        <v>175211.25</v>
      </c>
      <c r="J49" s="24"/>
      <c r="K49" s="100">
        <f>350422.5/2</f>
        <v>175211.25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</row>
    <row r="50" spans="1:56" s="71" customFormat="1" x14ac:dyDescent="0.2">
      <c r="A50" s="69" t="s">
        <v>86</v>
      </c>
      <c r="B50" s="25" t="s">
        <v>35</v>
      </c>
      <c r="C50" s="70"/>
      <c r="D50" s="77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100">
        <f>2850*A6</f>
        <v>209073.435</v>
      </c>
      <c r="R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</row>
    <row r="51" spans="1:56" s="71" customFormat="1" x14ac:dyDescent="0.2">
      <c r="A51" s="69" t="s">
        <v>29</v>
      </c>
      <c r="B51" s="25" t="s">
        <v>43</v>
      </c>
      <c r="C51" s="70">
        <f>439750-19750-25000-25000-25000-20000-20000-25000-50000</f>
        <v>230000</v>
      </c>
      <c r="D51" s="24"/>
      <c r="F51" s="24"/>
      <c r="G51" s="24"/>
      <c r="H51" s="95">
        <v>35000</v>
      </c>
      <c r="I51" s="24"/>
      <c r="J51" s="24"/>
      <c r="K51" s="24"/>
      <c r="M51" s="24"/>
      <c r="N51" s="24"/>
      <c r="O51" s="24"/>
      <c r="P51" s="24"/>
      <c r="Q51" s="24"/>
      <c r="R51" s="24"/>
      <c r="S51" s="95">
        <v>100000</v>
      </c>
      <c r="T51" s="24"/>
      <c r="U51" s="24"/>
      <c r="V51" s="95">
        <v>95000</v>
      </c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</row>
    <row r="52" spans="1:56" s="71" customFormat="1" x14ac:dyDescent="0.2">
      <c r="A52" s="69" t="s">
        <v>141</v>
      </c>
      <c r="B52" s="25" t="s">
        <v>142</v>
      </c>
      <c r="C52" s="70"/>
      <c r="D52" s="24"/>
      <c r="E52" s="28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8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</row>
    <row r="53" spans="1:56" s="71" customFormat="1" x14ac:dyDescent="0.2">
      <c r="A53" s="69" t="s">
        <v>159</v>
      </c>
      <c r="B53" s="25" t="s">
        <v>160</v>
      </c>
      <c r="C53" s="70"/>
      <c r="D53" s="24"/>
      <c r="E53" s="24"/>
      <c r="F53" s="24"/>
      <c r="G53" s="24"/>
      <c r="H53" s="24"/>
      <c r="I53" s="100">
        <v>28476.98</v>
      </c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</row>
    <row r="54" spans="1:56" s="71" customFormat="1" x14ac:dyDescent="0.2">
      <c r="A54" s="69" t="s">
        <v>124</v>
      </c>
      <c r="B54" s="25" t="s">
        <v>125</v>
      </c>
      <c r="C54" s="70"/>
      <c r="D54" s="24"/>
      <c r="E54" s="24"/>
      <c r="F54" s="24"/>
      <c r="G54" s="24"/>
      <c r="H54" s="100">
        <v>203210</v>
      </c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</row>
    <row r="55" spans="1:56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100">
        <v>1524</v>
      </c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</row>
    <row r="56" spans="1:56" s="71" customFormat="1" x14ac:dyDescent="0.2">
      <c r="A56" s="69" t="s">
        <v>90</v>
      </c>
      <c r="B56" s="25" t="s">
        <v>91</v>
      </c>
      <c r="C56" s="70">
        <f>912000+1012000-100000-100000-75000-75000-75000-75000-75000-75000-75000-75000-75000-75000-75000-75000-100000</f>
        <v>724000</v>
      </c>
      <c r="D56" s="77"/>
      <c r="E56" s="129">
        <v>75000</v>
      </c>
      <c r="F56" s="24"/>
      <c r="G56" s="24"/>
      <c r="H56" s="129">
        <v>100000</v>
      </c>
      <c r="I56" s="24"/>
      <c r="J56" s="129">
        <v>100000</v>
      </c>
      <c r="K56" s="129">
        <f>124000+25000</f>
        <v>149000</v>
      </c>
      <c r="L56" s="129">
        <v>100000</v>
      </c>
      <c r="M56" s="24"/>
      <c r="N56" s="24"/>
      <c r="O56" s="24"/>
      <c r="P56" s="129">
        <v>100000</v>
      </c>
      <c r="Q56" s="24"/>
      <c r="R56" s="129">
        <v>100000</v>
      </c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</row>
    <row r="57" spans="1:56" s="71" customFormat="1" x14ac:dyDescent="0.2">
      <c r="A57" s="69" t="s">
        <v>138</v>
      </c>
      <c r="B57" s="25" t="s">
        <v>136</v>
      </c>
      <c r="C57" s="70"/>
      <c r="D57" s="77"/>
      <c r="E57" s="100">
        <f t="shared" ref="E57:H57" si="18">(4260*$A$6)/6</f>
        <v>52084.961000000003</v>
      </c>
      <c r="F57" s="24"/>
      <c r="G57" s="24"/>
      <c r="H57" s="100">
        <f t="shared" si="18"/>
        <v>52084.961000000003</v>
      </c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</row>
    <row r="58" spans="1:56" s="71" customFormat="1" x14ac:dyDescent="0.2">
      <c r="A58" s="69" t="s">
        <v>156</v>
      </c>
      <c r="B58" s="25" t="s">
        <v>157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</row>
    <row r="59" spans="1:56" s="71" customFormat="1" ht="12.75" customHeight="1" x14ac:dyDescent="0.2">
      <c r="A59" s="151" t="s">
        <v>139</v>
      </c>
      <c r="B59" s="152" t="s">
        <v>114</v>
      </c>
      <c r="C59" s="70"/>
      <c r="D59" s="77"/>
      <c r="E59" s="28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</row>
    <row r="60" spans="1:56" s="71" customFormat="1" x14ac:dyDescent="0.2">
      <c r="A60" s="69" t="s">
        <v>128</v>
      </c>
      <c r="B60" s="25" t="s">
        <v>129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</row>
    <row r="61" spans="1:56" s="71" customFormat="1" x14ac:dyDescent="0.2">
      <c r="A61" s="69" t="s">
        <v>101</v>
      </c>
      <c r="B61" s="25" t="s">
        <v>130</v>
      </c>
      <c r="C61" s="70">
        <f>37500-25000</f>
        <v>12500</v>
      </c>
      <c r="D61" s="77"/>
      <c r="E61" s="108">
        <f>25000/2</f>
        <v>12500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</row>
    <row r="62" spans="1:56" s="71" customFormat="1" x14ac:dyDescent="0.2">
      <c r="A62" s="69" t="s">
        <v>154</v>
      </c>
      <c r="B62" s="25" t="s">
        <v>153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</row>
    <row r="63" spans="1:56" s="71" customFormat="1" x14ac:dyDescent="0.2">
      <c r="A63" s="69" t="s">
        <v>158</v>
      </c>
      <c r="B63" s="25"/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</row>
    <row r="64" spans="1:56" s="71" customFormat="1" x14ac:dyDescent="0.2">
      <c r="A64" s="69" t="s">
        <v>38</v>
      </c>
      <c r="B64" s="25" t="s">
        <v>39</v>
      </c>
      <c r="C64" s="70"/>
      <c r="D64" s="24"/>
      <c r="E64" s="100">
        <v>12600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</row>
    <row r="65" spans="1:56" s="71" customFormat="1" x14ac:dyDescent="0.2">
      <c r="A65" s="69" t="s">
        <v>74</v>
      </c>
      <c r="B65" s="25" t="s">
        <v>131</v>
      </c>
      <c r="C65" s="70"/>
      <c r="D65" s="24"/>
      <c r="F65" s="24"/>
      <c r="G65" s="24"/>
      <c r="H65" s="100">
        <f>7500+16500</f>
        <v>24000</v>
      </c>
      <c r="I65" s="24"/>
      <c r="J65" s="100">
        <v>11667</v>
      </c>
      <c r="K65" s="24"/>
      <c r="L65" s="100">
        <v>10000</v>
      </c>
      <c r="M65" s="24"/>
      <c r="N65" s="24"/>
      <c r="O65" s="100">
        <v>30000</v>
      </c>
      <c r="P65" s="24"/>
      <c r="Q65" s="24"/>
      <c r="R65" s="100">
        <v>30000</v>
      </c>
      <c r="S65" s="24"/>
      <c r="T65" s="24"/>
      <c r="U65" s="100">
        <v>12000</v>
      </c>
      <c r="V65" s="24"/>
      <c r="W65" s="24"/>
      <c r="X65" s="100">
        <v>9500</v>
      </c>
      <c r="Y65" s="24"/>
      <c r="Z65" s="100">
        <v>22000</v>
      </c>
      <c r="AA65" s="24"/>
      <c r="AB65" s="24"/>
      <c r="AC65" s="100">
        <v>20000</v>
      </c>
      <c r="AD65" s="24"/>
      <c r="AE65" s="24"/>
      <c r="AF65" s="143">
        <v>40000</v>
      </c>
      <c r="AG65" s="143">
        <v>12000</v>
      </c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</row>
    <row r="66" spans="1:56" s="71" customFormat="1" x14ac:dyDescent="0.2">
      <c r="A66" s="69" t="s">
        <v>74</v>
      </c>
      <c r="B66" s="25" t="s">
        <v>150</v>
      </c>
      <c r="C66" s="164">
        <v>3567700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</row>
    <row r="67" spans="1:56" s="73" customForma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</row>
    <row r="68" spans="1:56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</row>
    <row r="69" spans="1:56" s="5" customFormat="1" x14ac:dyDescent="0.2">
      <c r="A69" s="42"/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</row>
    <row r="70" spans="1:56" s="5" customFormat="1" x14ac:dyDescent="0.2">
      <c r="A70" s="36" t="s">
        <v>49</v>
      </c>
      <c r="B70" s="12"/>
      <c r="C70" s="13"/>
      <c r="D70" s="26"/>
      <c r="E70" s="13">
        <f>1400000+7400*A3</f>
        <v>2029225.7000000002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</row>
    <row r="71" spans="1:56" s="5" customFormat="1" x14ac:dyDescent="0.2">
      <c r="A71" s="36" t="s">
        <v>57</v>
      </c>
      <c r="B71" s="12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O71" s="13"/>
      <c r="AP71" s="13"/>
      <c r="AQ71" s="168">
        <v>1600000</v>
      </c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</row>
    <row r="72" spans="1:56" s="5" customFormat="1" x14ac:dyDescent="0.2">
      <c r="A72" s="36" t="s">
        <v>61</v>
      </c>
      <c r="B72" s="12"/>
      <c r="C72" s="13">
        <v>112000</v>
      </c>
      <c r="D72" s="26"/>
      <c r="E72" s="13">
        <f>4600*$A$3</f>
        <v>391140.3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</row>
    <row r="73" spans="1:56" s="5" customFormat="1" x14ac:dyDescent="0.2">
      <c r="A73" s="42" t="s">
        <v>151</v>
      </c>
      <c r="B73" s="12"/>
      <c r="C73" s="68">
        <f>(10000*10)*A6</f>
        <v>7335910</v>
      </c>
      <c r="D73" s="26"/>
      <c r="E73" s="126">
        <f>C73/2</f>
        <v>3667955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</row>
    <row r="74" spans="1:56" s="5" customFormat="1" x14ac:dyDescent="0.2">
      <c r="A74" s="36" t="s">
        <v>72</v>
      </c>
      <c r="B74" s="27" t="s">
        <v>73</v>
      </c>
      <c r="C74" s="62">
        <v>3637079.2460000003</v>
      </c>
      <c r="D74" s="35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</row>
    <row r="75" spans="1:56" s="5" customFormat="1" x14ac:dyDescent="0.2">
      <c r="A75" s="42"/>
      <c r="B75" s="12"/>
      <c r="C75" s="61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</row>
    <row r="76" spans="1:56" s="84" customFormat="1" x14ac:dyDescent="0.2">
      <c r="A76" s="81" t="s">
        <v>66</v>
      </c>
      <c r="B76" s="82"/>
      <c r="C76" s="63"/>
      <c r="D76" s="83"/>
      <c r="E76" s="83">
        <f>$C$5+E16-E26</f>
        <v>4545023.3630000008</v>
      </c>
      <c r="F76" s="83">
        <f t="shared" ref="F76:BD76" si="19">E76+F16-F26</f>
        <v>4545023.3630000008</v>
      </c>
      <c r="G76" s="83">
        <f t="shared" si="19"/>
        <v>4545023.3630000008</v>
      </c>
      <c r="H76" s="83">
        <f t="shared" si="19"/>
        <v>4354119.1804266674</v>
      </c>
      <c r="I76" s="83">
        <f t="shared" si="19"/>
        <v>3545985.9446666674</v>
      </c>
      <c r="J76" s="83">
        <f t="shared" si="19"/>
        <v>3125912.7029333338</v>
      </c>
      <c r="K76" s="83">
        <f t="shared" si="19"/>
        <v>2117692.1138400007</v>
      </c>
      <c r="L76" s="83">
        <f t="shared" si="19"/>
        <v>1653979.3306266675</v>
      </c>
      <c r="M76" s="83">
        <f t="shared" si="19"/>
        <v>1653979.3306266675</v>
      </c>
      <c r="N76" s="83">
        <f t="shared" si="19"/>
        <v>1653979.3306266675</v>
      </c>
      <c r="O76" s="83">
        <f t="shared" si="19"/>
        <v>3306733.9915333344</v>
      </c>
      <c r="P76" s="83">
        <f t="shared" si="19"/>
        <v>-287694.79167999933</v>
      </c>
      <c r="Q76" s="83">
        <f t="shared" si="19"/>
        <v>-960692.46802333265</v>
      </c>
      <c r="R76" s="83">
        <f t="shared" si="19"/>
        <v>-2277793.1501669693</v>
      </c>
      <c r="S76" s="83">
        <f t="shared" si="19"/>
        <v>-3232958.7683487874</v>
      </c>
      <c r="T76" s="83">
        <f t="shared" si="19"/>
        <v>-3232958.7683487874</v>
      </c>
      <c r="U76" s="83">
        <f t="shared" si="19"/>
        <v>-3927518.7683487874</v>
      </c>
      <c r="V76" s="83">
        <f t="shared" si="19"/>
        <v>-2256306.6831996967</v>
      </c>
      <c r="W76" s="83">
        <f t="shared" si="19"/>
        <v>-3102612.7927415147</v>
      </c>
      <c r="X76" s="83">
        <f t="shared" si="19"/>
        <v>-3847201.4221251514</v>
      </c>
      <c r="Y76" s="83">
        <f t="shared" si="19"/>
        <v>-4363507.5316669699</v>
      </c>
      <c r="Z76" s="83">
        <f t="shared" si="19"/>
        <v>-4630827.4980306067</v>
      </c>
      <c r="AA76" s="83">
        <f t="shared" si="19"/>
        <v>-4630827.4980306067</v>
      </c>
      <c r="AB76" s="83">
        <f t="shared" si="19"/>
        <v>-4630827.4980306067</v>
      </c>
      <c r="AC76" s="83">
        <f t="shared" si="19"/>
        <v>-4802064.7893906068</v>
      </c>
      <c r="AD76" s="83">
        <f t="shared" si="19"/>
        <v>-5182296.8931724252</v>
      </c>
      <c r="AE76" s="83">
        <f t="shared" si="19"/>
        <v>-5290253.2265057582</v>
      </c>
      <c r="AF76" s="83">
        <f t="shared" si="19"/>
        <v>-5505143.5587693946</v>
      </c>
      <c r="AG76" s="83">
        <f t="shared" si="19"/>
        <v>-5875303.891033031</v>
      </c>
      <c r="AH76" s="83">
        <f t="shared" si="19"/>
        <v>-5875303.891033031</v>
      </c>
      <c r="AI76" s="83">
        <f t="shared" si="19"/>
        <v>-5875303.891033031</v>
      </c>
      <c r="AJ76" s="83">
        <f t="shared" si="19"/>
        <v>-4586279.2232966674</v>
      </c>
      <c r="AK76" s="83">
        <f t="shared" si="19"/>
        <v>-5415739.5555603039</v>
      </c>
      <c r="AL76" s="83">
        <f t="shared" si="19"/>
        <v>-5590629.8878239403</v>
      </c>
      <c r="AM76" s="83">
        <f t="shared" si="19"/>
        <v>-5590629.8878239403</v>
      </c>
      <c r="AN76" s="83">
        <f t="shared" si="19"/>
        <v>-5590629.8878239403</v>
      </c>
      <c r="AO76" s="83">
        <f t="shared" si="19"/>
        <v>-5590629.8878239403</v>
      </c>
      <c r="AP76" s="83">
        <f t="shared" si="19"/>
        <v>-5590629.8878239403</v>
      </c>
      <c r="AQ76" s="83">
        <f t="shared" si="19"/>
        <v>-2859644.8878239403</v>
      </c>
      <c r="AR76" s="83">
        <f t="shared" si="19"/>
        <v>-2859644.8878239403</v>
      </c>
      <c r="AS76" s="83">
        <f t="shared" si="19"/>
        <v>-2859644.8878239403</v>
      </c>
      <c r="AT76" s="83">
        <f t="shared" si="19"/>
        <v>-2859644.8878239403</v>
      </c>
      <c r="AU76" s="83">
        <f t="shared" si="19"/>
        <v>-2859644.8878239403</v>
      </c>
      <c r="AV76" s="83">
        <f t="shared" si="19"/>
        <v>-2859644.8878239403</v>
      </c>
      <c r="AW76" s="83">
        <f t="shared" si="19"/>
        <v>-2859644.8878239403</v>
      </c>
      <c r="AX76" s="83">
        <f t="shared" si="19"/>
        <v>-578621.98782394</v>
      </c>
      <c r="AY76" s="83">
        <f t="shared" si="19"/>
        <v>-578621.98782394</v>
      </c>
      <c r="AZ76" s="83">
        <f t="shared" si="19"/>
        <v>-578621.98782394</v>
      </c>
      <c r="BA76" s="83">
        <f t="shared" si="19"/>
        <v>-578621.98782394</v>
      </c>
      <c r="BB76" s="83">
        <f t="shared" si="19"/>
        <v>-578621.98782394</v>
      </c>
      <c r="BC76" s="83">
        <f t="shared" si="19"/>
        <v>-578621.98782394</v>
      </c>
      <c r="BD76" s="83">
        <f t="shared" si="19"/>
        <v>-578621.98782394</v>
      </c>
    </row>
    <row r="78" spans="1:56" s="5" customFormat="1" x14ac:dyDescent="0.2">
      <c r="A78" s="42"/>
      <c r="B78" s="12"/>
      <c r="C78" s="68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</row>
    <row r="79" spans="1:56" s="89" customFormat="1" x14ac:dyDescent="0.2">
      <c r="A79" s="85" t="s">
        <v>65</v>
      </c>
      <c r="B79" s="86"/>
      <c r="C79" s="87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</row>
    <row r="80" spans="1:56" s="5" customFormat="1" ht="22.5" x14ac:dyDescent="0.2">
      <c r="A80" s="36" t="s">
        <v>67</v>
      </c>
      <c r="B80" s="27" t="s">
        <v>68</v>
      </c>
      <c r="C80" s="68">
        <v>3221210.79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</row>
    <row r="81" spans="1:56" s="5" customFormat="1" x14ac:dyDescent="0.2">
      <c r="A81" s="36" t="s">
        <v>69</v>
      </c>
      <c r="B81" s="27" t="s">
        <v>70</v>
      </c>
      <c r="C81" s="68">
        <v>9814338.4000000004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</row>
    <row r="82" spans="1:56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</row>
    <row r="83" spans="1:56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</row>
    <row r="85" spans="1:56" x14ac:dyDescent="0.25">
      <c r="B85" s="14"/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85"/>
  <sheetViews>
    <sheetView workbookViewId="0">
      <selection sqref="A1:XFD1048576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3" style="3" customWidth="1"/>
    <col min="6" max="6" width="12.28515625" style="3" customWidth="1"/>
    <col min="7" max="7" width="12.140625" style="3" customWidth="1"/>
    <col min="8" max="8" width="11.140625" style="3" customWidth="1"/>
    <col min="9" max="9" width="12.7109375" style="3" customWidth="1"/>
    <col min="10" max="10" width="11.140625" style="3" customWidth="1"/>
    <col min="11" max="11" width="11.7109375" style="3" customWidth="1"/>
    <col min="12" max="12" width="11.5703125" style="3" customWidth="1"/>
    <col min="13" max="14" width="10.85546875" style="3" customWidth="1"/>
    <col min="15" max="15" width="12.85546875" style="3" customWidth="1"/>
    <col min="16" max="16" width="12" style="3" customWidth="1"/>
    <col min="17" max="17" width="11.140625" style="3" customWidth="1"/>
    <col min="18" max="18" width="12.7109375" style="3" customWidth="1"/>
    <col min="19" max="19" width="11.42578125" style="3" customWidth="1"/>
    <col min="20" max="20" width="11.7109375" style="3" customWidth="1"/>
    <col min="21" max="21" width="10.5703125" style="3" customWidth="1"/>
    <col min="22" max="22" width="12" style="3" customWidth="1"/>
    <col min="23" max="23" width="11.140625" style="3" customWidth="1"/>
    <col min="24" max="24" width="10.42578125" style="3" customWidth="1"/>
    <col min="25" max="25" width="14" style="3" customWidth="1"/>
    <col min="26" max="26" width="10.42578125" style="3" customWidth="1"/>
    <col min="27" max="27" width="12.5703125" style="3" customWidth="1"/>
    <col min="28" max="28" width="13.28515625" style="3" customWidth="1"/>
    <col min="29" max="29" width="12.140625" style="3" customWidth="1"/>
    <col min="30" max="30" width="12.42578125" style="3" customWidth="1"/>
    <col min="31" max="31" width="12.28515625" style="3" customWidth="1"/>
    <col min="32" max="32" width="12.7109375" style="3" customWidth="1"/>
    <col min="33" max="33" width="11.28515625" style="3" customWidth="1"/>
    <col min="34" max="34" width="11.85546875" style="3" customWidth="1"/>
    <col min="35" max="35" width="12.28515625" style="3" customWidth="1"/>
    <col min="36" max="36" width="11.140625" style="3" customWidth="1"/>
    <col min="37" max="37" width="10.5703125" style="3" customWidth="1"/>
    <col min="38" max="38" width="10.85546875" style="3" customWidth="1"/>
    <col min="39" max="39" width="12" style="3" customWidth="1"/>
    <col min="40" max="40" width="13.140625" style="3" customWidth="1"/>
    <col min="41" max="41" width="11.140625" style="3" customWidth="1"/>
    <col min="42" max="42" width="12.5703125" style="3" customWidth="1"/>
    <col min="43" max="43" width="12.140625" style="3" customWidth="1"/>
    <col min="44" max="44" width="12.42578125" style="3" customWidth="1"/>
    <col min="45" max="45" width="12" style="3" customWidth="1"/>
    <col min="46" max="46" width="14.85546875" style="3" customWidth="1"/>
    <col min="47" max="47" width="11.5703125" style="3" customWidth="1"/>
    <col min="48" max="48" width="13.7109375" style="3" customWidth="1"/>
    <col min="49" max="49" width="12.42578125" style="3" customWidth="1"/>
    <col min="50" max="50" width="10.85546875" style="3" customWidth="1"/>
    <col min="51" max="51" width="12.140625" style="3" customWidth="1"/>
    <col min="52" max="52" width="11.85546875" style="3" customWidth="1"/>
    <col min="53" max="53" width="12.7109375" style="3" customWidth="1"/>
    <col min="54" max="54" width="12.42578125" style="3" customWidth="1"/>
    <col min="55" max="55" width="11.140625" style="3" customWidth="1"/>
    <col min="56" max="56" width="11.5703125" style="3" customWidth="1"/>
    <col min="57" max="57" width="12.28515625" style="3" customWidth="1"/>
    <col min="58" max="16384" width="9" style="3"/>
  </cols>
  <sheetData>
    <row r="1" spans="1:57" ht="12" thickBot="1" x14ac:dyDescent="0.3"/>
    <row r="2" spans="1:57" s="1" customFormat="1" x14ac:dyDescent="0.2">
      <c r="A2" s="43" t="s">
        <v>50</v>
      </c>
      <c r="B2" s="15" t="s">
        <v>27</v>
      </c>
      <c r="C2" s="50">
        <v>9224282.4299999997</v>
      </c>
    </row>
    <row r="3" spans="1:57" s="1" customFormat="1" ht="12" thickBot="1" x14ac:dyDescent="0.25">
      <c r="A3" s="44">
        <v>84.343900000000005</v>
      </c>
      <c r="B3" s="15" t="s">
        <v>28</v>
      </c>
      <c r="C3" s="50">
        <v>10778.95</v>
      </c>
    </row>
    <row r="4" spans="1:57" s="8" customFormat="1" ht="12" thickBot="1" x14ac:dyDescent="0.25">
      <c r="A4" s="45"/>
      <c r="B4" s="15" t="s">
        <v>25</v>
      </c>
      <c r="C4" s="51">
        <v>0</v>
      </c>
    </row>
    <row r="5" spans="1:57" s="6" customFormat="1" x14ac:dyDescent="0.2">
      <c r="A5" s="43" t="s">
        <v>51</v>
      </c>
      <c r="B5" s="49" t="s">
        <v>26</v>
      </c>
      <c r="C5" s="52">
        <f>SUM(C2:C4)</f>
        <v>9235061.379999999</v>
      </c>
    </row>
    <row r="6" spans="1:57" s="6" customFormat="1" ht="12" thickBot="1" x14ac:dyDescent="0.25">
      <c r="A6" s="44">
        <v>72.747900000000001</v>
      </c>
      <c r="B6" s="16"/>
      <c r="C6" s="53"/>
      <c r="D6" s="17"/>
    </row>
    <row r="7" spans="1:57" s="6" customFormat="1" ht="12" thickBot="1" x14ac:dyDescent="0.25">
      <c r="A7" s="105" t="s">
        <v>51</v>
      </c>
      <c r="B7" s="18" t="s">
        <v>127</v>
      </c>
      <c r="C7" s="54">
        <f>SUM(16:16)</f>
        <v>19624923.588199999</v>
      </c>
    </row>
    <row r="8" spans="1:57" x14ac:dyDescent="0.25">
      <c r="A8" s="43" t="s">
        <v>52</v>
      </c>
      <c r="B8" s="18" t="s">
        <v>126</v>
      </c>
      <c r="C8" s="54">
        <f>SUM(26:26)</f>
        <v>49881744.767520763</v>
      </c>
    </row>
    <row r="9" spans="1:57" ht="12" thickBot="1" x14ac:dyDescent="0.3">
      <c r="A9" s="44">
        <v>10.758900000000001</v>
      </c>
      <c r="B9" s="19" t="s">
        <v>64</v>
      </c>
      <c r="C9" s="55">
        <f>C5+C7-C8-C11</f>
        <v>-42155676.109840766</v>
      </c>
    </row>
    <row r="10" spans="1:57" x14ac:dyDescent="0.25">
      <c r="A10" s="99" t="s">
        <v>80</v>
      </c>
      <c r="B10" s="18" t="s">
        <v>23</v>
      </c>
      <c r="C10" s="56">
        <f>C16</f>
        <v>0</v>
      </c>
    </row>
    <row r="11" spans="1:57" x14ac:dyDescent="0.25">
      <c r="A11" s="101" t="s">
        <v>87</v>
      </c>
      <c r="B11" s="18" t="s">
        <v>24</v>
      </c>
      <c r="C11" s="54">
        <f>C26</f>
        <v>21133916.310520001</v>
      </c>
    </row>
    <row r="12" spans="1:57" x14ac:dyDescent="0.25">
      <c r="A12" s="107" t="s">
        <v>88</v>
      </c>
    </row>
    <row r="13" spans="1:57" x14ac:dyDescent="0.25">
      <c r="A13" s="38"/>
      <c r="B13" s="10"/>
      <c r="C13" s="57"/>
      <c r="D13" s="10"/>
    </row>
    <row r="14" spans="1:57" s="2" customFormat="1" x14ac:dyDescent="0.25">
      <c r="A14" s="64"/>
      <c r="B14" s="65"/>
      <c r="C14" s="58" t="s">
        <v>56</v>
      </c>
      <c r="D14" s="66"/>
      <c r="E14" s="66">
        <v>46191</v>
      </c>
      <c r="F14" s="66">
        <v>46192</v>
      </c>
      <c r="G14" s="66">
        <v>46193</v>
      </c>
      <c r="H14" s="66">
        <v>46194</v>
      </c>
      <c r="I14" s="66">
        <v>46195</v>
      </c>
      <c r="J14" s="66">
        <v>46196</v>
      </c>
      <c r="K14" s="66">
        <v>46197</v>
      </c>
      <c r="L14" s="66">
        <v>46198</v>
      </c>
      <c r="M14" s="66">
        <v>46199</v>
      </c>
      <c r="N14" s="66">
        <v>46200</v>
      </c>
      <c r="O14" s="66">
        <v>46201</v>
      </c>
      <c r="P14" s="66">
        <v>46202</v>
      </c>
      <c r="Q14" s="66">
        <v>46203</v>
      </c>
      <c r="R14" s="66">
        <v>46204</v>
      </c>
      <c r="S14" s="66">
        <v>46205</v>
      </c>
      <c r="T14" s="66">
        <v>46206</v>
      </c>
      <c r="U14" s="66">
        <v>46207</v>
      </c>
      <c r="V14" s="66">
        <v>46208</v>
      </c>
      <c r="W14" s="66">
        <v>46209</v>
      </c>
      <c r="X14" s="66">
        <v>46210</v>
      </c>
      <c r="Y14" s="66">
        <v>46211</v>
      </c>
      <c r="Z14" s="66">
        <v>46212</v>
      </c>
      <c r="AA14" s="66">
        <v>46213</v>
      </c>
      <c r="AB14" s="66">
        <v>46214</v>
      </c>
      <c r="AC14" s="66">
        <v>46215</v>
      </c>
      <c r="AD14" s="66">
        <v>46216</v>
      </c>
      <c r="AE14" s="66">
        <v>46217</v>
      </c>
      <c r="AF14" s="66">
        <v>46218</v>
      </c>
      <c r="AG14" s="66">
        <v>46219</v>
      </c>
      <c r="AH14" s="66">
        <v>46220</v>
      </c>
      <c r="AI14" s="66">
        <v>46221</v>
      </c>
      <c r="AJ14" s="66">
        <v>46222</v>
      </c>
      <c r="AK14" s="66">
        <v>46223</v>
      </c>
      <c r="AL14" s="66">
        <v>46224</v>
      </c>
      <c r="AM14" s="66">
        <v>46225</v>
      </c>
      <c r="AN14" s="66">
        <v>46226</v>
      </c>
      <c r="AO14" s="66">
        <v>46227</v>
      </c>
      <c r="AP14" s="66">
        <v>46228</v>
      </c>
      <c r="AQ14" s="66">
        <v>46229</v>
      </c>
      <c r="AR14" s="66">
        <v>46230</v>
      </c>
      <c r="AS14" s="66">
        <v>46231</v>
      </c>
      <c r="AT14" s="66">
        <v>46232</v>
      </c>
      <c r="AU14" s="66">
        <v>46233</v>
      </c>
      <c r="AV14" s="66">
        <v>46234</v>
      </c>
      <c r="AW14" s="66">
        <v>46235</v>
      </c>
      <c r="AX14" s="66">
        <v>46236</v>
      </c>
      <c r="AY14" s="66">
        <v>46237</v>
      </c>
      <c r="AZ14" s="66">
        <v>46238</v>
      </c>
      <c r="BA14" s="66">
        <v>46239</v>
      </c>
      <c r="BB14" s="66">
        <v>46240</v>
      </c>
      <c r="BC14" s="66">
        <v>46241</v>
      </c>
      <c r="BD14" s="66">
        <v>46242</v>
      </c>
      <c r="BE14" s="66">
        <v>46243</v>
      </c>
    </row>
    <row r="15" spans="1:57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E16" si="0">SUM(E17:E25)</f>
        <v>2791295.7482000003</v>
      </c>
      <c r="F16" s="29">
        <f t="shared" si="0"/>
        <v>1500000</v>
      </c>
      <c r="G16" s="135">
        <f t="shared" si="0"/>
        <v>0</v>
      </c>
      <c r="H16" s="135">
        <f t="shared" si="0"/>
        <v>0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135">
        <f t="shared" si="0"/>
        <v>0</v>
      </c>
      <c r="O16" s="135">
        <f t="shared" si="0"/>
        <v>0</v>
      </c>
      <c r="P16" s="29">
        <f t="shared" si="0"/>
        <v>2000000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135">
        <f t="shared" si="0"/>
        <v>0</v>
      </c>
      <c r="V16" s="135">
        <f t="shared" si="0"/>
        <v>0</v>
      </c>
      <c r="W16" s="29">
        <f t="shared" si="0"/>
        <v>2000000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135">
        <f t="shared" si="0"/>
        <v>0</v>
      </c>
      <c r="AC16" s="135">
        <f t="shared" si="0"/>
        <v>0</v>
      </c>
      <c r="AD16" s="29">
        <f t="shared" si="0"/>
        <v>2000000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135">
        <f t="shared" si="0"/>
        <v>0</v>
      </c>
      <c r="AJ16" s="135">
        <f t="shared" si="0"/>
        <v>0</v>
      </c>
      <c r="AK16" s="29">
        <f t="shared" si="0"/>
        <v>2000000</v>
      </c>
      <c r="AL16" s="29">
        <f t="shared" si="0"/>
        <v>0</v>
      </c>
      <c r="AM16" s="29">
        <f t="shared" si="0"/>
        <v>0</v>
      </c>
      <c r="AN16" s="29">
        <f t="shared" si="0"/>
        <v>0</v>
      </c>
      <c r="AO16" s="29">
        <f t="shared" si="0"/>
        <v>0</v>
      </c>
      <c r="AP16" s="135">
        <f t="shared" si="0"/>
        <v>0</v>
      </c>
      <c r="AQ16" s="135">
        <f t="shared" si="0"/>
        <v>0</v>
      </c>
      <c r="AR16" s="29">
        <f t="shared" si="0"/>
        <v>4330985</v>
      </c>
      <c r="AS16" s="29">
        <f t="shared" si="0"/>
        <v>0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135">
        <f t="shared" si="0"/>
        <v>0</v>
      </c>
      <c r="AX16" s="135">
        <f t="shared" si="0"/>
        <v>0</v>
      </c>
      <c r="AY16" s="29">
        <f t="shared" si="0"/>
        <v>3002642.8400000003</v>
      </c>
      <c r="AZ16" s="29">
        <f t="shared" si="0"/>
        <v>0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135">
        <f t="shared" si="0"/>
        <v>0</v>
      </c>
      <c r="BE16" s="135">
        <f t="shared" si="0"/>
        <v>0</v>
      </c>
    </row>
    <row r="17" spans="1:57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</row>
    <row r="18" spans="1:57" s="80" customFormat="1" x14ac:dyDescent="0.25">
      <c r="A18" s="40" t="s">
        <v>9</v>
      </c>
      <c r="B18" s="21"/>
      <c r="C18" s="59"/>
      <c r="D18" s="30"/>
      <c r="E18" s="30">
        <v>1000000</v>
      </c>
      <c r="F18" s="30">
        <v>1500000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</row>
    <row r="19" spans="1:57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>
        <v>2000000</v>
      </c>
      <c r="Q19" s="30"/>
      <c r="R19" s="30"/>
      <c r="S19" s="30"/>
      <c r="T19" s="30"/>
      <c r="U19" s="30"/>
      <c r="V19" s="30"/>
      <c r="W19" s="30">
        <v>2000000</v>
      </c>
      <c r="X19" s="30"/>
      <c r="Y19" s="30"/>
      <c r="Z19" s="30"/>
      <c r="AA19" s="30"/>
      <c r="AB19" s="30"/>
      <c r="AC19" s="30"/>
      <c r="AD19" s="30">
        <v>2000000</v>
      </c>
      <c r="AE19" s="30"/>
      <c r="AF19" s="30"/>
      <c r="AG19" s="30"/>
      <c r="AH19" s="30"/>
      <c r="AI19" s="30"/>
      <c r="AJ19" s="30"/>
      <c r="AK19" s="30">
        <v>2000000</v>
      </c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</row>
    <row r="20" spans="1:57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P20" s="30"/>
      <c r="AQ20" s="30"/>
      <c r="AR20" s="30">
        <v>4330985</v>
      </c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</row>
    <row r="21" spans="1:57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</row>
    <row r="22" spans="1:57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</row>
    <row r="23" spans="1:57" s="80" customFormat="1" x14ac:dyDescent="0.25">
      <c r="A23" s="40" t="s">
        <v>11</v>
      </c>
      <c r="B23" s="21"/>
      <c r="C23" s="59"/>
      <c r="D23" s="30"/>
      <c r="E23" s="30">
        <f>(96084-26000-48846)*A3</f>
        <v>1791295.7482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</row>
    <row r="24" spans="1:57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Q24" s="30"/>
      <c r="R24" s="30"/>
      <c r="S24" s="30"/>
      <c r="T24" s="30"/>
      <c r="U24" s="30"/>
      <c r="V24" s="30"/>
      <c r="W24" s="30"/>
      <c r="X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165">
        <f>35600*A3</f>
        <v>3002642.8400000003</v>
      </c>
      <c r="AZ24" s="30"/>
      <c r="BA24" s="30"/>
      <c r="BB24" s="30"/>
      <c r="BC24" s="30"/>
      <c r="BD24" s="30"/>
      <c r="BE24" s="30"/>
    </row>
    <row r="25" spans="1:57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 s="4" customFormat="1" x14ac:dyDescent="0.2">
      <c r="A26" s="41" t="s">
        <v>1</v>
      </c>
      <c r="B26" s="22"/>
      <c r="C26" s="34">
        <f>SUM(C28:C74)</f>
        <v>21133916.310520001</v>
      </c>
      <c r="D26" s="34"/>
      <c r="E26" s="34">
        <f t="shared" ref="E26:BE26" si="1">SUM(E27:E75)</f>
        <v>7124093.9240018185</v>
      </c>
      <c r="F26" s="34">
        <f t="shared" si="1"/>
        <v>1807342.6057200001</v>
      </c>
      <c r="G26" s="34">
        <f t="shared" si="1"/>
        <v>0</v>
      </c>
      <c r="H26" s="34">
        <f t="shared" si="1"/>
        <v>0</v>
      </c>
      <c r="I26" s="34">
        <f t="shared" si="1"/>
        <v>568049.34233333333</v>
      </c>
      <c r="J26" s="34">
        <f t="shared" si="1"/>
        <v>722471.12095999997</v>
      </c>
      <c r="K26" s="34">
        <f t="shared" si="1"/>
        <v>432801.52223333332</v>
      </c>
      <c r="L26" s="34">
        <f t="shared" si="1"/>
        <v>677135.97429333336</v>
      </c>
      <c r="M26" s="34">
        <f t="shared" si="1"/>
        <v>512293.96015333332</v>
      </c>
      <c r="N26" s="34">
        <f t="shared" si="1"/>
        <v>0</v>
      </c>
      <c r="O26" s="34">
        <f t="shared" si="1"/>
        <v>0</v>
      </c>
      <c r="P26" s="34">
        <f t="shared" si="1"/>
        <v>346371.97429333336</v>
      </c>
      <c r="Q26" s="34">
        <f t="shared" si="1"/>
        <v>3593009.9601533334</v>
      </c>
      <c r="R26" s="34">
        <f t="shared" si="1"/>
        <v>668550.31954333326</v>
      </c>
      <c r="S26" s="34">
        <f t="shared" si="1"/>
        <v>1314657.9677086363</v>
      </c>
      <c r="T26" s="34">
        <f t="shared" si="1"/>
        <v>950856.61818181816</v>
      </c>
      <c r="U26" s="34">
        <f t="shared" si="1"/>
        <v>0</v>
      </c>
      <c r="V26" s="34">
        <f t="shared" si="1"/>
        <v>694560</v>
      </c>
      <c r="W26" s="34">
        <f t="shared" si="1"/>
        <v>327914.55005090911</v>
      </c>
      <c r="X26" s="34">
        <f t="shared" si="1"/>
        <v>843915.28174181818</v>
      </c>
      <c r="Y26" s="34">
        <f t="shared" si="1"/>
        <v>740300.54540863633</v>
      </c>
      <c r="Z26" s="34">
        <f t="shared" si="1"/>
        <v>513915.28174181824</v>
      </c>
      <c r="AA26" s="34">
        <f t="shared" si="1"/>
        <v>267319.96636363631</v>
      </c>
      <c r="AB26" s="34">
        <f t="shared" si="1"/>
        <v>0</v>
      </c>
      <c r="AC26" s="34">
        <f t="shared" si="1"/>
        <v>0</v>
      </c>
      <c r="AD26" s="34">
        <f t="shared" si="1"/>
        <v>2168846.4635600001</v>
      </c>
      <c r="AE26" s="34">
        <f t="shared" si="1"/>
        <v>378714.64078181819</v>
      </c>
      <c r="AF26" s="34">
        <f t="shared" si="1"/>
        <v>107956.33333333334</v>
      </c>
      <c r="AG26" s="34">
        <f t="shared" si="1"/>
        <v>213866.44088863637</v>
      </c>
      <c r="AH26" s="34">
        <f t="shared" si="1"/>
        <v>369136.4408886364</v>
      </c>
      <c r="AI26" s="34">
        <f t="shared" si="1"/>
        <v>0</v>
      </c>
      <c r="AJ26" s="34">
        <f t="shared" si="1"/>
        <v>0</v>
      </c>
      <c r="AK26" s="34">
        <f t="shared" si="1"/>
        <v>709951.4408886364</v>
      </c>
      <c r="AL26" s="34">
        <f t="shared" si="1"/>
        <v>173866.44088863637</v>
      </c>
      <c r="AM26" s="34">
        <f t="shared" si="1"/>
        <v>173866.44088863637</v>
      </c>
      <c r="AN26" s="34">
        <f t="shared" si="1"/>
        <v>0</v>
      </c>
      <c r="AO26" s="34">
        <f t="shared" si="1"/>
        <v>0</v>
      </c>
      <c r="AP26" s="34">
        <f t="shared" si="1"/>
        <v>0</v>
      </c>
      <c r="AQ26" s="34">
        <f t="shared" si="1"/>
        <v>0</v>
      </c>
      <c r="AR26" s="34">
        <f t="shared" si="1"/>
        <v>1600000</v>
      </c>
      <c r="AS26" s="34">
        <f t="shared" si="1"/>
        <v>0</v>
      </c>
      <c r="AT26" s="34">
        <f t="shared" si="1"/>
        <v>0</v>
      </c>
      <c r="AU26" s="34">
        <f t="shared" si="1"/>
        <v>0</v>
      </c>
      <c r="AV26" s="34">
        <f t="shared" si="1"/>
        <v>0</v>
      </c>
      <c r="AW26" s="34">
        <f t="shared" si="1"/>
        <v>0</v>
      </c>
      <c r="AX26" s="34">
        <f t="shared" si="1"/>
        <v>0</v>
      </c>
      <c r="AY26" s="34">
        <f t="shared" si="1"/>
        <v>746062.9</v>
      </c>
      <c r="AZ26" s="34">
        <f t="shared" si="1"/>
        <v>0</v>
      </c>
      <c r="BA26" s="34">
        <f t="shared" si="1"/>
        <v>0</v>
      </c>
      <c r="BB26" s="34">
        <f t="shared" si="1"/>
        <v>0</v>
      </c>
      <c r="BC26" s="34">
        <f t="shared" si="1"/>
        <v>0</v>
      </c>
      <c r="BD26" s="34">
        <f t="shared" si="1"/>
        <v>0</v>
      </c>
      <c r="BE26" s="34">
        <f t="shared" si="1"/>
        <v>0</v>
      </c>
    </row>
    <row r="27" spans="1:57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</row>
    <row r="29" spans="1:57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</row>
    <row r="30" spans="1:57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>
        <f>8399365/3</f>
        <v>2799788.3333333335</v>
      </c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</row>
    <row r="31" spans="1:57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90">
        <f>291375+137118</f>
        <v>428493</v>
      </c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</row>
    <row r="32" spans="1:57" s="1" customFormat="1" x14ac:dyDescent="0.2">
      <c r="A32" s="36" t="s">
        <v>7</v>
      </c>
      <c r="B32" s="23" t="s">
        <v>8</v>
      </c>
      <c r="C32" s="60"/>
      <c r="D32" s="24"/>
      <c r="E32" s="24"/>
      <c r="F32" s="24">
        <v>480520</v>
      </c>
      <c r="G32" s="24"/>
      <c r="H32" s="24"/>
      <c r="I32" s="24"/>
      <c r="J32" s="24"/>
      <c r="K32" s="24"/>
      <c r="L32" s="24">
        <v>350000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</row>
    <row r="33" spans="1:57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>
        <v>271506</v>
      </c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</row>
    <row r="34" spans="1:57" s="1" customFormat="1" x14ac:dyDescent="0.2">
      <c r="A34" s="36" t="s">
        <v>54</v>
      </c>
      <c r="B34" s="23"/>
      <c r="C34" s="60"/>
      <c r="D34" s="24"/>
      <c r="E34" s="24">
        <f>100113.9/2</f>
        <v>50056.95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</row>
    <row r="35" spans="1:57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>
        <v>200113.9</v>
      </c>
      <c r="T35" s="24">
        <v>40000</v>
      </c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>
        <v>200113.9</v>
      </c>
      <c r="AZ35" s="24"/>
      <c r="BA35" s="24"/>
      <c r="BB35" s="24"/>
      <c r="BC35" s="24"/>
      <c r="BD35" s="24"/>
      <c r="BE35" s="24"/>
    </row>
    <row r="36" spans="1:57" s="1" customFormat="1" x14ac:dyDescent="0.2">
      <c r="A36" s="36" t="s">
        <v>53</v>
      </c>
      <c r="B36" s="23"/>
      <c r="C36" s="60"/>
      <c r="D36" s="24"/>
      <c r="E36" s="24">
        <v>140000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>
        <v>545949</v>
      </c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>
        <v>545949</v>
      </c>
      <c r="AZ36" s="24"/>
      <c r="BA36" s="24"/>
      <c r="BB36" s="24"/>
      <c r="BC36" s="24"/>
      <c r="BD36" s="24"/>
      <c r="BE36" s="24"/>
    </row>
    <row r="37" spans="1:57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</row>
    <row r="38" spans="1:57" s="71" customFormat="1" x14ac:dyDescent="0.2">
      <c r="A38" s="69" t="s">
        <v>14</v>
      </c>
      <c r="B38" s="25" t="s">
        <v>30</v>
      </c>
      <c r="C38" s="70"/>
      <c r="D38" s="24"/>
      <c r="E38" s="28"/>
      <c r="F38" s="100">
        <v>774474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</row>
    <row r="39" spans="1:57" s="71" customFormat="1" x14ac:dyDescent="0.2">
      <c r="A39" s="69" t="s">
        <v>115</v>
      </c>
      <c r="B39" s="25" t="s">
        <v>116</v>
      </c>
      <c r="C39" s="70"/>
      <c r="D39" s="24"/>
      <c r="E39" s="24"/>
      <c r="F39" s="100">
        <f>312320/10</f>
        <v>31232</v>
      </c>
      <c r="G39" s="24"/>
      <c r="H39" s="24"/>
      <c r="I39" s="108">
        <f>312320/10</f>
        <v>31232</v>
      </c>
      <c r="J39" s="24"/>
      <c r="K39" s="108">
        <f>312320/10</f>
        <v>31232</v>
      </c>
      <c r="L39" s="24"/>
      <c r="M39" s="108">
        <f>312320/10</f>
        <v>31232</v>
      </c>
      <c r="N39" s="24"/>
      <c r="O39" s="24"/>
      <c r="P39" s="108">
        <v>124838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</row>
    <row r="40" spans="1:57" s="71" customFormat="1" x14ac:dyDescent="0.2">
      <c r="A40" s="69" t="s">
        <v>117</v>
      </c>
      <c r="B40" s="25" t="s">
        <v>119</v>
      </c>
      <c r="C40" s="70">
        <f>475500-50000</f>
        <v>425500</v>
      </c>
      <c r="D40" s="24"/>
      <c r="E40" s="100">
        <v>150000</v>
      </c>
      <c r="F40" s="108">
        <v>100000</v>
      </c>
      <c r="G40" s="24"/>
      <c r="H40" s="24"/>
      <c r="I40" s="24"/>
      <c r="J40" s="108">
        <v>100000</v>
      </c>
      <c r="K40" s="108">
        <v>75000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</row>
    <row r="41" spans="1:57" s="71" customFormat="1" x14ac:dyDescent="0.2">
      <c r="A41" s="69" t="s">
        <v>97</v>
      </c>
      <c r="B41" s="25" t="s">
        <v>137</v>
      </c>
      <c r="C41" s="70"/>
      <c r="D41" s="24"/>
      <c r="E41" s="24"/>
      <c r="F41" s="28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100">
        <f>472500-142500</f>
        <v>330000</v>
      </c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</row>
    <row r="42" spans="1:57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1375000-500000-175000-50000-25000-25000-25000-50000-25000-50000-25000-25000-30000-25000-30000-25000-25000-15000-47500</f>
        <v>202500</v>
      </c>
      <c r="D42" s="24"/>
      <c r="E42" s="100">
        <f>95000/2</f>
        <v>47500</v>
      </c>
      <c r="G42" s="24"/>
      <c r="H42" s="24"/>
      <c r="I42" s="129">
        <f>30000/2</f>
        <v>15000</v>
      </c>
      <c r="J42" s="129">
        <v>40000</v>
      </c>
      <c r="K42" s="129">
        <v>25000</v>
      </c>
      <c r="L42" s="129">
        <v>25000</v>
      </c>
      <c r="M42" s="129">
        <v>50000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</row>
    <row r="43" spans="1:57" s="71" customFormat="1" x14ac:dyDescent="0.2">
      <c r="A43" s="69" t="s">
        <v>15</v>
      </c>
      <c r="B43" s="25" t="s">
        <v>31</v>
      </c>
      <c r="C43" s="70">
        <f>1547684-50000-50000-50000</f>
        <v>1397684</v>
      </c>
      <c r="D43" s="24"/>
      <c r="E43" s="100">
        <f t="shared" ref="E43:AF43" si="2">516230/10</f>
        <v>51623</v>
      </c>
      <c r="F43" s="108">
        <f>516230/10</f>
        <v>51623</v>
      </c>
      <c r="G43" s="24"/>
      <c r="H43" s="24"/>
      <c r="I43" s="108">
        <f>516230/10</f>
        <v>51623</v>
      </c>
      <c r="J43" s="108">
        <f>516230/10+15224</f>
        <v>66847</v>
      </c>
      <c r="K43" s="108">
        <f t="shared" ref="K43" si="3">516230/10</f>
        <v>51623</v>
      </c>
      <c r="L43" s="108">
        <f t="shared" ref="L43" si="4">(515224/4)/3</f>
        <v>42935.333333333336</v>
      </c>
      <c r="M43" s="108">
        <f>516230/10</f>
        <v>51623</v>
      </c>
      <c r="N43" s="24"/>
      <c r="O43" s="24"/>
      <c r="Q43" s="108">
        <f t="shared" ref="Q43:T43" si="5">516230/10</f>
        <v>51623</v>
      </c>
      <c r="R43" s="108">
        <f t="shared" si="5"/>
        <v>51623</v>
      </c>
      <c r="S43" s="108">
        <f t="shared" si="5"/>
        <v>51623</v>
      </c>
      <c r="T43" s="108">
        <f t="shared" si="5"/>
        <v>51623</v>
      </c>
      <c r="U43" s="24"/>
      <c r="V43" s="24"/>
      <c r="W43" s="108">
        <f t="shared" ref="W43:AA43" si="6">516230/10</f>
        <v>51623</v>
      </c>
      <c r="X43" s="108">
        <f t="shared" si="6"/>
        <v>51623</v>
      </c>
      <c r="Y43" s="108">
        <f t="shared" si="6"/>
        <v>51623</v>
      </c>
      <c r="Z43" s="108">
        <f t="shared" si="6"/>
        <v>51623</v>
      </c>
      <c r="AA43" s="108">
        <f t="shared" si="6"/>
        <v>51623</v>
      </c>
      <c r="AB43" s="24"/>
      <c r="AC43" s="24"/>
      <c r="AD43" s="100">
        <v>516230</v>
      </c>
      <c r="AE43" s="108">
        <f>516230/10</f>
        <v>51623</v>
      </c>
      <c r="AF43" s="108">
        <f t="shared" si="2"/>
        <v>51623</v>
      </c>
      <c r="AG43" s="24"/>
      <c r="AH43" s="98">
        <f>515224/4+54464</f>
        <v>183270</v>
      </c>
      <c r="AI43" s="24"/>
      <c r="AJ43" s="24"/>
      <c r="AK43" s="100">
        <v>536085</v>
      </c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</row>
    <row r="44" spans="1:57" s="71" customFormat="1" x14ac:dyDescent="0.2">
      <c r="A44" s="69" t="s">
        <v>85</v>
      </c>
      <c r="B44" s="25" t="s">
        <v>47</v>
      </c>
      <c r="C44" s="70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100">
        <f>2997.5*A6</f>
        <v>218061.83025</v>
      </c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</row>
    <row r="45" spans="1:57" s="71" customFormat="1" x14ac:dyDescent="0.2">
      <c r="A45" s="69" t="s">
        <v>143</v>
      </c>
      <c r="B45" s="25" t="s">
        <v>45</v>
      </c>
      <c r="C45" s="24">
        <f>188496*A9-12500*A9</f>
        <v>1893523.3644000001</v>
      </c>
      <c r="D45" s="24"/>
      <c r="E45" s="100">
        <f t="shared" ref="E45:W45" si="7">(188496*$A$9)/15</f>
        <v>135200.64096000002</v>
      </c>
      <c r="F45" s="24"/>
      <c r="G45" s="24"/>
      <c r="H45" s="24"/>
      <c r="J45" s="108">
        <f t="shared" ref="J45:X45" si="8">(188496*$A$9)/15</f>
        <v>135200.64096000002</v>
      </c>
      <c r="L45" s="108">
        <f t="shared" si="8"/>
        <v>135200.64096000002</v>
      </c>
      <c r="M45" s="108">
        <f t="shared" si="8"/>
        <v>135200.64096000002</v>
      </c>
      <c r="N45" s="24"/>
      <c r="O45" s="24"/>
      <c r="P45" s="108">
        <f>(188496*$A$9)/15</f>
        <v>135200.64096000002</v>
      </c>
      <c r="Q45" s="108">
        <f t="shared" ref="Q45:S45" si="9">(188496*$A$9)/15</f>
        <v>135200.64096000002</v>
      </c>
      <c r="R45" s="108">
        <f t="shared" si="9"/>
        <v>135200.64096000002</v>
      </c>
      <c r="S45" s="108">
        <f t="shared" si="9"/>
        <v>135200.64096000002</v>
      </c>
      <c r="T45" s="28"/>
      <c r="U45" s="24"/>
      <c r="V45" s="24"/>
      <c r="W45" s="108">
        <f t="shared" si="7"/>
        <v>135200.64096000002</v>
      </c>
      <c r="X45" s="108">
        <f t="shared" si="8"/>
        <v>135200.64096000002</v>
      </c>
      <c r="Y45" s="108">
        <f>((188496*$A$9)/15)*2</f>
        <v>270401.28192000004</v>
      </c>
      <c r="Z45" s="108">
        <f>(188496*$A$9)/15</f>
        <v>135200.64096000002</v>
      </c>
      <c r="AA45" s="24"/>
      <c r="AB45" s="24"/>
      <c r="AC45" s="24"/>
      <c r="AD45" s="108">
        <f>(188496*$A$9)/15</f>
        <v>135200.64096000002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</row>
    <row r="46" spans="1:57" s="71" customFormat="1" x14ac:dyDescent="0.2">
      <c r="A46" s="69" t="s">
        <v>120</v>
      </c>
      <c r="B46" s="25" t="s">
        <v>121</v>
      </c>
      <c r="C46" s="120">
        <f>507000+1014000-47000-56000-45000-50000-90000</f>
        <v>1233000</v>
      </c>
      <c r="D46" s="24"/>
      <c r="E46" s="100">
        <f t="shared" ref="E46:AE46" si="10">1014000/11</f>
        <v>92181.818181818177</v>
      </c>
      <c r="F46" s="24"/>
      <c r="G46" s="24"/>
      <c r="H46" s="24"/>
      <c r="I46" s="108">
        <f>507000/9</f>
        <v>56333.333333333336</v>
      </c>
      <c r="J46" s="24"/>
      <c r="K46" s="108">
        <f t="shared" ref="K46:M46" si="11">507000/9</f>
        <v>56333.333333333336</v>
      </c>
      <c r="L46" s="24"/>
      <c r="M46" s="108">
        <f t="shared" si="11"/>
        <v>56333.333333333336</v>
      </c>
      <c r="N46" s="24"/>
      <c r="O46" s="24"/>
      <c r="P46" s="108">
        <f t="shared" ref="P46:AF46" si="12">507000/9</f>
        <v>56333.333333333336</v>
      </c>
      <c r="R46" s="108">
        <f t="shared" si="12"/>
        <v>56333.333333333336</v>
      </c>
      <c r="S46" s="108">
        <f>(1014000/11+88393.5*$A$9)/6</f>
        <v>173866.44088863637</v>
      </c>
      <c r="T46" s="108">
        <f t="shared" ref="T46:X46" si="13">1014000/11</f>
        <v>92181.818181818177</v>
      </c>
      <c r="U46" s="24"/>
      <c r="V46" s="100">
        <v>682560</v>
      </c>
      <c r="W46" s="108">
        <f>(1014000/11)/2</f>
        <v>46090.909090909088</v>
      </c>
      <c r="X46" s="108">
        <f t="shared" si="13"/>
        <v>92181.818181818177</v>
      </c>
      <c r="Y46" s="108">
        <f>(1014000/11+88393.5*$A$9)/6</f>
        <v>173866.44088863637</v>
      </c>
      <c r="Z46" s="108">
        <f t="shared" si="10"/>
        <v>92181.818181818177</v>
      </c>
      <c r="AA46" s="108">
        <f>(1014000/11)*2+9333.33</f>
        <v>193696.96636363634</v>
      </c>
      <c r="AB46" s="24"/>
      <c r="AC46" s="24"/>
      <c r="AD46" s="108">
        <v>991000</v>
      </c>
      <c r="AE46" s="108">
        <f t="shared" si="10"/>
        <v>92181.818181818177</v>
      </c>
      <c r="AF46" s="108">
        <f t="shared" si="12"/>
        <v>56333.333333333336</v>
      </c>
      <c r="AG46" s="108">
        <f>(1014000/11+88393.5*$A$9)/6</f>
        <v>173866.44088863637</v>
      </c>
      <c r="AH46" s="108">
        <f>(1014000/11+88393.5*$A$9)/6</f>
        <v>173866.44088863637</v>
      </c>
      <c r="AI46" s="24"/>
      <c r="AJ46" s="24"/>
      <c r="AK46" s="108">
        <f>(1014000/11+88393.5*$A$9)/6</f>
        <v>173866.44088863637</v>
      </c>
      <c r="AL46" s="108">
        <f>(1014000/11+88393.5*$A$9)/6</f>
        <v>173866.44088863637</v>
      </c>
      <c r="AM46" s="108">
        <f>(1014000/11+88393.5*$A$9)/6</f>
        <v>173866.44088863637</v>
      </c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</row>
    <row r="47" spans="1:57" s="73" customFormat="1" x14ac:dyDescent="0.2">
      <c r="A47" s="69" t="s">
        <v>22</v>
      </c>
      <c r="B47" s="25" t="s">
        <v>48</v>
      </c>
      <c r="C47" s="137"/>
      <c r="D47" s="72"/>
      <c r="E47" s="138">
        <f t="shared" ref="E47:S47" si="14">(52206*$A$9+2988*$A$6)/10</f>
        <v>77904.985860000001</v>
      </c>
      <c r="F47" s="160">
        <f>((52206*$A$9+2988*$A$6)/10)*2</f>
        <v>155809.97172</v>
      </c>
      <c r="G47" s="72"/>
      <c r="H47" s="72"/>
      <c r="J47" s="72"/>
      <c r="K47" s="160">
        <f>(52206*$A$9)/6</f>
        <v>93613.188900000008</v>
      </c>
      <c r="L47" s="72"/>
      <c r="M47" s="160">
        <f>(52206*$A$9+2988*$A$6)/10</f>
        <v>77904.985860000001</v>
      </c>
      <c r="N47" s="72"/>
      <c r="O47" s="72"/>
      <c r="P47" s="72"/>
      <c r="Q47" s="160">
        <f t="shared" ref="Q47" si="15">(52206*$A$9+2988*$A$6)/10</f>
        <v>77904.985860000001</v>
      </c>
      <c r="S47" s="160">
        <f t="shared" si="14"/>
        <v>77904.985860000001</v>
      </c>
      <c r="T47" s="166">
        <f>62000*$A$9</f>
        <v>667051.80000000005</v>
      </c>
      <c r="U47" s="72"/>
      <c r="V47" s="72"/>
      <c r="X47" s="160">
        <f>(109170*$A$9)/5</f>
        <v>234909.82260000001</v>
      </c>
      <c r="Y47" s="160">
        <f t="shared" ref="Y47:Z47" si="16">(109170*$A$9)/5</f>
        <v>234909.82260000001</v>
      </c>
      <c r="Z47" s="160">
        <f t="shared" si="16"/>
        <v>234909.82260000001</v>
      </c>
      <c r="AA47" s="72"/>
      <c r="AB47" s="72"/>
      <c r="AC47" s="72"/>
      <c r="AD47" s="160">
        <f t="shared" ref="AD47:AE47" si="17">(109170*$A$9)/5</f>
        <v>234909.82260000001</v>
      </c>
      <c r="AE47" s="160">
        <f t="shared" si="17"/>
        <v>234909.82260000001</v>
      </c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</row>
    <row r="48" spans="1:57" s="73" customFormat="1" x14ac:dyDescent="0.2">
      <c r="A48" s="69" t="s">
        <v>108</v>
      </c>
      <c r="B48" s="25" t="s">
        <v>109</v>
      </c>
      <c r="C48" s="120"/>
      <c r="D48" s="72"/>
      <c r="E48" s="72"/>
      <c r="F48" s="138">
        <f>50531.25/2</f>
        <v>25265.625</v>
      </c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</row>
    <row r="49" spans="1:57" s="71" customFormat="1" x14ac:dyDescent="0.2">
      <c r="A49" s="69" t="s">
        <v>36</v>
      </c>
      <c r="B49" s="25" t="s">
        <v>37</v>
      </c>
      <c r="C49" s="130"/>
      <c r="D49" s="24"/>
      <c r="E49" s="24"/>
      <c r="G49" s="24"/>
      <c r="H49" s="24"/>
      <c r="I49" s="24"/>
      <c r="J49" s="100">
        <v>350422.5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</row>
    <row r="50" spans="1:57" s="71" customFormat="1" x14ac:dyDescent="0.2">
      <c r="A50" s="69" t="s">
        <v>86</v>
      </c>
      <c r="B50" s="25" t="s">
        <v>35</v>
      </c>
      <c r="C50" s="70"/>
      <c r="D50" s="77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100">
        <f>2850*A6</f>
        <v>207331.51500000001</v>
      </c>
      <c r="S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</row>
    <row r="51" spans="1:57" s="71" customFormat="1" x14ac:dyDescent="0.2">
      <c r="A51" s="69" t="s">
        <v>29</v>
      </c>
      <c r="B51" s="25" t="s">
        <v>43</v>
      </c>
      <c r="C51" s="70">
        <f>439750-19750-25000-25000-25000-20000-20000-25000</f>
        <v>280000</v>
      </c>
      <c r="D51" s="24"/>
      <c r="E51" s="100">
        <v>50000</v>
      </c>
      <c r="G51" s="24"/>
      <c r="H51" s="24"/>
      <c r="I51" s="95">
        <v>35000</v>
      </c>
      <c r="J51" s="24"/>
      <c r="K51" s="24"/>
      <c r="L51" s="24"/>
      <c r="N51" s="24"/>
      <c r="O51" s="24"/>
      <c r="P51" s="24"/>
      <c r="Q51" s="24"/>
      <c r="R51" s="24"/>
      <c r="S51" s="24"/>
      <c r="T51" s="95">
        <v>100000</v>
      </c>
      <c r="U51" s="24"/>
      <c r="V51" s="24"/>
      <c r="W51" s="95">
        <v>95000</v>
      </c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</row>
    <row r="52" spans="1:57" s="71" customFormat="1" x14ac:dyDescent="0.2">
      <c r="A52" s="69" t="s">
        <v>141</v>
      </c>
      <c r="B52" s="25" t="s">
        <v>142</v>
      </c>
      <c r="C52" s="70"/>
      <c r="D52" s="24"/>
      <c r="E52" s="100">
        <v>55053.72</v>
      </c>
      <c r="F52" s="28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8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</row>
    <row r="53" spans="1:57" s="71" customFormat="1" x14ac:dyDescent="0.2">
      <c r="A53" s="69" t="s">
        <v>159</v>
      </c>
      <c r="B53" s="25" t="s">
        <v>160</v>
      </c>
      <c r="C53" s="70"/>
      <c r="D53" s="24"/>
      <c r="E53" s="24"/>
      <c r="F53" s="24"/>
      <c r="G53" s="24"/>
      <c r="H53" s="24"/>
      <c r="I53" s="24"/>
      <c r="J53" s="100">
        <v>28476.98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</row>
    <row r="54" spans="1:57" s="71" customFormat="1" x14ac:dyDescent="0.2">
      <c r="A54" s="69" t="s">
        <v>124</v>
      </c>
      <c r="B54" s="25" t="s">
        <v>125</v>
      </c>
      <c r="C54" s="70"/>
      <c r="D54" s="24"/>
      <c r="E54" s="24"/>
      <c r="F54" s="24"/>
      <c r="G54" s="24"/>
      <c r="H54" s="24"/>
      <c r="I54" s="100">
        <v>203210</v>
      </c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</row>
    <row r="55" spans="1:57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100">
        <v>1524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</row>
    <row r="56" spans="1:57" s="71" customFormat="1" x14ac:dyDescent="0.2">
      <c r="A56" s="69" t="s">
        <v>90</v>
      </c>
      <c r="B56" s="25" t="s">
        <v>91</v>
      </c>
      <c r="C56" s="70">
        <f>912000+1012000-100000-100000-75000-75000-75000-75000-75000-75000-75000-75000-75000-75000-75000-75000</f>
        <v>824000</v>
      </c>
      <c r="D56" s="77"/>
      <c r="E56" s="100">
        <v>100000</v>
      </c>
      <c r="F56" s="129">
        <v>100000</v>
      </c>
      <c r="G56" s="24"/>
      <c r="H56" s="24"/>
      <c r="I56" s="129">
        <v>100000</v>
      </c>
      <c r="J56" s="24"/>
      <c r="K56" s="129">
        <v>100000</v>
      </c>
      <c r="L56" s="129">
        <v>124000</v>
      </c>
      <c r="M56" s="129">
        <v>100000</v>
      </c>
      <c r="N56" s="24"/>
      <c r="O56" s="24"/>
      <c r="P56" s="24"/>
      <c r="Q56" s="129">
        <v>100000</v>
      </c>
      <c r="R56" s="24"/>
      <c r="S56" s="129">
        <v>100000</v>
      </c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</row>
    <row r="57" spans="1:57" s="71" customFormat="1" x14ac:dyDescent="0.2">
      <c r="A57" s="69" t="s">
        <v>138</v>
      </c>
      <c r="B57" s="25" t="s">
        <v>136</v>
      </c>
      <c r="C57" s="70"/>
      <c r="D57" s="77"/>
      <c r="E57" s="100">
        <f t="shared" ref="E57:I57" si="18">(4260*$A$6)/6</f>
        <v>51651.008999999998</v>
      </c>
      <c r="F57" s="100">
        <f t="shared" si="18"/>
        <v>51651.008999999998</v>
      </c>
      <c r="G57" s="24"/>
      <c r="H57" s="24"/>
      <c r="I57" s="100">
        <f t="shared" si="18"/>
        <v>51651.008999999998</v>
      </c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</row>
    <row r="58" spans="1:57" s="71" customFormat="1" x14ac:dyDescent="0.2">
      <c r="A58" s="69" t="s">
        <v>156</v>
      </c>
      <c r="B58" s="25" t="s">
        <v>157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</row>
    <row r="59" spans="1:57" s="71" customFormat="1" ht="12.75" customHeight="1" x14ac:dyDescent="0.2">
      <c r="A59" s="151" t="s">
        <v>139</v>
      </c>
      <c r="B59" s="152" t="s">
        <v>114</v>
      </c>
      <c r="C59" s="70"/>
      <c r="D59" s="77"/>
      <c r="E59" s="28"/>
      <c r="F59" s="28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</row>
    <row r="60" spans="1:57" s="71" customFormat="1" x14ac:dyDescent="0.2">
      <c r="A60" s="69" t="s">
        <v>128</v>
      </c>
      <c r="B60" s="25" t="s">
        <v>129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</row>
    <row r="61" spans="1:57" s="71" customFormat="1" x14ac:dyDescent="0.2">
      <c r="A61" s="69" t="s">
        <v>101</v>
      </c>
      <c r="B61" s="25" t="s">
        <v>130</v>
      </c>
      <c r="C61" s="70">
        <v>37500</v>
      </c>
      <c r="D61" s="77"/>
      <c r="E61" s="108">
        <f>100000/4</f>
        <v>25000</v>
      </c>
      <c r="F61" s="108">
        <f>25000/2</f>
        <v>12500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</row>
    <row r="62" spans="1:57" s="71" customFormat="1" x14ac:dyDescent="0.2">
      <c r="A62" s="69" t="s">
        <v>154</v>
      </c>
      <c r="B62" s="25" t="s">
        <v>153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</row>
    <row r="63" spans="1:57" s="71" customFormat="1" x14ac:dyDescent="0.2">
      <c r="A63" s="69" t="s">
        <v>158</v>
      </c>
      <c r="B63" s="25"/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</row>
    <row r="64" spans="1:57" s="71" customFormat="1" x14ac:dyDescent="0.2">
      <c r="A64" s="69" t="s">
        <v>38</v>
      </c>
      <c r="B64" s="25" t="s">
        <v>39</v>
      </c>
      <c r="C64" s="70"/>
      <c r="D64" s="24"/>
      <c r="E64" s="100">
        <v>8400</v>
      </c>
      <c r="F64" s="100">
        <v>12600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</row>
    <row r="65" spans="1:57" s="71" customFormat="1" x14ac:dyDescent="0.2">
      <c r="A65" s="69" t="s">
        <v>74</v>
      </c>
      <c r="B65" s="25" t="s">
        <v>131</v>
      </c>
      <c r="C65" s="70"/>
      <c r="D65" s="24"/>
      <c r="E65" s="100">
        <f>80000/2</f>
        <v>40000</v>
      </c>
      <c r="F65" s="100">
        <v>11667</v>
      </c>
      <c r="G65" s="24"/>
      <c r="H65" s="24"/>
      <c r="I65" s="100">
        <f>7500+16500</f>
        <v>24000</v>
      </c>
      <c r="J65" s="24"/>
      <c r="L65" s="24"/>
      <c r="M65" s="100">
        <v>10000</v>
      </c>
      <c r="N65" s="24"/>
      <c r="O65" s="24"/>
      <c r="P65" s="100">
        <v>30000</v>
      </c>
      <c r="Q65" s="24"/>
      <c r="R65" s="24"/>
      <c r="S65" s="100">
        <v>30000</v>
      </c>
      <c r="T65" s="24"/>
      <c r="U65" s="24"/>
      <c r="V65" s="100">
        <v>12000</v>
      </c>
      <c r="W65" s="24"/>
      <c r="X65" s="24"/>
      <c r="Y65" s="100">
        <v>9500</v>
      </c>
      <c r="Z65" s="24"/>
      <c r="AA65" s="100">
        <v>22000</v>
      </c>
      <c r="AB65" s="24"/>
      <c r="AC65" s="24"/>
      <c r="AD65" s="100">
        <v>20000</v>
      </c>
      <c r="AE65" s="24"/>
      <c r="AF65" s="24"/>
      <c r="AG65" s="143">
        <v>40000</v>
      </c>
      <c r="AH65" s="143">
        <v>12000</v>
      </c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</row>
    <row r="66" spans="1:57" s="71" customFormat="1" x14ac:dyDescent="0.2">
      <c r="A66" s="69" t="s">
        <v>74</v>
      </c>
      <c r="B66" s="25" t="s">
        <v>150</v>
      </c>
      <c r="C66" s="164">
        <v>3567700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</row>
    <row r="67" spans="1:57" s="73" customForma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</row>
    <row r="68" spans="1:57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</row>
    <row r="69" spans="1:57" s="5" customFormat="1" x14ac:dyDescent="0.2">
      <c r="A69" s="42"/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</row>
    <row r="70" spans="1:57" s="5" customFormat="1" x14ac:dyDescent="0.2">
      <c r="A70" s="36" t="s">
        <v>49</v>
      </c>
      <c r="B70" s="12"/>
      <c r="C70" s="13"/>
      <c r="D70" s="26"/>
      <c r="E70" s="13">
        <f>1400000+7400*A3</f>
        <v>2024144.8599999999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</row>
    <row r="71" spans="1:57" s="5" customFormat="1" x14ac:dyDescent="0.2">
      <c r="A71" s="36" t="s">
        <v>57</v>
      </c>
      <c r="B71" s="12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P71" s="13"/>
      <c r="AQ71" s="13"/>
      <c r="AR71" s="168">
        <v>1600000</v>
      </c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</row>
    <row r="72" spans="1:57" s="5" customFormat="1" x14ac:dyDescent="0.2">
      <c r="A72" s="36" t="s">
        <v>61</v>
      </c>
      <c r="B72" s="12"/>
      <c r="C72" s="13">
        <v>112000</v>
      </c>
      <c r="D72" s="26"/>
      <c r="E72" s="13">
        <f>4600*$A$3</f>
        <v>387981.94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</row>
    <row r="73" spans="1:57" s="5" customFormat="1" x14ac:dyDescent="0.2">
      <c r="A73" s="42" t="s">
        <v>151</v>
      </c>
      <c r="B73" s="12"/>
      <c r="C73" s="68">
        <f>(10000*10)*A6</f>
        <v>7274790</v>
      </c>
      <c r="D73" s="26"/>
      <c r="E73" s="126">
        <f>C73/2</f>
        <v>3637395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</row>
    <row r="74" spans="1:57" s="5" customFormat="1" x14ac:dyDescent="0.2">
      <c r="A74" s="36" t="s">
        <v>72</v>
      </c>
      <c r="B74" s="27" t="s">
        <v>73</v>
      </c>
      <c r="C74" s="62">
        <v>3637079.2460000003</v>
      </c>
      <c r="D74" s="35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</row>
    <row r="75" spans="1:57" s="5" customFormat="1" x14ac:dyDescent="0.2">
      <c r="A75" s="42"/>
      <c r="B75" s="12"/>
      <c r="C75" s="61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</row>
    <row r="76" spans="1:57" s="84" customFormat="1" x14ac:dyDescent="0.2">
      <c r="A76" s="81" t="s">
        <v>66</v>
      </c>
      <c r="B76" s="82"/>
      <c r="C76" s="63"/>
      <c r="D76" s="83"/>
      <c r="E76" s="83">
        <f>$C$5+E16-E26</f>
        <v>4902263.2041981798</v>
      </c>
      <c r="F76" s="83">
        <f t="shared" ref="F76:BE76" si="19">E76+F16-F26</f>
        <v>4594920.5984781794</v>
      </c>
      <c r="G76" s="83">
        <f t="shared" si="19"/>
        <v>4594920.5984781794</v>
      </c>
      <c r="H76" s="83">
        <f t="shared" si="19"/>
        <v>4594920.5984781794</v>
      </c>
      <c r="I76" s="83">
        <f t="shared" si="19"/>
        <v>4026871.2561448459</v>
      </c>
      <c r="J76" s="83">
        <f t="shared" si="19"/>
        <v>3304400.1351848459</v>
      </c>
      <c r="K76" s="83">
        <f t="shared" si="19"/>
        <v>2871598.6129515124</v>
      </c>
      <c r="L76" s="83">
        <f t="shared" si="19"/>
        <v>2194462.638658179</v>
      </c>
      <c r="M76" s="83">
        <f t="shared" si="19"/>
        <v>1682168.6785048456</v>
      </c>
      <c r="N76" s="83">
        <f t="shared" si="19"/>
        <v>1682168.6785048456</v>
      </c>
      <c r="O76" s="83">
        <f t="shared" si="19"/>
        <v>1682168.6785048456</v>
      </c>
      <c r="P76" s="83">
        <f t="shared" si="19"/>
        <v>3335796.7042115121</v>
      </c>
      <c r="Q76" s="83">
        <f t="shared" si="19"/>
        <v>-257213.25594182126</v>
      </c>
      <c r="R76" s="83">
        <f t="shared" si="19"/>
        <v>-925763.57548515452</v>
      </c>
      <c r="S76" s="83">
        <f t="shared" si="19"/>
        <v>-2240421.5431937911</v>
      </c>
      <c r="T76" s="83">
        <f t="shared" si="19"/>
        <v>-3191278.1613756092</v>
      </c>
      <c r="U76" s="83">
        <f t="shared" si="19"/>
        <v>-3191278.1613756092</v>
      </c>
      <c r="V76" s="83">
        <f t="shared" si="19"/>
        <v>-3885838.1613756092</v>
      </c>
      <c r="W76" s="83">
        <f t="shared" si="19"/>
        <v>-2213752.7114265184</v>
      </c>
      <c r="X76" s="83">
        <f t="shared" si="19"/>
        <v>-3057667.9931683363</v>
      </c>
      <c r="Y76" s="83">
        <f t="shared" si="19"/>
        <v>-3797968.5385769727</v>
      </c>
      <c r="Z76" s="83">
        <f t="shared" si="19"/>
        <v>-4311883.8203187911</v>
      </c>
      <c r="AA76" s="83">
        <f t="shared" si="19"/>
        <v>-4579203.7866824269</v>
      </c>
      <c r="AB76" s="83">
        <f t="shared" si="19"/>
        <v>-4579203.7866824269</v>
      </c>
      <c r="AC76" s="83">
        <f t="shared" si="19"/>
        <v>-4579203.7866824269</v>
      </c>
      <c r="AD76" s="83">
        <f t="shared" si="19"/>
        <v>-4748050.250242427</v>
      </c>
      <c r="AE76" s="83">
        <f t="shared" si="19"/>
        <v>-5126764.8910242449</v>
      </c>
      <c r="AF76" s="83">
        <f t="shared" si="19"/>
        <v>-5234721.224357578</v>
      </c>
      <c r="AG76" s="83">
        <f t="shared" si="19"/>
        <v>-5448587.6652462147</v>
      </c>
      <c r="AH76" s="83">
        <f t="shared" si="19"/>
        <v>-5817724.1061348515</v>
      </c>
      <c r="AI76" s="83">
        <f t="shared" si="19"/>
        <v>-5817724.1061348515</v>
      </c>
      <c r="AJ76" s="83">
        <f t="shared" si="19"/>
        <v>-5817724.1061348515</v>
      </c>
      <c r="AK76" s="83">
        <f t="shared" si="19"/>
        <v>-4527675.5470234882</v>
      </c>
      <c r="AL76" s="83">
        <f t="shared" si="19"/>
        <v>-4701541.987912125</v>
      </c>
      <c r="AM76" s="83">
        <f t="shared" si="19"/>
        <v>-4875408.4288007617</v>
      </c>
      <c r="AN76" s="83">
        <f t="shared" si="19"/>
        <v>-4875408.4288007617</v>
      </c>
      <c r="AO76" s="83">
        <f t="shared" si="19"/>
        <v>-4875408.4288007617</v>
      </c>
      <c r="AP76" s="83">
        <f t="shared" si="19"/>
        <v>-4875408.4288007617</v>
      </c>
      <c r="AQ76" s="83">
        <f t="shared" si="19"/>
        <v>-4875408.4288007617</v>
      </c>
      <c r="AR76" s="83">
        <f t="shared" si="19"/>
        <v>-2144423.4288007617</v>
      </c>
      <c r="AS76" s="83">
        <f t="shared" si="19"/>
        <v>-2144423.4288007617</v>
      </c>
      <c r="AT76" s="83">
        <f t="shared" si="19"/>
        <v>-2144423.4288007617</v>
      </c>
      <c r="AU76" s="83">
        <f t="shared" si="19"/>
        <v>-2144423.4288007617</v>
      </c>
      <c r="AV76" s="83">
        <f t="shared" si="19"/>
        <v>-2144423.4288007617</v>
      </c>
      <c r="AW76" s="83">
        <f t="shared" si="19"/>
        <v>-2144423.4288007617</v>
      </c>
      <c r="AX76" s="83">
        <f t="shared" si="19"/>
        <v>-2144423.4288007617</v>
      </c>
      <c r="AY76" s="83">
        <f t="shared" si="19"/>
        <v>112156.51119923859</v>
      </c>
      <c r="AZ76" s="83">
        <f t="shared" si="19"/>
        <v>112156.51119923859</v>
      </c>
      <c r="BA76" s="83">
        <f t="shared" si="19"/>
        <v>112156.51119923859</v>
      </c>
      <c r="BB76" s="83">
        <f t="shared" si="19"/>
        <v>112156.51119923859</v>
      </c>
      <c r="BC76" s="83">
        <f t="shared" si="19"/>
        <v>112156.51119923859</v>
      </c>
      <c r="BD76" s="83">
        <f t="shared" si="19"/>
        <v>112156.51119923859</v>
      </c>
      <c r="BE76" s="83">
        <f t="shared" si="19"/>
        <v>112156.51119923859</v>
      </c>
    </row>
    <row r="78" spans="1:57" s="5" customFormat="1" x14ac:dyDescent="0.2">
      <c r="A78" s="42"/>
      <c r="B78" s="12"/>
      <c r="C78" s="68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</row>
    <row r="79" spans="1:57" s="89" customFormat="1" x14ac:dyDescent="0.2">
      <c r="A79" s="85" t="s">
        <v>65</v>
      </c>
      <c r="B79" s="86"/>
      <c r="C79" s="87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</row>
    <row r="80" spans="1:57" s="5" customFormat="1" ht="22.5" x14ac:dyDescent="0.2">
      <c r="A80" s="36" t="s">
        <v>67</v>
      </c>
      <c r="B80" s="27" t="s">
        <v>68</v>
      </c>
      <c r="C80" s="68">
        <v>3221210.79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</row>
    <row r="81" spans="1:57" s="5" customFormat="1" x14ac:dyDescent="0.2">
      <c r="A81" s="36" t="s">
        <v>69</v>
      </c>
      <c r="B81" s="27" t="s">
        <v>70</v>
      </c>
      <c r="C81" s="68">
        <v>9814338.4000000004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</row>
    <row r="82" spans="1:57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</row>
    <row r="83" spans="1:57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</row>
    <row r="85" spans="1:57" x14ac:dyDescent="0.25">
      <c r="B85" s="14"/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85"/>
  <sheetViews>
    <sheetView workbookViewId="0">
      <selection sqref="A1:XFD1048576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1.85546875" style="3" customWidth="1"/>
    <col min="6" max="6" width="13" style="3" customWidth="1"/>
    <col min="7" max="7" width="12.28515625" style="3" customWidth="1"/>
    <col min="8" max="8" width="12.140625" style="3" customWidth="1"/>
    <col min="9" max="9" width="11.140625" style="3" customWidth="1"/>
    <col min="10" max="10" width="12.7109375" style="3" customWidth="1"/>
    <col min="11" max="11" width="11.140625" style="3" customWidth="1"/>
    <col min="12" max="12" width="11.7109375" style="3" customWidth="1"/>
    <col min="13" max="13" width="11.5703125" style="3" customWidth="1"/>
    <col min="14" max="15" width="10.85546875" style="3" customWidth="1"/>
    <col min="16" max="16" width="12.85546875" style="3" customWidth="1"/>
    <col min="17" max="17" width="12" style="3" customWidth="1"/>
    <col min="18" max="18" width="11.140625" style="3" customWidth="1"/>
    <col min="19" max="19" width="12.7109375" style="3" customWidth="1"/>
    <col min="20" max="20" width="11.42578125" style="3" customWidth="1"/>
    <col min="21" max="21" width="11.7109375" style="3" customWidth="1"/>
    <col min="22" max="22" width="10.5703125" style="3" customWidth="1"/>
    <col min="23" max="23" width="12" style="3" customWidth="1"/>
    <col min="24" max="24" width="11.140625" style="3" customWidth="1"/>
    <col min="25" max="25" width="10.42578125" style="3" customWidth="1"/>
    <col min="26" max="26" width="14" style="3" customWidth="1"/>
    <col min="27" max="27" width="10.42578125" style="3" customWidth="1"/>
    <col min="28" max="28" width="12.5703125" style="3" customWidth="1"/>
    <col min="29" max="29" width="13.28515625" style="3" customWidth="1"/>
    <col min="30" max="30" width="12.140625" style="3" customWidth="1"/>
    <col min="31" max="31" width="12.42578125" style="3" customWidth="1"/>
    <col min="32" max="32" width="12.28515625" style="3" customWidth="1"/>
    <col min="33" max="33" width="12.7109375" style="3" customWidth="1"/>
    <col min="34" max="34" width="11.28515625" style="3" customWidth="1"/>
    <col min="35" max="35" width="11.85546875" style="3" customWidth="1"/>
    <col min="36" max="36" width="12.28515625" style="3" customWidth="1"/>
    <col min="37" max="37" width="11.140625" style="3" customWidth="1"/>
    <col min="38" max="38" width="10.5703125" style="3" customWidth="1"/>
    <col min="39" max="39" width="10.85546875" style="3" customWidth="1"/>
    <col min="40" max="40" width="12" style="3" customWidth="1"/>
    <col min="41" max="41" width="13.140625" style="3" customWidth="1"/>
    <col min="42" max="42" width="11.140625" style="3" customWidth="1"/>
    <col min="43" max="43" width="12.5703125" style="3" customWidth="1"/>
    <col min="44" max="44" width="12.140625" style="3" customWidth="1"/>
    <col min="45" max="45" width="12.42578125" style="3" customWidth="1"/>
    <col min="46" max="46" width="12" style="3" customWidth="1"/>
    <col min="47" max="47" width="14.85546875" style="3" customWidth="1"/>
    <col min="48" max="48" width="11.5703125" style="3" customWidth="1"/>
    <col min="49" max="49" width="13.7109375" style="3" customWidth="1"/>
    <col min="50" max="50" width="12.42578125" style="3" customWidth="1"/>
    <col min="51" max="51" width="10.85546875" style="3" customWidth="1"/>
    <col min="52" max="52" width="12.140625" style="3" customWidth="1"/>
    <col min="53" max="53" width="11.85546875" style="3" customWidth="1"/>
    <col min="54" max="54" width="12.7109375" style="3" customWidth="1"/>
    <col min="55" max="55" width="12.42578125" style="3" customWidth="1"/>
    <col min="56" max="56" width="11.140625" style="3" customWidth="1"/>
    <col min="57" max="57" width="11.5703125" style="3" customWidth="1"/>
    <col min="58" max="58" width="12.28515625" style="3" customWidth="1"/>
    <col min="59" max="16384" width="9" style="3"/>
  </cols>
  <sheetData>
    <row r="1" spans="1:58" ht="12" thickBot="1" x14ac:dyDescent="0.3"/>
    <row r="2" spans="1:58" s="1" customFormat="1" x14ac:dyDescent="0.2">
      <c r="A2" s="43" t="s">
        <v>50</v>
      </c>
      <c r="B2" s="15" t="s">
        <v>27</v>
      </c>
      <c r="C2" s="50">
        <v>5651592.5700000003</v>
      </c>
    </row>
    <row r="3" spans="1:58" s="1" customFormat="1" ht="12" thickBot="1" x14ac:dyDescent="0.25">
      <c r="A3" s="44">
        <v>83.731499999999997</v>
      </c>
      <c r="B3" s="15" t="s">
        <v>28</v>
      </c>
      <c r="C3" s="50">
        <v>10778.95</v>
      </c>
    </row>
    <row r="4" spans="1:58" s="8" customFormat="1" ht="12" thickBot="1" x14ac:dyDescent="0.25">
      <c r="A4" s="45"/>
      <c r="B4" s="15" t="s">
        <v>25</v>
      </c>
      <c r="C4" s="51">
        <v>0</v>
      </c>
    </row>
    <row r="5" spans="1:58" s="6" customFormat="1" x14ac:dyDescent="0.2">
      <c r="A5" s="43" t="s">
        <v>51</v>
      </c>
      <c r="B5" s="49" t="s">
        <v>26</v>
      </c>
      <c r="C5" s="52">
        <f>SUM(C2:C4)</f>
        <v>5662371.5200000005</v>
      </c>
    </row>
    <row r="6" spans="1:58" s="6" customFormat="1" ht="12" thickBot="1" x14ac:dyDescent="0.25">
      <c r="A6" s="44">
        <v>72.138800000000003</v>
      </c>
      <c r="B6" s="16"/>
      <c r="C6" s="53"/>
      <c r="D6" s="17"/>
    </row>
    <row r="7" spans="1:58" s="6" customFormat="1" ht="12" thickBot="1" x14ac:dyDescent="0.25">
      <c r="A7" s="105" t="s">
        <v>51</v>
      </c>
      <c r="B7" s="18" t="s">
        <v>127</v>
      </c>
      <c r="C7" s="54">
        <f>SUM(16:16)</f>
        <v>23680064.845999997</v>
      </c>
    </row>
    <row r="8" spans="1:58" x14ac:dyDescent="0.25">
      <c r="A8" s="43" t="s">
        <v>52</v>
      </c>
      <c r="B8" s="18" t="s">
        <v>126</v>
      </c>
      <c r="C8" s="54">
        <f>SUM(26:26)</f>
        <v>50124637.536066681</v>
      </c>
    </row>
    <row r="9" spans="1:58" ht="12" thickBot="1" x14ac:dyDescent="0.3">
      <c r="A9" s="44">
        <v>10.6624</v>
      </c>
      <c r="B9" s="19" t="s">
        <v>64</v>
      </c>
      <c r="C9" s="55">
        <f>C5+C7-C8-C11</f>
        <v>-42021503.866586685</v>
      </c>
    </row>
    <row r="10" spans="1:58" x14ac:dyDescent="0.25">
      <c r="A10" s="99" t="s">
        <v>80</v>
      </c>
      <c r="B10" s="18" t="s">
        <v>23</v>
      </c>
      <c r="C10" s="56">
        <f>C16</f>
        <v>0</v>
      </c>
    </row>
    <row r="11" spans="1:58" x14ac:dyDescent="0.25">
      <c r="A11" s="101" t="s">
        <v>87</v>
      </c>
      <c r="B11" s="18" t="s">
        <v>24</v>
      </c>
      <c r="C11" s="54">
        <f>C26</f>
        <v>21239302.696520001</v>
      </c>
    </row>
    <row r="12" spans="1:58" x14ac:dyDescent="0.25">
      <c r="A12" s="107" t="s">
        <v>88</v>
      </c>
    </row>
    <row r="13" spans="1:58" x14ac:dyDescent="0.25">
      <c r="A13" s="38"/>
      <c r="B13" s="10"/>
      <c r="C13" s="57"/>
      <c r="D13" s="10"/>
    </row>
    <row r="14" spans="1:58" s="2" customFormat="1" x14ac:dyDescent="0.25">
      <c r="A14" s="64"/>
      <c r="B14" s="65"/>
      <c r="C14" s="58" t="s">
        <v>56</v>
      </c>
      <c r="D14" s="66"/>
      <c r="E14" s="66">
        <v>46190</v>
      </c>
      <c r="F14" s="66">
        <v>46191</v>
      </c>
      <c r="G14" s="66">
        <v>46192</v>
      </c>
      <c r="H14" s="66">
        <v>46193</v>
      </c>
      <c r="I14" s="66">
        <v>46194</v>
      </c>
      <c r="J14" s="66">
        <v>46195</v>
      </c>
      <c r="K14" s="66">
        <v>46196</v>
      </c>
      <c r="L14" s="66">
        <v>46197</v>
      </c>
      <c r="M14" s="66">
        <v>46198</v>
      </c>
      <c r="N14" s="66">
        <v>46199</v>
      </c>
      <c r="O14" s="66">
        <v>46200</v>
      </c>
      <c r="P14" s="66">
        <v>46201</v>
      </c>
      <c r="Q14" s="66">
        <v>46202</v>
      </c>
      <c r="R14" s="66">
        <v>46203</v>
      </c>
      <c r="S14" s="66">
        <v>46204</v>
      </c>
      <c r="T14" s="66">
        <v>46205</v>
      </c>
      <c r="U14" s="66">
        <v>46206</v>
      </c>
      <c r="V14" s="66">
        <v>46207</v>
      </c>
      <c r="W14" s="66">
        <v>46208</v>
      </c>
      <c r="X14" s="66">
        <v>46209</v>
      </c>
      <c r="Y14" s="66">
        <v>46210</v>
      </c>
      <c r="Z14" s="66">
        <v>46211</v>
      </c>
      <c r="AA14" s="66">
        <v>46212</v>
      </c>
      <c r="AB14" s="66">
        <v>46213</v>
      </c>
      <c r="AC14" s="66">
        <v>46214</v>
      </c>
      <c r="AD14" s="66">
        <v>46215</v>
      </c>
      <c r="AE14" s="66">
        <v>46216</v>
      </c>
      <c r="AF14" s="66">
        <v>46217</v>
      </c>
      <c r="AG14" s="66">
        <v>46218</v>
      </c>
      <c r="AH14" s="66">
        <v>46219</v>
      </c>
      <c r="AI14" s="66">
        <v>46220</v>
      </c>
      <c r="AJ14" s="66">
        <v>46221</v>
      </c>
      <c r="AK14" s="66">
        <v>46222</v>
      </c>
      <c r="AL14" s="66">
        <v>46223</v>
      </c>
      <c r="AM14" s="66">
        <v>46224</v>
      </c>
      <c r="AN14" s="66">
        <v>46225</v>
      </c>
      <c r="AO14" s="66">
        <v>46226</v>
      </c>
      <c r="AP14" s="66">
        <v>46227</v>
      </c>
      <c r="AQ14" s="66">
        <v>46228</v>
      </c>
      <c r="AR14" s="66">
        <v>46229</v>
      </c>
      <c r="AS14" s="66">
        <v>46230</v>
      </c>
      <c r="AT14" s="66">
        <v>46231</v>
      </c>
      <c r="AU14" s="66">
        <v>46232</v>
      </c>
      <c r="AV14" s="66">
        <v>46233</v>
      </c>
      <c r="AW14" s="66">
        <v>46234</v>
      </c>
      <c r="AX14" s="66">
        <v>46235</v>
      </c>
      <c r="AY14" s="66">
        <v>46236</v>
      </c>
      <c r="AZ14" s="66">
        <v>46237</v>
      </c>
      <c r="BA14" s="66">
        <v>46238</v>
      </c>
      <c r="BB14" s="66">
        <v>46239</v>
      </c>
      <c r="BC14" s="66">
        <v>46240</v>
      </c>
      <c r="BD14" s="66">
        <v>46241</v>
      </c>
      <c r="BE14" s="66">
        <v>46242</v>
      </c>
      <c r="BF14" s="66">
        <v>46243</v>
      </c>
    </row>
    <row r="15" spans="1:58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F16" si="0">SUM(E17:E25)</f>
        <v>0</v>
      </c>
      <c r="F16" s="29">
        <f t="shared" si="0"/>
        <v>6868238.4459999995</v>
      </c>
      <c r="G16" s="29">
        <f t="shared" si="0"/>
        <v>1500000</v>
      </c>
      <c r="H16" s="135">
        <f t="shared" si="0"/>
        <v>0</v>
      </c>
      <c r="I16" s="135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135">
        <f t="shared" si="0"/>
        <v>0</v>
      </c>
      <c r="P16" s="135">
        <f t="shared" si="0"/>
        <v>0</v>
      </c>
      <c r="Q16" s="29">
        <f t="shared" si="0"/>
        <v>2000000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135">
        <f t="shared" si="0"/>
        <v>0</v>
      </c>
      <c r="W16" s="135">
        <f t="shared" si="0"/>
        <v>0</v>
      </c>
      <c r="X16" s="29">
        <f t="shared" si="0"/>
        <v>2000000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135">
        <f t="shared" si="0"/>
        <v>0</v>
      </c>
      <c r="AD16" s="135">
        <f t="shared" si="0"/>
        <v>0</v>
      </c>
      <c r="AE16" s="29">
        <f t="shared" si="0"/>
        <v>2000000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135">
        <f t="shared" si="0"/>
        <v>0</v>
      </c>
      <c r="AK16" s="135">
        <f t="shared" si="0"/>
        <v>0</v>
      </c>
      <c r="AL16" s="29">
        <f t="shared" si="0"/>
        <v>2000000</v>
      </c>
      <c r="AM16" s="29">
        <f t="shared" si="0"/>
        <v>0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135">
        <f t="shared" si="0"/>
        <v>0</v>
      </c>
      <c r="AR16" s="135">
        <f t="shared" si="0"/>
        <v>0</v>
      </c>
      <c r="AS16" s="29">
        <f t="shared" si="0"/>
        <v>4330985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135">
        <f t="shared" si="0"/>
        <v>0</v>
      </c>
      <c r="AY16" s="135">
        <f t="shared" si="0"/>
        <v>0</v>
      </c>
      <c r="AZ16" s="29">
        <f t="shared" si="0"/>
        <v>2980841.4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135">
        <f t="shared" si="0"/>
        <v>0</v>
      </c>
      <c r="BF16" s="135">
        <f t="shared" si="0"/>
        <v>0</v>
      </c>
    </row>
    <row r="17" spans="1:58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</row>
    <row r="18" spans="1:58" s="80" customFormat="1" x14ac:dyDescent="0.25">
      <c r="A18" s="40" t="s">
        <v>9</v>
      </c>
      <c r="B18" s="21"/>
      <c r="C18" s="59"/>
      <c r="D18" s="30"/>
      <c r="E18" s="30"/>
      <c r="F18" s="30">
        <v>1000000</v>
      </c>
      <c r="G18" s="30">
        <v>1500000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</row>
    <row r="19" spans="1:58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>
        <v>2000000</v>
      </c>
      <c r="R19" s="30"/>
      <c r="S19" s="30"/>
      <c r="T19" s="30"/>
      <c r="U19" s="30"/>
      <c r="V19" s="30"/>
      <c r="W19" s="30"/>
      <c r="X19" s="30">
        <v>2000000</v>
      </c>
      <c r="Y19" s="30"/>
      <c r="Z19" s="30"/>
      <c r="AA19" s="30"/>
      <c r="AB19" s="30"/>
      <c r="AC19" s="30"/>
      <c r="AD19" s="30"/>
      <c r="AE19" s="30">
        <v>2000000</v>
      </c>
      <c r="AF19" s="30"/>
      <c r="AG19" s="30"/>
      <c r="AH19" s="30"/>
      <c r="AI19" s="30"/>
      <c r="AJ19" s="30"/>
      <c r="AK19" s="30"/>
      <c r="AL19" s="30">
        <v>2000000</v>
      </c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</row>
    <row r="20" spans="1:58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Q20" s="30"/>
      <c r="AR20" s="30"/>
      <c r="AS20" s="30">
        <v>4330985</v>
      </c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</row>
    <row r="21" spans="1:58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</row>
    <row r="22" spans="1:58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</row>
    <row r="23" spans="1:58" s="80" customFormat="1" x14ac:dyDescent="0.25">
      <c r="A23" s="40" t="s">
        <v>11</v>
      </c>
      <c r="B23" s="21"/>
      <c r="C23" s="59"/>
      <c r="D23" s="30"/>
      <c r="E23" s="30"/>
      <c r="F23" s="30">
        <f>(96084-26000)*A3</f>
        <v>5868238.4459999995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</row>
    <row r="24" spans="1:58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R24" s="30"/>
      <c r="S24" s="30"/>
      <c r="T24" s="30"/>
      <c r="U24" s="30"/>
      <c r="V24" s="30"/>
      <c r="W24" s="30"/>
      <c r="X24" s="30"/>
      <c r="Y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165">
        <f>35600*A3</f>
        <v>2980841.4</v>
      </c>
      <c r="BA24" s="30"/>
      <c r="BB24" s="30"/>
      <c r="BC24" s="30"/>
      <c r="BD24" s="30"/>
      <c r="BE24" s="30"/>
      <c r="BF24" s="30"/>
    </row>
    <row r="25" spans="1:58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</row>
    <row r="26" spans="1:58" s="4" customFormat="1" x14ac:dyDescent="0.2">
      <c r="A26" s="41" t="s">
        <v>1</v>
      </c>
      <c r="B26" s="22"/>
      <c r="C26" s="34">
        <f>SUM(C28:C74)</f>
        <v>21239302.696520001</v>
      </c>
      <c r="D26" s="34"/>
      <c r="E26" s="34">
        <f t="shared" ref="E26:BF26" si="1">SUM(E27:E75)</f>
        <v>528570.39245090913</v>
      </c>
      <c r="F26" s="34">
        <f t="shared" si="1"/>
        <v>7083959.2184218187</v>
      </c>
      <c r="G26" s="34">
        <f t="shared" si="1"/>
        <v>1805538.57076</v>
      </c>
      <c r="H26" s="34">
        <f t="shared" si="1"/>
        <v>0</v>
      </c>
      <c r="I26" s="34">
        <f t="shared" si="1"/>
        <v>0</v>
      </c>
      <c r="J26" s="34">
        <f t="shared" si="1"/>
        <v>567616.88133333332</v>
      </c>
      <c r="K26" s="34">
        <f t="shared" si="1"/>
        <v>721258.46335999994</v>
      </c>
      <c r="L26" s="34">
        <f t="shared" si="1"/>
        <v>331961.87573333335</v>
      </c>
      <c r="M26" s="34">
        <f t="shared" si="1"/>
        <v>675923.31669333333</v>
      </c>
      <c r="N26" s="34">
        <f t="shared" si="1"/>
        <v>510395.51557333331</v>
      </c>
      <c r="O26" s="34">
        <f t="shared" si="1"/>
        <v>0</v>
      </c>
      <c r="P26" s="34">
        <f t="shared" si="1"/>
        <v>0</v>
      </c>
      <c r="Q26" s="34">
        <f t="shared" si="1"/>
        <v>345159.31669333333</v>
      </c>
      <c r="R26" s="34">
        <f t="shared" si="1"/>
        <v>3491111.5155733335</v>
      </c>
      <c r="S26" s="34">
        <f t="shared" si="1"/>
        <v>663775.94969333336</v>
      </c>
      <c r="T26" s="34">
        <f t="shared" si="1"/>
        <v>1211337.8610036364</v>
      </c>
      <c r="U26" s="34">
        <f t="shared" si="1"/>
        <v>944873.61818181816</v>
      </c>
      <c r="V26" s="34">
        <f t="shared" si="1"/>
        <v>0</v>
      </c>
      <c r="W26" s="34">
        <f t="shared" si="1"/>
        <v>694560</v>
      </c>
      <c r="X26" s="34">
        <f t="shared" si="1"/>
        <v>326701.89245090913</v>
      </c>
      <c r="Y26" s="34">
        <f t="shared" si="1"/>
        <v>840595.64314181823</v>
      </c>
      <c r="Z26" s="34">
        <f t="shared" si="1"/>
        <v>734346.58708363643</v>
      </c>
      <c r="AA26" s="34">
        <f t="shared" si="1"/>
        <v>510595.64314181823</v>
      </c>
      <c r="AB26" s="34">
        <f t="shared" si="1"/>
        <v>267319.96636363631</v>
      </c>
      <c r="AC26" s="34">
        <f t="shared" si="1"/>
        <v>0</v>
      </c>
      <c r="AD26" s="34">
        <f t="shared" si="1"/>
        <v>0</v>
      </c>
      <c r="AE26" s="34">
        <f t="shared" si="1"/>
        <v>2165526.8249599999</v>
      </c>
      <c r="AF26" s="34">
        <f t="shared" si="1"/>
        <v>376607.65978181816</v>
      </c>
      <c r="AG26" s="34">
        <f t="shared" si="1"/>
        <v>107956.33333333334</v>
      </c>
      <c r="AH26" s="34">
        <f t="shared" si="1"/>
        <v>212444.77876363636</v>
      </c>
      <c r="AI26" s="34">
        <f t="shared" si="1"/>
        <v>367714.77876363636</v>
      </c>
      <c r="AJ26" s="34">
        <f t="shared" si="1"/>
        <v>0</v>
      </c>
      <c r="AK26" s="34">
        <f t="shared" si="1"/>
        <v>0</v>
      </c>
      <c r="AL26" s="34">
        <f t="shared" si="1"/>
        <v>708529.77876363636</v>
      </c>
      <c r="AM26" s="34">
        <f t="shared" si="1"/>
        <v>172444.77876363636</v>
      </c>
      <c r="AN26" s="34">
        <f t="shared" si="1"/>
        <v>172444.77876363636</v>
      </c>
      <c r="AO26" s="34">
        <f t="shared" si="1"/>
        <v>0</v>
      </c>
      <c r="AP26" s="34">
        <f t="shared" si="1"/>
        <v>0</v>
      </c>
      <c r="AQ26" s="34">
        <f t="shared" si="1"/>
        <v>0</v>
      </c>
      <c r="AR26" s="34">
        <f t="shared" si="1"/>
        <v>0</v>
      </c>
      <c r="AS26" s="34">
        <f t="shared" si="1"/>
        <v>1600000</v>
      </c>
      <c r="AT26" s="34">
        <f t="shared" si="1"/>
        <v>0</v>
      </c>
      <c r="AU26" s="34">
        <f t="shared" si="1"/>
        <v>0</v>
      </c>
      <c r="AV26" s="34">
        <f t="shared" si="1"/>
        <v>0</v>
      </c>
      <c r="AW26" s="34">
        <f t="shared" si="1"/>
        <v>0</v>
      </c>
      <c r="AX26" s="34">
        <f t="shared" si="1"/>
        <v>0</v>
      </c>
      <c r="AY26" s="34">
        <f t="shared" si="1"/>
        <v>0</v>
      </c>
      <c r="AZ26" s="34">
        <f t="shared" si="1"/>
        <v>746062.9</v>
      </c>
      <c r="BA26" s="34">
        <f t="shared" si="1"/>
        <v>0</v>
      </c>
      <c r="BB26" s="34">
        <f t="shared" si="1"/>
        <v>0</v>
      </c>
      <c r="BC26" s="34">
        <f t="shared" si="1"/>
        <v>0</v>
      </c>
      <c r="BD26" s="34">
        <f t="shared" si="1"/>
        <v>0</v>
      </c>
      <c r="BE26" s="34">
        <f t="shared" si="1"/>
        <v>0</v>
      </c>
      <c r="BF26" s="34">
        <f t="shared" si="1"/>
        <v>0</v>
      </c>
    </row>
    <row r="27" spans="1:58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</row>
    <row r="28" spans="1:58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>
        <f>8399365/3</f>
        <v>2799788.3333333335</v>
      </c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90">
        <f>291375+137118</f>
        <v>428493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>
        <v>480520</v>
      </c>
      <c r="H32" s="24"/>
      <c r="I32" s="24"/>
      <c r="J32" s="24"/>
      <c r="K32" s="24"/>
      <c r="L32" s="24"/>
      <c r="M32" s="24">
        <v>350000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>
        <v>271506</v>
      </c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" customFormat="1" x14ac:dyDescent="0.2">
      <c r="A34" s="36" t="s">
        <v>54</v>
      </c>
      <c r="B34" s="23"/>
      <c r="C34" s="60"/>
      <c r="D34" s="24"/>
      <c r="E34" s="24"/>
      <c r="F34" s="24">
        <f>100113.9/2</f>
        <v>50056.95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>
        <v>200113.9</v>
      </c>
      <c r="U35" s="24">
        <v>40000</v>
      </c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>
        <v>200113.9</v>
      </c>
      <c r="BA35" s="24"/>
      <c r="BB35" s="24"/>
      <c r="BC35" s="24"/>
      <c r="BD35" s="24"/>
      <c r="BE35" s="24"/>
      <c r="BF35" s="24"/>
    </row>
    <row r="36" spans="1:58" s="1" customFormat="1" x14ac:dyDescent="0.2">
      <c r="A36" s="36" t="s">
        <v>53</v>
      </c>
      <c r="B36" s="23"/>
      <c r="C36" s="60"/>
      <c r="D36" s="24"/>
      <c r="E36" s="100">
        <f t="shared" ref="E36" si="2">545949/6</f>
        <v>90991.5</v>
      </c>
      <c r="F36" s="24">
        <v>140000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>
        <v>545949</v>
      </c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>
        <v>545949</v>
      </c>
      <c r="BA36" s="24"/>
      <c r="BB36" s="24"/>
      <c r="BC36" s="24"/>
      <c r="BD36" s="24"/>
      <c r="BE36" s="24"/>
      <c r="BF36" s="24"/>
    </row>
    <row r="37" spans="1:58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s="71" customFormat="1" x14ac:dyDescent="0.2">
      <c r="A38" s="69" t="s">
        <v>14</v>
      </c>
      <c r="B38" s="25" t="s">
        <v>30</v>
      </c>
      <c r="C38" s="70"/>
      <c r="D38" s="24"/>
      <c r="E38" s="28"/>
      <c r="F38" s="28"/>
      <c r="G38" s="100">
        <v>774474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</row>
    <row r="39" spans="1:58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100">
        <f>312320/10</f>
        <v>31232</v>
      </c>
      <c r="H39" s="24"/>
      <c r="I39" s="24"/>
      <c r="J39" s="108">
        <f>312320/10</f>
        <v>31232</v>
      </c>
      <c r="K39" s="24"/>
      <c r="L39" s="108">
        <f>312320/10</f>
        <v>31232</v>
      </c>
      <c r="M39" s="24"/>
      <c r="N39" s="108">
        <f>312320/10</f>
        <v>31232</v>
      </c>
      <c r="O39" s="24"/>
      <c r="P39" s="24"/>
      <c r="Q39" s="108">
        <v>124838</v>
      </c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</row>
    <row r="40" spans="1:58" s="71" customFormat="1" x14ac:dyDescent="0.2">
      <c r="A40" s="69" t="s">
        <v>117</v>
      </c>
      <c r="B40" s="25" t="s">
        <v>119</v>
      </c>
      <c r="C40" s="70">
        <f>475500-50000</f>
        <v>425500</v>
      </c>
      <c r="D40" s="24"/>
      <c r="E40" s="24"/>
      <c r="F40" s="108">
        <v>150000</v>
      </c>
      <c r="G40" s="108">
        <v>100000</v>
      </c>
      <c r="H40" s="24"/>
      <c r="I40" s="24"/>
      <c r="J40" s="24"/>
      <c r="K40" s="108">
        <v>100000</v>
      </c>
      <c r="L40" s="108">
        <v>75000</v>
      </c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</row>
    <row r="41" spans="1:58" s="71" customFormat="1" x14ac:dyDescent="0.2">
      <c r="A41" s="69" t="s">
        <v>97</v>
      </c>
      <c r="B41" s="25" t="s">
        <v>137</v>
      </c>
      <c r="C41" s="70"/>
      <c r="D41" s="24"/>
      <c r="E41" s="100">
        <v>140000</v>
      </c>
      <c r="F41" s="24"/>
      <c r="G41" s="28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100">
        <f>472500-142500</f>
        <v>330000</v>
      </c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</row>
    <row r="42" spans="1:58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1375000-500000-175000-50000-25000-25000-25000-50000-25000-50000-25000-25000-30000-25000-30000-25000-25000-15000-47500</f>
        <v>202500</v>
      </c>
      <c r="D42" s="24"/>
      <c r="E42" s="24"/>
      <c r="F42" s="129">
        <f>95000/2</f>
        <v>47500</v>
      </c>
      <c r="H42" s="24"/>
      <c r="I42" s="24"/>
      <c r="J42" s="129">
        <f>30000/2</f>
        <v>15000</v>
      </c>
      <c r="K42" s="129">
        <v>40000</v>
      </c>
      <c r="L42" s="129">
        <v>25000</v>
      </c>
      <c r="M42" s="129">
        <v>25000</v>
      </c>
      <c r="N42" s="129">
        <v>50000</v>
      </c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</row>
    <row r="43" spans="1:58" s="71" customFormat="1" x14ac:dyDescent="0.2">
      <c r="A43" s="69" t="s">
        <v>15</v>
      </c>
      <c r="B43" s="25" t="s">
        <v>31</v>
      </c>
      <c r="C43" s="70">
        <f>1547684-50000-50000</f>
        <v>1447684</v>
      </c>
      <c r="D43" s="24"/>
      <c r="E43" s="100">
        <v>50000</v>
      </c>
      <c r="F43" s="108">
        <f t="shared" ref="F43:AG43" si="3">516230/10</f>
        <v>51623</v>
      </c>
      <c r="G43" s="108">
        <f>516230/10</f>
        <v>51623</v>
      </c>
      <c r="H43" s="24"/>
      <c r="I43" s="24"/>
      <c r="J43" s="108">
        <f>516230/10</f>
        <v>51623</v>
      </c>
      <c r="K43" s="108">
        <f>516230/10+15224</f>
        <v>66847</v>
      </c>
      <c r="L43" s="108">
        <f t="shared" ref="L43" si="4">516230/10</f>
        <v>51623</v>
      </c>
      <c r="M43" s="108">
        <f t="shared" ref="M43" si="5">(515224/4)/3</f>
        <v>42935.333333333336</v>
      </c>
      <c r="N43" s="108">
        <f>516230/10</f>
        <v>51623</v>
      </c>
      <c r="O43" s="24"/>
      <c r="P43" s="24"/>
      <c r="R43" s="108">
        <f t="shared" ref="R43:U43" si="6">516230/10</f>
        <v>51623</v>
      </c>
      <c r="S43" s="108">
        <f t="shared" si="6"/>
        <v>51623</v>
      </c>
      <c r="T43" s="108">
        <f t="shared" si="6"/>
        <v>51623</v>
      </c>
      <c r="U43" s="108">
        <f t="shared" si="6"/>
        <v>51623</v>
      </c>
      <c r="V43" s="24"/>
      <c r="W43" s="24"/>
      <c r="X43" s="108">
        <f t="shared" ref="X43:AB43" si="7">516230/10</f>
        <v>51623</v>
      </c>
      <c r="Y43" s="108">
        <f t="shared" si="7"/>
        <v>51623</v>
      </c>
      <c r="Z43" s="108">
        <f t="shared" si="7"/>
        <v>51623</v>
      </c>
      <c r="AA43" s="108">
        <f t="shared" si="7"/>
        <v>51623</v>
      </c>
      <c r="AB43" s="108">
        <f t="shared" si="7"/>
        <v>51623</v>
      </c>
      <c r="AC43" s="24"/>
      <c r="AD43" s="24"/>
      <c r="AE43" s="100">
        <v>516230</v>
      </c>
      <c r="AF43" s="108">
        <f>516230/10</f>
        <v>51623</v>
      </c>
      <c r="AG43" s="108">
        <f t="shared" si="3"/>
        <v>51623</v>
      </c>
      <c r="AH43" s="24"/>
      <c r="AI43" s="98">
        <f>515224/4+54464</f>
        <v>183270</v>
      </c>
      <c r="AJ43" s="24"/>
      <c r="AK43" s="24"/>
      <c r="AL43" s="100">
        <v>536085</v>
      </c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</row>
    <row r="44" spans="1:58" s="71" customFormat="1" x14ac:dyDescent="0.2">
      <c r="A44" s="69" t="s">
        <v>85</v>
      </c>
      <c r="B44" s="25" t="s">
        <v>47</v>
      </c>
      <c r="C44" s="70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00">
        <f>2997.5*A6</f>
        <v>216236.05300000001</v>
      </c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</row>
    <row r="45" spans="1:58" s="71" customFormat="1" x14ac:dyDescent="0.2">
      <c r="A45" s="69" t="s">
        <v>143</v>
      </c>
      <c r="B45" s="25" t="s">
        <v>45</v>
      </c>
      <c r="C45" s="24">
        <f>188496*A9</f>
        <v>2009819.7504</v>
      </c>
      <c r="D45" s="24"/>
      <c r="E45" s="100">
        <f t="shared" ref="E45:X45" si="8">(188496*$A$9)/15</f>
        <v>133987.98336000001</v>
      </c>
      <c r="F45" s="108">
        <f t="shared" si="8"/>
        <v>133987.98336000001</v>
      </c>
      <c r="G45" s="24"/>
      <c r="H45" s="24"/>
      <c r="I45" s="24"/>
      <c r="K45" s="108">
        <f t="shared" ref="K45:Y45" si="9">(188496*$A$9)/15</f>
        <v>133987.98336000001</v>
      </c>
      <c r="M45" s="108">
        <f t="shared" si="9"/>
        <v>133987.98336000001</v>
      </c>
      <c r="N45" s="108">
        <f t="shared" si="9"/>
        <v>133987.98336000001</v>
      </c>
      <c r="O45" s="24"/>
      <c r="P45" s="24"/>
      <c r="Q45" s="108">
        <f>(188496*$A$9)/15</f>
        <v>133987.98336000001</v>
      </c>
      <c r="R45" s="108">
        <f t="shared" ref="R45:T45" si="10">(188496*$A$9)/15</f>
        <v>133987.98336000001</v>
      </c>
      <c r="S45" s="108">
        <f t="shared" si="10"/>
        <v>133987.98336000001</v>
      </c>
      <c r="T45" s="108">
        <f t="shared" si="10"/>
        <v>133987.98336000001</v>
      </c>
      <c r="U45" s="28"/>
      <c r="V45" s="24"/>
      <c r="W45" s="24"/>
      <c r="X45" s="108">
        <f t="shared" si="8"/>
        <v>133987.98336000001</v>
      </c>
      <c r="Y45" s="108">
        <f t="shared" si="9"/>
        <v>133987.98336000001</v>
      </c>
      <c r="Z45" s="108">
        <f>((188496*$A$9)/15)*2</f>
        <v>267975.96672000003</v>
      </c>
      <c r="AA45" s="108">
        <f>(188496*$A$9)/15</f>
        <v>133987.98336000001</v>
      </c>
      <c r="AB45" s="24"/>
      <c r="AC45" s="24"/>
      <c r="AD45" s="24"/>
      <c r="AE45" s="108">
        <f>(188496*$A$9)/15</f>
        <v>133987.98336000001</v>
      </c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</row>
    <row r="46" spans="1:58" s="71" customFormat="1" x14ac:dyDescent="0.2">
      <c r="A46" s="69" t="s">
        <v>120</v>
      </c>
      <c r="B46" s="25" t="s">
        <v>121</v>
      </c>
      <c r="C46" s="120">
        <f>507000+1014000-47000-56000-45000-50000-90000</f>
        <v>1233000</v>
      </c>
      <c r="D46" s="24"/>
      <c r="F46" s="108">
        <f t="shared" ref="F46:AF46" si="11">1014000/11</f>
        <v>92181.818181818177</v>
      </c>
      <c r="G46" s="24"/>
      <c r="H46" s="24"/>
      <c r="I46" s="24"/>
      <c r="J46" s="108">
        <f>507000/9</f>
        <v>56333.333333333336</v>
      </c>
      <c r="K46" s="24"/>
      <c r="L46" s="108">
        <f t="shared" ref="L46:N46" si="12">507000/9</f>
        <v>56333.333333333336</v>
      </c>
      <c r="M46" s="24"/>
      <c r="N46" s="108">
        <f t="shared" si="12"/>
        <v>56333.333333333336</v>
      </c>
      <c r="O46" s="24"/>
      <c r="P46" s="24"/>
      <c r="Q46" s="108">
        <f t="shared" ref="Q46:AG46" si="13">507000/9</f>
        <v>56333.333333333336</v>
      </c>
      <c r="S46" s="108">
        <f t="shared" si="13"/>
        <v>56333.333333333336</v>
      </c>
      <c r="T46" s="108">
        <f>(1014000/11+88393.5*$A$9)/6</f>
        <v>172444.77876363636</v>
      </c>
      <c r="U46" s="108">
        <f t="shared" ref="U46:Y46" si="14">1014000/11</f>
        <v>92181.818181818177</v>
      </c>
      <c r="V46" s="24"/>
      <c r="W46" s="100">
        <v>682560</v>
      </c>
      <c r="X46" s="108">
        <f>(1014000/11)/2</f>
        <v>46090.909090909088</v>
      </c>
      <c r="Y46" s="108">
        <f t="shared" si="14"/>
        <v>92181.818181818177</v>
      </c>
      <c r="Z46" s="108">
        <f>(1014000/11+88393.5*$A$9)/6</f>
        <v>172444.77876363636</v>
      </c>
      <c r="AA46" s="108">
        <f t="shared" si="11"/>
        <v>92181.818181818177</v>
      </c>
      <c r="AB46" s="108">
        <f>(1014000/11)*2+9333.33</f>
        <v>193696.96636363634</v>
      </c>
      <c r="AC46" s="24"/>
      <c r="AD46" s="24"/>
      <c r="AE46" s="108">
        <v>991000</v>
      </c>
      <c r="AF46" s="108">
        <f t="shared" si="11"/>
        <v>92181.818181818177</v>
      </c>
      <c r="AG46" s="108">
        <f t="shared" si="13"/>
        <v>56333.333333333336</v>
      </c>
      <c r="AH46" s="108">
        <f>(1014000/11+88393.5*$A$9)/6</f>
        <v>172444.77876363636</v>
      </c>
      <c r="AI46" s="108">
        <f>(1014000/11+88393.5*$A$9)/6</f>
        <v>172444.77876363636</v>
      </c>
      <c r="AJ46" s="24"/>
      <c r="AK46" s="24"/>
      <c r="AL46" s="108">
        <f>(1014000/11+88393.5*$A$9)/6</f>
        <v>172444.77876363636</v>
      </c>
      <c r="AM46" s="108">
        <f>(1014000/11+88393.5*$A$9)/6</f>
        <v>172444.77876363636</v>
      </c>
      <c r="AN46" s="108">
        <f>(1014000/11+88393.5*$A$9)/6</f>
        <v>172444.77876363636</v>
      </c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</row>
    <row r="47" spans="1:58" s="73" customFormat="1" x14ac:dyDescent="0.2">
      <c r="A47" s="69" t="s">
        <v>22</v>
      </c>
      <c r="B47" s="25" t="s">
        <v>48</v>
      </c>
      <c r="C47" s="137"/>
      <c r="D47" s="72"/>
      <c r="E47" s="100">
        <f>(1014000/11)/2</f>
        <v>46090.909090909088</v>
      </c>
      <c r="F47" s="160">
        <f t="shared" ref="F47:T47" si="15">(52206*$A$9+2988*$A$6)/10</f>
        <v>77219.198879999996</v>
      </c>
      <c r="G47" s="160">
        <f>((52206*$A$9+2988*$A$6)/10)*2</f>
        <v>154438.39775999999</v>
      </c>
      <c r="H47" s="72"/>
      <c r="I47" s="72"/>
      <c r="K47" s="72"/>
      <c r="L47" s="160">
        <f>(52206*$A$9)/6</f>
        <v>92773.542399999991</v>
      </c>
      <c r="M47" s="72"/>
      <c r="N47" s="160">
        <f>(52206*$A$9+2988*$A$6)/10</f>
        <v>77219.198879999996</v>
      </c>
      <c r="O47" s="72"/>
      <c r="P47" s="72"/>
      <c r="Q47" s="72"/>
      <c r="R47" s="160">
        <f t="shared" ref="R47" si="16">(52206*$A$9+2988*$A$6)/10</f>
        <v>77219.198879999996</v>
      </c>
      <c r="T47" s="160">
        <f t="shared" si="15"/>
        <v>77219.198879999996</v>
      </c>
      <c r="U47" s="166">
        <f>62000*$A$9</f>
        <v>661068.80000000005</v>
      </c>
      <c r="V47" s="72"/>
      <c r="W47" s="72"/>
      <c r="Y47" s="160">
        <f>(109170*$A$9)/5</f>
        <v>232802.84160000001</v>
      </c>
      <c r="Z47" s="160">
        <f t="shared" ref="Z47:AA47" si="17">(109170*$A$9)/5</f>
        <v>232802.84160000001</v>
      </c>
      <c r="AA47" s="160">
        <f t="shared" si="17"/>
        <v>232802.84160000001</v>
      </c>
      <c r="AB47" s="72"/>
      <c r="AC47" s="72"/>
      <c r="AD47" s="72"/>
      <c r="AE47" s="160">
        <f t="shared" ref="AE47:AF47" si="18">(109170*$A$9)/5</f>
        <v>232802.84160000001</v>
      </c>
      <c r="AF47" s="160">
        <f t="shared" si="18"/>
        <v>232802.84160000001</v>
      </c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</row>
    <row r="48" spans="1:58" s="73" customFormat="1" x14ac:dyDescent="0.2">
      <c r="A48" s="69" t="s">
        <v>108</v>
      </c>
      <c r="B48" s="25" t="s">
        <v>109</v>
      </c>
      <c r="C48" s="120"/>
      <c r="D48" s="72"/>
      <c r="E48" s="72"/>
      <c r="F48" s="72"/>
      <c r="G48" s="138">
        <f>50531.25/2</f>
        <v>25265.625</v>
      </c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</row>
    <row r="49" spans="1:58" s="71" customFormat="1" x14ac:dyDescent="0.2">
      <c r="A49" s="69" t="s">
        <v>36</v>
      </c>
      <c r="B49" s="25" t="s">
        <v>37</v>
      </c>
      <c r="C49" s="130"/>
      <c r="D49" s="24"/>
      <c r="E49" s="24"/>
      <c r="F49" s="24"/>
      <c r="H49" s="24"/>
      <c r="I49" s="24"/>
      <c r="J49" s="24"/>
      <c r="K49" s="100">
        <v>350422.5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</row>
    <row r="50" spans="1:58" s="71" customFormat="1" x14ac:dyDescent="0.2">
      <c r="A50" s="69" t="s">
        <v>86</v>
      </c>
      <c r="B50" s="25" t="s">
        <v>35</v>
      </c>
      <c r="C50" s="70"/>
      <c r="D50" s="77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100">
        <f>2850*A6</f>
        <v>205595.58000000002</v>
      </c>
      <c r="T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</row>
    <row r="51" spans="1:58" s="71" customFormat="1" x14ac:dyDescent="0.2">
      <c r="A51" s="69" t="s">
        <v>29</v>
      </c>
      <c r="B51" s="25" t="s">
        <v>43</v>
      </c>
      <c r="C51" s="70">
        <f>439750-19750-25000-25000-25000-20000-20000-25000</f>
        <v>280000</v>
      </c>
      <c r="D51" s="24"/>
      <c r="E51" s="24"/>
      <c r="F51" s="95">
        <v>50000</v>
      </c>
      <c r="H51" s="24"/>
      <c r="I51" s="24"/>
      <c r="J51" s="95">
        <v>35000</v>
      </c>
      <c r="K51" s="24"/>
      <c r="L51" s="24"/>
      <c r="M51" s="24"/>
      <c r="O51" s="24"/>
      <c r="P51" s="24"/>
      <c r="Q51" s="24"/>
      <c r="R51" s="24"/>
      <c r="S51" s="24"/>
      <c r="T51" s="24"/>
      <c r="U51" s="95">
        <v>100000</v>
      </c>
      <c r="V51" s="24"/>
      <c r="W51" s="24"/>
      <c r="X51" s="95">
        <v>95000</v>
      </c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</row>
    <row r="52" spans="1:58" s="71" customFormat="1" x14ac:dyDescent="0.2">
      <c r="A52" s="69" t="s">
        <v>141</v>
      </c>
      <c r="B52" s="25" t="s">
        <v>142</v>
      </c>
      <c r="C52" s="70"/>
      <c r="D52" s="24"/>
      <c r="E52" s="24"/>
      <c r="F52" s="100">
        <v>55053.72</v>
      </c>
      <c r="G52" s="28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8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</row>
    <row r="53" spans="1:58" s="71" customFormat="1" x14ac:dyDescent="0.2">
      <c r="A53" s="69" t="s">
        <v>159</v>
      </c>
      <c r="B53" s="25" t="s">
        <v>160</v>
      </c>
      <c r="C53" s="70"/>
      <c r="D53" s="24"/>
      <c r="E53" s="24"/>
      <c r="F53" s="24"/>
      <c r="G53" s="24"/>
      <c r="H53" s="24"/>
      <c r="I53" s="24"/>
      <c r="J53" s="24"/>
      <c r="K53" s="100">
        <v>28476.98</v>
      </c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</row>
    <row r="54" spans="1:58" s="71" customFormat="1" x14ac:dyDescent="0.2">
      <c r="A54" s="69" t="s">
        <v>124</v>
      </c>
      <c r="B54" s="25" t="s">
        <v>125</v>
      </c>
      <c r="C54" s="70"/>
      <c r="D54" s="24"/>
      <c r="E54" s="24"/>
      <c r="F54" s="24"/>
      <c r="G54" s="24"/>
      <c r="H54" s="24"/>
      <c r="I54" s="24"/>
      <c r="J54" s="100">
        <v>203210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</row>
    <row r="55" spans="1:58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24"/>
      <c r="K55" s="100">
        <v>1524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</row>
    <row r="56" spans="1:58" s="71" customFormat="1" x14ac:dyDescent="0.2">
      <c r="A56" s="69" t="s">
        <v>90</v>
      </c>
      <c r="B56" s="25" t="s">
        <v>91</v>
      </c>
      <c r="C56" s="70">
        <f>912000+1012000-100000-100000-75000-75000-75000-75000-75000-75000-75000-75000-75000-75000-75000-75000</f>
        <v>824000</v>
      </c>
      <c r="D56" s="77"/>
      <c r="E56" s="28"/>
      <c r="F56" s="129">
        <v>100000</v>
      </c>
      <c r="G56" s="129">
        <v>100000</v>
      </c>
      <c r="H56" s="24"/>
      <c r="I56" s="24"/>
      <c r="J56" s="129">
        <v>100000</v>
      </c>
      <c r="K56" s="24"/>
      <c r="M56" s="129">
        <v>124000</v>
      </c>
      <c r="N56" s="129">
        <v>100000</v>
      </c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</row>
    <row r="57" spans="1:58" s="71" customFormat="1" x14ac:dyDescent="0.2">
      <c r="A57" s="69" t="s">
        <v>138</v>
      </c>
      <c r="B57" s="25" t="s">
        <v>136</v>
      </c>
      <c r="C57" s="70"/>
      <c r="D57" s="77"/>
      <c r="E57" s="24"/>
      <c r="F57" s="100">
        <f t="shared" ref="F57:J57" si="19">(4260*$A$6)/6</f>
        <v>51218.548000000003</v>
      </c>
      <c r="G57" s="100">
        <f t="shared" si="19"/>
        <v>51218.548000000003</v>
      </c>
      <c r="H57" s="24"/>
      <c r="I57" s="24"/>
      <c r="J57" s="100">
        <f t="shared" si="19"/>
        <v>51218.548000000003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</row>
    <row r="58" spans="1:58" s="71" customFormat="1" x14ac:dyDescent="0.2">
      <c r="A58" s="69" t="s">
        <v>156</v>
      </c>
      <c r="B58" s="25" t="s">
        <v>157</v>
      </c>
      <c r="C58" s="70"/>
      <c r="D58" s="77"/>
      <c r="E58" s="100">
        <v>52500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</row>
    <row r="59" spans="1:58" s="71" customFormat="1" ht="12.75" customHeight="1" x14ac:dyDescent="0.2">
      <c r="A59" s="151" t="s">
        <v>139</v>
      </c>
      <c r="B59" s="152" t="s">
        <v>114</v>
      </c>
      <c r="C59" s="70"/>
      <c r="D59" s="77"/>
      <c r="E59" s="28"/>
      <c r="F59" s="28"/>
      <c r="G59" s="28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</row>
    <row r="60" spans="1:58" s="71" customFormat="1" x14ac:dyDescent="0.2">
      <c r="A60" s="69" t="s">
        <v>128</v>
      </c>
      <c r="B60" s="25" t="s">
        <v>129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</row>
    <row r="61" spans="1:58" s="71" customFormat="1" x14ac:dyDescent="0.2">
      <c r="A61" s="69" t="s">
        <v>101</v>
      </c>
      <c r="B61" s="25" t="s">
        <v>130</v>
      </c>
      <c r="C61" s="70">
        <v>37500</v>
      </c>
      <c r="D61" s="77"/>
      <c r="E61" s="24"/>
      <c r="F61" s="108">
        <f>100000/4</f>
        <v>25000</v>
      </c>
      <c r="G61" s="108">
        <f>25000/2</f>
        <v>12500</v>
      </c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</row>
    <row r="62" spans="1:58" s="71" customFormat="1" x14ac:dyDescent="0.2">
      <c r="A62" s="69" t="s">
        <v>154</v>
      </c>
      <c r="B62" s="25" t="s">
        <v>153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</row>
    <row r="63" spans="1:58" s="71" customFormat="1" x14ac:dyDescent="0.2">
      <c r="A63" s="69" t="s">
        <v>158</v>
      </c>
      <c r="B63" s="25"/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</row>
    <row r="64" spans="1:58" s="71" customFormat="1" x14ac:dyDescent="0.2">
      <c r="A64" s="69" t="s">
        <v>38</v>
      </c>
      <c r="B64" s="25" t="s">
        <v>39</v>
      </c>
      <c r="C64" s="70"/>
      <c r="D64" s="24"/>
      <c r="E64" s="24"/>
      <c r="F64" s="100">
        <v>8400</v>
      </c>
      <c r="G64" s="100">
        <v>12600</v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</row>
    <row r="65" spans="1:58" s="71" customFormat="1" x14ac:dyDescent="0.2">
      <c r="A65" s="69" t="s">
        <v>74</v>
      </c>
      <c r="B65" s="25" t="s">
        <v>131</v>
      </c>
      <c r="C65" s="70"/>
      <c r="D65" s="24"/>
      <c r="E65" s="100">
        <v>15000</v>
      </c>
      <c r="F65" s="100">
        <f>80000/2</f>
        <v>40000</v>
      </c>
      <c r="G65" s="100">
        <v>11667</v>
      </c>
      <c r="H65" s="24"/>
      <c r="I65" s="24"/>
      <c r="J65" s="100">
        <f>7500+16500</f>
        <v>24000</v>
      </c>
      <c r="K65" s="24"/>
      <c r="M65" s="24"/>
      <c r="N65" s="100">
        <v>10000</v>
      </c>
      <c r="O65" s="24"/>
      <c r="P65" s="24"/>
      <c r="Q65" s="100">
        <v>30000</v>
      </c>
      <c r="R65" s="24"/>
      <c r="S65" s="24"/>
      <c r="T65" s="100">
        <v>30000</v>
      </c>
      <c r="U65" s="24"/>
      <c r="V65" s="24"/>
      <c r="W65" s="100">
        <v>12000</v>
      </c>
      <c r="X65" s="24"/>
      <c r="Y65" s="24"/>
      <c r="Z65" s="100">
        <v>9500</v>
      </c>
      <c r="AA65" s="24"/>
      <c r="AB65" s="100">
        <v>22000</v>
      </c>
      <c r="AC65" s="24"/>
      <c r="AD65" s="24"/>
      <c r="AE65" s="100">
        <v>20000</v>
      </c>
      <c r="AF65" s="24"/>
      <c r="AG65" s="24"/>
      <c r="AH65" s="143">
        <v>40000</v>
      </c>
      <c r="AI65" s="143">
        <v>12000</v>
      </c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</row>
    <row r="66" spans="1:58" s="71" customFormat="1" x14ac:dyDescent="0.2">
      <c r="A66" s="69" t="s">
        <v>74</v>
      </c>
      <c r="B66" s="25" t="s">
        <v>150</v>
      </c>
      <c r="C66" s="164">
        <v>3567700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</row>
    <row r="67" spans="1:58" s="73" customForma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</row>
    <row r="68" spans="1:58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</row>
    <row r="69" spans="1:58" s="5" customFormat="1" x14ac:dyDescent="0.2">
      <c r="A69" s="42"/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</row>
    <row r="70" spans="1:58" s="5" customFormat="1" x14ac:dyDescent="0.2">
      <c r="A70" s="36" t="s">
        <v>49</v>
      </c>
      <c r="B70" s="12"/>
      <c r="C70" s="13"/>
      <c r="D70" s="26"/>
      <c r="E70" s="13"/>
      <c r="F70" s="13">
        <f>1400000+7400*A3</f>
        <v>2019613.1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</row>
    <row r="71" spans="1:58" s="5" customFormat="1" x14ac:dyDescent="0.2">
      <c r="A71" s="36" t="s">
        <v>57</v>
      </c>
      <c r="B71" s="12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Q71" s="13"/>
      <c r="AR71" s="13"/>
      <c r="AS71" s="168">
        <v>1600000</v>
      </c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</row>
    <row r="72" spans="1:58" s="5" customFormat="1" x14ac:dyDescent="0.2">
      <c r="A72" s="36" t="s">
        <v>61</v>
      </c>
      <c r="B72" s="12"/>
      <c r="C72" s="13">
        <v>112000</v>
      </c>
      <c r="D72" s="26"/>
      <c r="E72" s="13"/>
      <c r="F72" s="13">
        <f>4600*$A$3</f>
        <v>385164.89999999997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</row>
    <row r="73" spans="1:58" s="5" customFormat="1" x14ac:dyDescent="0.2">
      <c r="A73" s="42" t="s">
        <v>151</v>
      </c>
      <c r="B73" s="12"/>
      <c r="C73" s="68">
        <f>(10000*10)*A6</f>
        <v>7213880</v>
      </c>
      <c r="D73" s="26"/>
      <c r="E73" s="13"/>
      <c r="F73" s="126">
        <f>C73/2</f>
        <v>3606940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</row>
    <row r="74" spans="1:58" s="5" customFormat="1" x14ac:dyDescent="0.2">
      <c r="A74" s="36" t="s">
        <v>72</v>
      </c>
      <c r="B74" s="27" t="s">
        <v>73</v>
      </c>
      <c r="C74" s="62">
        <v>3637079.2460000003</v>
      </c>
      <c r="D74" s="35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</row>
    <row r="75" spans="1:58" s="5" customFormat="1" x14ac:dyDescent="0.2">
      <c r="A75" s="42"/>
      <c r="B75" s="12"/>
      <c r="C75" s="61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</row>
    <row r="76" spans="1:58" s="84" customFormat="1" x14ac:dyDescent="0.2">
      <c r="A76" s="81" t="s">
        <v>66</v>
      </c>
      <c r="B76" s="82"/>
      <c r="C76" s="63"/>
      <c r="D76" s="83"/>
      <c r="E76" s="83">
        <f>$C$5+E16-E26</f>
        <v>5133801.1275490914</v>
      </c>
      <c r="F76" s="83">
        <f t="shared" ref="F76:BF76" si="20">E76+F16-F26</f>
        <v>4918080.3551272731</v>
      </c>
      <c r="G76" s="83">
        <f t="shared" si="20"/>
        <v>4612541.7843672726</v>
      </c>
      <c r="H76" s="83">
        <f t="shared" si="20"/>
        <v>4612541.7843672726</v>
      </c>
      <c r="I76" s="83">
        <f t="shared" si="20"/>
        <v>4612541.7843672726</v>
      </c>
      <c r="J76" s="83">
        <f t="shared" si="20"/>
        <v>4044924.9030339392</v>
      </c>
      <c r="K76" s="83">
        <f t="shared" si="20"/>
        <v>3323666.4396739393</v>
      </c>
      <c r="L76" s="83">
        <f t="shared" si="20"/>
        <v>2991704.5639406061</v>
      </c>
      <c r="M76" s="83">
        <f t="shared" si="20"/>
        <v>2315781.2472472726</v>
      </c>
      <c r="N76" s="83">
        <f t="shared" si="20"/>
        <v>1805385.7316739394</v>
      </c>
      <c r="O76" s="83">
        <f t="shared" si="20"/>
        <v>1805385.7316739394</v>
      </c>
      <c r="P76" s="83">
        <f t="shared" si="20"/>
        <v>1805385.7316739394</v>
      </c>
      <c r="Q76" s="83">
        <f t="shared" si="20"/>
        <v>3460226.4149806057</v>
      </c>
      <c r="R76" s="83">
        <f t="shared" si="20"/>
        <v>-30885.100592727773</v>
      </c>
      <c r="S76" s="83">
        <f t="shared" si="20"/>
        <v>-694661.05028606113</v>
      </c>
      <c r="T76" s="83">
        <f t="shared" si="20"/>
        <v>-1905998.9112896975</v>
      </c>
      <c r="U76" s="83">
        <f t="shared" si="20"/>
        <v>-2850872.5294715157</v>
      </c>
      <c r="V76" s="83">
        <f t="shared" si="20"/>
        <v>-2850872.5294715157</v>
      </c>
      <c r="W76" s="83">
        <f t="shared" si="20"/>
        <v>-3545432.5294715157</v>
      </c>
      <c r="X76" s="83">
        <f t="shared" si="20"/>
        <v>-1872134.4219224248</v>
      </c>
      <c r="Y76" s="83">
        <f t="shared" si="20"/>
        <v>-2712730.065064243</v>
      </c>
      <c r="Z76" s="83">
        <f t="shared" si="20"/>
        <v>-3447076.6521478794</v>
      </c>
      <c r="AA76" s="83">
        <f t="shared" si="20"/>
        <v>-3957672.2952896976</v>
      </c>
      <c r="AB76" s="83">
        <f t="shared" si="20"/>
        <v>-4224992.2616533339</v>
      </c>
      <c r="AC76" s="83">
        <f t="shared" si="20"/>
        <v>-4224992.2616533339</v>
      </c>
      <c r="AD76" s="83">
        <f t="shared" si="20"/>
        <v>-4224992.2616533339</v>
      </c>
      <c r="AE76" s="83">
        <f t="shared" si="20"/>
        <v>-4390519.0866133338</v>
      </c>
      <c r="AF76" s="83">
        <f t="shared" si="20"/>
        <v>-4767126.7463951521</v>
      </c>
      <c r="AG76" s="83">
        <f t="shared" si="20"/>
        <v>-4875083.0797284851</v>
      </c>
      <c r="AH76" s="83">
        <f t="shared" si="20"/>
        <v>-5087527.8584921211</v>
      </c>
      <c r="AI76" s="83">
        <f t="shared" si="20"/>
        <v>-5455242.6372557571</v>
      </c>
      <c r="AJ76" s="83">
        <f t="shared" si="20"/>
        <v>-5455242.6372557571</v>
      </c>
      <c r="AK76" s="83">
        <f t="shared" si="20"/>
        <v>-5455242.6372557571</v>
      </c>
      <c r="AL76" s="83">
        <f t="shared" si="20"/>
        <v>-4163772.4160193936</v>
      </c>
      <c r="AM76" s="83">
        <f t="shared" si="20"/>
        <v>-4336217.1947830301</v>
      </c>
      <c r="AN76" s="83">
        <f t="shared" si="20"/>
        <v>-4508661.9735466661</v>
      </c>
      <c r="AO76" s="83">
        <f t="shared" si="20"/>
        <v>-4508661.9735466661</v>
      </c>
      <c r="AP76" s="83">
        <f t="shared" si="20"/>
        <v>-4508661.9735466661</v>
      </c>
      <c r="AQ76" s="83">
        <f t="shared" si="20"/>
        <v>-4508661.9735466661</v>
      </c>
      <c r="AR76" s="83">
        <f t="shared" si="20"/>
        <v>-4508661.9735466661</v>
      </c>
      <c r="AS76" s="83">
        <f t="shared" si="20"/>
        <v>-1777676.9735466661</v>
      </c>
      <c r="AT76" s="83">
        <f t="shared" si="20"/>
        <v>-1777676.9735466661</v>
      </c>
      <c r="AU76" s="83">
        <f t="shared" si="20"/>
        <v>-1777676.9735466661</v>
      </c>
      <c r="AV76" s="83">
        <f t="shared" si="20"/>
        <v>-1777676.9735466661</v>
      </c>
      <c r="AW76" s="83">
        <f t="shared" si="20"/>
        <v>-1777676.9735466661</v>
      </c>
      <c r="AX76" s="83">
        <f t="shared" si="20"/>
        <v>-1777676.9735466661</v>
      </c>
      <c r="AY76" s="83">
        <f t="shared" si="20"/>
        <v>-1777676.9735466661</v>
      </c>
      <c r="AZ76" s="83">
        <f t="shared" si="20"/>
        <v>457101.52645333379</v>
      </c>
      <c r="BA76" s="83">
        <f t="shared" si="20"/>
        <v>457101.52645333379</v>
      </c>
      <c r="BB76" s="83">
        <f t="shared" si="20"/>
        <v>457101.52645333379</v>
      </c>
      <c r="BC76" s="83">
        <f t="shared" si="20"/>
        <v>457101.52645333379</v>
      </c>
      <c r="BD76" s="83">
        <f t="shared" si="20"/>
        <v>457101.52645333379</v>
      </c>
      <c r="BE76" s="83">
        <f t="shared" si="20"/>
        <v>457101.52645333379</v>
      </c>
      <c r="BF76" s="83">
        <f t="shared" si="20"/>
        <v>457101.52645333379</v>
      </c>
    </row>
    <row r="78" spans="1:58" s="5" customFormat="1" x14ac:dyDescent="0.2">
      <c r="A78" s="42"/>
      <c r="B78" s="12"/>
      <c r="C78" s="68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</row>
    <row r="79" spans="1:58" s="89" customFormat="1" x14ac:dyDescent="0.2">
      <c r="A79" s="85" t="s">
        <v>65</v>
      </c>
      <c r="B79" s="86"/>
      <c r="C79" s="87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</row>
    <row r="80" spans="1:58" s="5" customFormat="1" ht="22.5" x14ac:dyDescent="0.2">
      <c r="A80" s="36" t="s">
        <v>67</v>
      </c>
      <c r="B80" s="27" t="s">
        <v>68</v>
      </c>
      <c r="C80" s="68">
        <v>3221210.79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</row>
    <row r="81" spans="1:58" s="5" customFormat="1" x14ac:dyDescent="0.2">
      <c r="A81" s="36" t="s">
        <v>69</v>
      </c>
      <c r="B81" s="27" t="s">
        <v>70</v>
      </c>
      <c r="C81" s="68">
        <v>9814338.4000000004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</row>
    <row r="82" spans="1:58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</row>
    <row r="83" spans="1:58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</row>
    <row r="85" spans="1:58" x14ac:dyDescent="0.25">
      <c r="B85" s="14"/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G85"/>
  <sheetViews>
    <sheetView topLeftCell="A13" workbookViewId="0">
      <selection activeCell="J3" sqref="J3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6" width="11.85546875" style="3" customWidth="1"/>
    <col min="7" max="7" width="13" style="3" customWidth="1"/>
    <col min="8" max="8" width="12.28515625" style="3" customWidth="1"/>
    <col min="9" max="9" width="12.140625" style="3" customWidth="1"/>
    <col min="10" max="10" width="11.140625" style="3" customWidth="1"/>
    <col min="11" max="11" width="12.7109375" style="3" customWidth="1"/>
    <col min="12" max="12" width="11.140625" style="3" customWidth="1"/>
    <col min="13" max="13" width="11.7109375" style="3" customWidth="1"/>
    <col min="14" max="14" width="11.5703125" style="3" customWidth="1"/>
    <col min="15" max="16" width="10.85546875" style="3" customWidth="1"/>
    <col min="17" max="17" width="12.85546875" style="3" customWidth="1"/>
    <col min="18" max="18" width="12" style="3" customWidth="1"/>
    <col min="19" max="19" width="11.140625" style="3" customWidth="1"/>
    <col min="20" max="20" width="12.7109375" style="3" customWidth="1"/>
    <col min="21" max="21" width="11.42578125" style="3" customWidth="1"/>
    <col min="22" max="22" width="11.7109375" style="3" customWidth="1"/>
    <col min="23" max="23" width="10.5703125" style="3" customWidth="1"/>
    <col min="24" max="24" width="12" style="3" customWidth="1"/>
    <col min="25" max="25" width="11.140625" style="3" customWidth="1"/>
    <col min="26" max="26" width="10.42578125" style="3" customWidth="1"/>
    <col min="27" max="27" width="14" style="3" customWidth="1"/>
    <col min="28" max="28" width="10.42578125" style="3" customWidth="1"/>
    <col min="29" max="29" width="12.5703125" style="3" customWidth="1"/>
    <col min="30" max="30" width="13.28515625" style="3" customWidth="1"/>
    <col min="31" max="31" width="12.140625" style="3" customWidth="1"/>
    <col min="32" max="32" width="12.42578125" style="3" customWidth="1"/>
    <col min="33" max="33" width="12.28515625" style="3" customWidth="1"/>
    <col min="34" max="34" width="12.7109375" style="3" customWidth="1"/>
    <col min="35" max="35" width="11.28515625" style="3" customWidth="1"/>
    <col min="36" max="36" width="11.85546875" style="3" customWidth="1"/>
    <col min="37" max="37" width="12.28515625" style="3" customWidth="1"/>
    <col min="38" max="38" width="11.140625" style="3" customWidth="1"/>
    <col min="39" max="39" width="10.5703125" style="3" customWidth="1"/>
    <col min="40" max="40" width="10.85546875" style="3" customWidth="1"/>
    <col min="41" max="41" width="12" style="3" customWidth="1"/>
    <col min="42" max="42" width="13.140625" style="3" customWidth="1"/>
    <col min="43" max="43" width="11.140625" style="3" customWidth="1"/>
    <col min="44" max="44" width="12.5703125" style="3" customWidth="1"/>
    <col min="45" max="45" width="12.140625" style="3" customWidth="1"/>
    <col min="46" max="46" width="12.42578125" style="3" customWidth="1"/>
    <col min="47" max="47" width="12" style="3" customWidth="1"/>
    <col min="48" max="48" width="14.85546875" style="3" customWidth="1"/>
    <col min="49" max="49" width="11.5703125" style="3" customWidth="1"/>
    <col min="50" max="50" width="13.7109375" style="3" customWidth="1"/>
    <col min="51" max="51" width="12.42578125" style="3" customWidth="1"/>
    <col min="52" max="52" width="10.85546875" style="3" customWidth="1"/>
    <col min="53" max="53" width="12.140625" style="3" customWidth="1"/>
    <col min="54" max="54" width="11.85546875" style="3" customWidth="1"/>
    <col min="55" max="55" width="12.7109375" style="3" customWidth="1"/>
    <col min="56" max="56" width="12.42578125" style="3" customWidth="1"/>
    <col min="57" max="57" width="11.140625" style="3" customWidth="1"/>
    <col min="58" max="58" width="11.5703125" style="3" customWidth="1"/>
    <col min="59" max="59" width="12.28515625" style="3" customWidth="1"/>
    <col min="60" max="16384" width="9" style="3"/>
  </cols>
  <sheetData>
    <row r="1" spans="1:59" ht="12" thickBot="1" x14ac:dyDescent="0.3"/>
    <row r="2" spans="1:59" s="1" customFormat="1" x14ac:dyDescent="0.2">
      <c r="A2" s="43" t="s">
        <v>50</v>
      </c>
      <c r="B2" s="15" t="s">
        <v>27</v>
      </c>
      <c r="C2" s="50">
        <v>3895025.11</v>
      </c>
    </row>
    <row r="3" spans="1:59" s="1" customFormat="1" ht="12" thickBot="1" x14ac:dyDescent="0.25">
      <c r="A3" s="44">
        <v>83.804400000000001</v>
      </c>
      <c r="B3" s="15" t="s">
        <v>28</v>
      </c>
      <c r="C3" s="50">
        <v>10778.95</v>
      </c>
    </row>
    <row r="4" spans="1:59" s="8" customFormat="1" ht="12" thickBot="1" x14ac:dyDescent="0.25">
      <c r="A4" s="45"/>
      <c r="B4" s="15" t="s">
        <v>25</v>
      </c>
      <c r="C4" s="51">
        <v>0</v>
      </c>
    </row>
    <row r="5" spans="1:59" s="6" customFormat="1" x14ac:dyDescent="0.2">
      <c r="A5" s="43" t="s">
        <v>51</v>
      </c>
      <c r="B5" s="49" t="s">
        <v>26</v>
      </c>
      <c r="C5" s="52">
        <f>SUM(C2:C4)</f>
        <v>3905804.06</v>
      </c>
    </row>
    <row r="6" spans="1:59" s="6" customFormat="1" ht="12" thickBot="1" x14ac:dyDescent="0.25">
      <c r="A6" s="44">
        <v>72.451300000000003</v>
      </c>
      <c r="B6" s="16"/>
      <c r="C6" s="53"/>
      <c r="D6" s="17"/>
    </row>
    <row r="7" spans="1:59" s="6" customFormat="1" ht="12" thickBot="1" x14ac:dyDescent="0.25">
      <c r="A7" s="105" t="s">
        <v>51</v>
      </c>
      <c r="B7" s="18" t="s">
        <v>127</v>
      </c>
      <c r="C7" s="54">
        <f>SUM(16:16)</f>
        <v>25866683.6096</v>
      </c>
    </row>
    <row r="8" spans="1:59" x14ac:dyDescent="0.25">
      <c r="A8" s="43" t="s">
        <v>52</v>
      </c>
      <c r="B8" s="18" t="s">
        <v>126</v>
      </c>
      <c r="C8" s="54">
        <f>SUM(26:26)</f>
        <v>49957504.395481676</v>
      </c>
    </row>
    <row r="9" spans="1:59" ht="12" thickBot="1" x14ac:dyDescent="0.3">
      <c r="A9" s="44">
        <v>10.704700000000001</v>
      </c>
      <c r="B9" s="19" t="s">
        <v>64</v>
      </c>
      <c r="C9" s="55">
        <f>C5+C7-C8-C11</f>
        <v>-41676042.803201675</v>
      </c>
    </row>
    <row r="10" spans="1:59" x14ac:dyDescent="0.25">
      <c r="A10" s="99" t="s">
        <v>80</v>
      </c>
      <c r="B10" s="18" t="s">
        <v>23</v>
      </c>
      <c r="C10" s="56">
        <f>C16</f>
        <v>0</v>
      </c>
    </row>
    <row r="11" spans="1:59" x14ac:dyDescent="0.25">
      <c r="A11" s="101" t="s">
        <v>87</v>
      </c>
      <c r="B11" s="18" t="s">
        <v>24</v>
      </c>
      <c r="C11" s="54">
        <f>C26</f>
        <v>21491026.077320002</v>
      </c>
    </row>
    <row r="12" spans="1:59" x14ac:dyDescent="0.25">
      <c r="A12" s="107" t="s">
        <v>88</v>
      </c>
    </row>
    <row r="13" spans="1:59" x14ac:dyDescent="0.25">
      <c r="A13" s="38"/>
      <c r="B13" s="10"/>
      <c r="C13" s="57"/>
      <c r="D13" s="10"/>
    </row>
    <row r="14" spans="1:59" s="2" customFormat="1" x14ac:dyDescent="0.25">
      <c r="A14" s="64"/>
      <c r="B14" s="65"/>
      <c r="C14" s="58" t="s">
        <v>56</v>
      </c>
      <c r="D14" s="66"/>
      <c r="E14" s="66">
        <v>46189</v>
      </c>
      <c r="F14" s="66">
        <v>46190</v>
      </c>
      <c r="G14" s="66">
        <v>46191</v>
      </c>
      <c r="H14" s="66">
        <v>46192</v>
      </c>
      <c r="I14" s="66">
        <v>46193</v>
      </c>
      <c r="J14" s="66">
        <v>46194</v>
      </c>
      <c r="K14" s="66">
        <v>46195</v>
      </c>
      <c r="L14" s="66">
        <v>46196</v>
      </c>
      <c r="M14" s="66">
        <v>46197</v>
      </c>
      <c r="N14" s="66">
        <v>46198</v>
      </c>
      <c r="O14" s="66">
        <v>46199</v>
      </c>
      <c r="P14" s="66">
        <v>46200</v>
      </c>
      <c r="Q14" s="66">
        <v>46201</v>
      </c>
      <c r="R14" s="66">
        <v>46202</v>
      </c>
      <c r="S14" s="66">
        <v>46203</v>
      </c>
      <c r="T14" s="66">
        <v>46204</v>
      </c>
      <c r="U14" s="66">
        <v>46205</v>
      </c>
      <c r="V14" s="66">
        <v>46206</v>
      </c>
      <c r="W14" s="66">
        <v>46207</v>
      </c>
      <c r="X14" s="66">
        <v>46208</v>
      </c>
      <c r="Y14" s="66">
        <v>46209</v>
      </c>
      <c r="Z14" s="66">
        <v>46210</v>
      </c>
      <c r="AA14" s="66">
        <v>46211</v>
      </c>
      <c r="AB14" s="66">
        <v>46212</v>
      </c>
      <c r="AC14" s="66">
        <v>46213</v>
      </c>
      <c r="AD14" s="66">
        <v>46214</v>
      </c>
      <c r="AE14" s="66">
        <v>46215</v>
      </c>
      <c r="AF14" s="66">
        <v>46216</v>
      </c>
      <c r="AG14" s="66">
        <v>46217</v>
      </c>
      <c r="AH14" s="66">
        <v>46218</v>
      </c>
      <c r="AI14" s="66">
        <v>46219</v>
      </c>
      <c r="AJ14" s="66">
        <v>46220</v>
      </c>
      <c r="AK14" s="66">
        <v>46221</v>
      </c>
      <c r="AL14" s="66">
        <v>46222</v>
      </c>
      <c r="AM14" s="66">
        <v>46223</v>
      </c>
      <c r="AN14" s="66">
        <v>46224</v>
      </c>
      <c r="AO14" s="66">
        <v>46225</v>
      </c>
      <c r="AP14" s="66">
        <v>46226</v>
      </c>
      <c r="AQ14" s="66">
        <v>46227</v>
      </c>
      <c r="AR14" s="66">
        <v>46228</v>
      </c>
      <c r="AS14" s="66">
        <v>46229</v>
      </c>
      <c r="AT14" s="66">
        <v>46230</v>
      </c>
      <c r="AU14" s="66">
        <v>46231</v>
      </c>
      <c r="AV14" s="66">
        <v>46232</v>
      </c>
      <c r="AW14" s="66">
        <v>46233</v>
      </c>
      <c r="AX14" s="66">
        <v>46234</v>
      </c>
      <c r="AY14" s="66">
        <v>46235</v>
      </c>
      <c r="AZ14" s="66">
        <v>46236</v>
      </c>
      <c r="BA14" s="66">
        <v>46237</v>
      </c>
      <c r="BB14" s="66">
        <v>46238</v>
      </c>
      <c r="BC14" s="66">
        <v>46239</v>
      </c>
      <c r="BD14" s="66">
        <v>46240</v>
      </c>
      <c r="BE14" s="66">
        <v>46241</v>
      </c>
      <c r="BF14" s="66">
        <v>46242</v>
      </c>
      <c r="BG14" s="66">
        <v>46243</v>
      </c>
    </row>
    <row r="15" spans="1:59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</row>
    <row r="16" spans="1:59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G16" si="0">SUM(E17:E25)</f>
        <v>0</v>
      </c>
      <c r="F16" s="29">
        <f t="shared" si="0"/>
        <v>1000000</v>
      </c>
      <c r="G16" s="29">
        <f t="shared" si="0"/>
        <v>8052261.9696000004</v>
      </c>
      <c r="H16" s="29">
        <f t="shared" si="0"/>
        <v>1500000</v>
      </c>
      <c r="I16" s="135">
        <f t="shared" si="0"/>
        <v>0</v>
      </c>
      <c r="J16" s="135">
        <f t="shared" si="0"/>
        <v>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135">
        <f t="shared" si="0"/>
        <v>0</v>
      </c>
      <c r="Q16" s="135">
        <f t="shared" si="0"/>
        <v>0</v>
      </c>
      <c r="R16" s="29">
        <f t="shared" si="0"/>
        <v>2000000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135">
        <f t="shared" si="0"/>
        <v>0</v>
      </c>
      <c r="X16" s="135">
        <f t="shared" si="0"/>
        <v>0</v>
      </c>
      <c r="Y16" s="29">
        <f t="shared" si="0"/>
        <v>2000000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135">
        <f t="shared" si="0"/>
        <v>0</v>
      </c>
      <c r="AE16" s="135">
        <f t="shared" si="0"/>
        <v>0</v>
      </c>
      <c r="AF16" s="29">
        <f t="shared" si="0"/>
        <v>2000000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135">
        <f t="shared" si="0"/>
        <v>0</v>
      </c>
      <c r="AL16" s="135">
        <f t="shared" si="0"/>
        <v>0</v>
      </c>
      <c r="AM16" s="29">
        <f t="shared" si="0"/>
        <v>2000000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29">
        <f t="shared" si="0"/>
        <v>0</v>
      </c>
      <c r="AR16" s="135">
        <f t="shared" si="0"/>
        <v>0</v>
      </c>
      <c r="AS16" s="135">
        <f t="shared" si="0"/>
        <v>0</v>
      </c>
      <c r="AT16" s="29">
        <f t="shared" si="0"/>
        <v>4330985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135">
        <f t="shared" si="0"/>
        <v>0</v>
      </c>
      <c r="AZ16" s="135">
        <f t="shared" si="0"/>
        <v>0</v>
      </c>
      <c r="BA16" s="29">
        <f t="shared" si="0"/>
        <v>2983436.64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135">
        <f t="shared" si="0"/>
        <v>0</v>
      </c>
      <c r="BG16" s="135">
        <f t="shared" si="0"/>
        <v>0</v>
      </c>
    </row>
    <row r="17" spans="1:59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</row>
    <row r="18" spans="1:59" s="80" customFormat="1" x14ac:dyDescent="0.25">
      <c r="A18" s="40" t="s">
        <v>9</v>
      </c>
      <c r="B18" s="21"/>
      <c r="C18" s="59"/>
      <c r="D18" s="30"/>
      <c r="E18" s="30"/>
      <c r="F18" s="30">
        <v>1000000</v>
      </c>
      <c r="G18" s="30"/>
      <c r="H18" s="30">
        <v>1500000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</row>
    <row r="19" spans="1:59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>
        <v>2000000</v>
      </c>
      <c r="S19" s="30"/>
      <c r="T19" s="30"/>
      <c r="U19" s="30"/>
      <c r="V19" s="30"/>
      <c r="W19" s="30"/>
      <c r="X19" s="30"/>
      <c r="Y19" s="30">
        <v>2000000</v>
      </c>
      <c r="Z19" s="30"/>
      <c r="AA19" s="30"/>
      <c r="AB19" s="30"/>
      <c r="AC19" s="30"/>
      <c r="AD19" s="30"/>
      <c r="AE19" s="30"/>
      <c r="AF19" s="30">
        <v>2000000</v>
      </c>
      <c r="AG19" s="30"/>
      <c r="AH19" s="30"/>
      <c r="AI19" s="30"/>
      <c r="AJ19" s="30"/>
      <c r="AK19" s="30"/>
      <c r="AL19" s="30"/>
      <c r="AM19" s="30">
        <v>2000000</v>
      </c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</row>
    <row r="20" spans="1:59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R20" s="30"/>
      <c r="AS20" s="30"/>
      <c r="AT20" s="30">
        <v>4330985</v>
      </c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</row>
    <row r="21" spans="1:59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</row>
    <row r="22" spans="1:59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</row>
    <row r="23" spans="1:59" s="80" customFormat="1" x14ac:dyDescent="0.25">
      <c r="A23" s="40" t="s">
        <v>11</v>
      </c>
      <c r="B23" s="21"/>
      <c r="C23" s="59"/>
      <c r="D23" s="30"/>
      <c r="E23" s="30"/>
      <c r="F23" s="30"/>
      <c r="G23" s="30">
        <f>96084*A3</f>
        <v>8052261.9696000004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</row>
    <row r="24" spans="1:59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S24" s="30"/>
      <c r="T24" s="30"/>
      <c r="U24" s="30"/>
      <c r="V24" s="30"/>
      <c r="W24" s="30"/>
      <c r="X24" s="30"/>
      <c r="Y24" s="30"/>
      <c r="Z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165">
        <f>35600*A3</f>
        <v>2983436.64</v>
      </c>
      <c r="BB24" s="30"/>
      <c r="BC24" s="30"/>
      <c r="BD24" s="30"/>
      <c r="BE24" s="30"/>
      <c r="BF24" s="30"/>
      <c r="BG24" s="30"/>
    </row>
    <row r="25" spans="1:59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</row>
    <row r="26" spans="1:59" s="4" customFormat="1" x14ac:dyDescent="0.2">
      <c r="A26" s="41" t="s">
        <v>1</v>
      </c>
      <c r="B26" s="22"/>
      <c r="C26" s="34">
        <f>SUM(C28:C74)</f>
        <v>21491026.077320002</v>
      </c>
      <c r="D26" s="34"/>
      <c r="E26" s="34">
        <f t="shared" ref="E26:BG26" si="1">SUM(E27:E75)</f>
        <v>422705.82826000004</v>
      </c>
      <c r="F26" s="34">
        <f t="shared" si="1"/>
        <v>390724.9511709091</v>
      </c>
      <c r="G26" s="34">
        <f t="shared" si="1"/>
        <v>7101526.658521818</v>
      </c>
      <c r="H26" s="34">
        <f t="shared" si="1"/>
        <v>1806388.85852</v>
      </c>
      <c r="I26" s="34">
        <f t="shared" si="1"/>
        <v>0</v>
      </c>
      <c r="J26" s="34">
        <f t="shared" si="1"/>
        <v>0</v>
      </c>
      <c r="K26" s="34">
        <f t="shared" si="1"/>
        <v>567838.75633333332</v>
      </c>
      <c r="L26" s="34">
        <f t="shared" si="1"/>
        <v>371367.52208000002</v>
      </c>
      <c r="M26" s="34">
        <f t="shared" si="1"/>
        <v>332329.92803333339</v>
      </c>
      <c r="N26" s="34">
        <f t="shared" si="1"/>
        <v>676454.8754133333</v>
      </c>
      <c r="O26" s="34">
        <f t="shared" si="1"/>
        <v>511241.28067333333</v>
      </c>
      <c r="P26" s="34">
        <f t="shared" si="1"/>
        <v>0</v>
      </c>
      <c r="Q26" s="34">
        <f t="shared" si="1"/>
        <v>0</v>
      </c>
      <c r="R26" s="34">
        <f t="shared" si="1"/>
        <v>345690.87541333336</v>
      </c>
      <c r="S26" s="34">
        <f t="shared" si="1"/>
        <v>3491957.2806733334</v>
      </c>
      <c r="T26" s="34">
        <f t="shared" si="1"/>
        <v>666134.85216333333</v>
      </c>
      <c r="U26" s="34">
        <f t="shared" si="1"/>
        <v>1212806.8002786364</v>
      </c>
      <c r="V26" s="34">
        <f t="shared" si="1"/>
        <v>947496.21818181826</v>
      </c>
      <c r="W26" s="34">
        <f t="shared" si="1"/>
        <v>0</v>
      </c>
      <c r="X26" s="34">
        <f t="shared" si="1"/>
        <v>694560</v>
      </c>
      <c r="Y26" s="34">
        <f t="shared" si="1"/>
        <v>327233.4511709091</v>
      </c>
      <c r="Z26" s="34">
        <f t="shared" si="1"/>
        <v>984550.78006181819</v>
      </c>
      <c r="AA26" s="34">
        <f t="shared" si="1"/>
        <v>736956.45689863642</v>
      </c>
      <c r="AB26" s="34">
        <f t="shared" si="1"/>
        <v>512050.78006181819</v>
      </c>
      <c r="AC26" s="34">
        <f t="shared" si="1"/>
        <v>267319.96636363631</v>
      </c>
      <c r="AD26" s="34">
        <f t="shared" si="1"/>
        <v>0</v>
      </c>
      <c r="AE26" s="34">
        <f t="shared" si="1"/>
        <v>0</v>
      </c>
      <c r="AF26" s="34">
        <f t="shared" si="1"/>
        <v>2166981.9618800003</v>
      </c>
      <c r="AG26" s="34">
        <f t="shared" si="1"/>
        <v>377531.23798181821</v>
      </c>
      <c r="AH26" s="34">
        <f t="shared" si="1"/>
        <v>107956.33333333334</v>
      </c>
      <c r="AI26" s="34">
        <f t="shared" si="1"/>
        <v>213067.95293863639</v>
      </c>
      <c r="AJ26" s="34">
        <f t="shared" si="1"/>
        <v>368337.95293863642</v>
      </c>
      <c r="AK26" s="34">
        <f t="shared" si="1"/>
        <v>0</v>
      </c>
      <c r="AL26" s="34">
        <f t="shared" si="1"/>
        <v>0</v>
      </c>
      <c r="AM26" s="34">
        <f t="shared" si="1"/>
        <v>173067.95293863639</v>
      </c>
      <c r="AN26" s="34">
        <f t="shared" si="1"/>
        <v>173067.95293863639</v>
      </c>
      <c r="AO26" s="34">
        <f t="shared" si="1"/>
        <v>173067.95293863639</v>
      </c>
      <c r="AP26" s="34">
        <f t="shared" si="1"/>
        <v>0</v>
      </c>
      <c r="AQ26" s="34">
        <f t="shared" si="1"/>
        <v>0</v>
      </c>
      <c r="AR26" s="34">
        <f t="shared" si="1"/>
        <v>0</v>
      </c>
      <c r="AS26" s="34">
        <f t="shared" si="1"/>
        <v>0</v>
      </c>
      <c r="AT26" s="34">
        <f t="shared" si="1"/>
        <v>1600000</v>
      </c>
      <c r="AU26" s="34">
        <f t="shared" si="1"/>
        <v>0</v>
      </c>
      <c r="AV26" s="34">
        <f t="shared" si="1"/>
        <v>0</v>
      </c>
      <c r="AW26" s="34">
        <f t="shared" si="1"/>
        <v>0</v>
      </c>
      <c r="AX26" s="34">
        <f t="shared" si="1"/>
        <v>0</v>
      </c>
      <c r="AY26" s="34">
        <f t="shared" si="1"/>
        <v>0</v>
      </c>
      <c r="AZ26" s="34">
        <f t="shared" si="1"/>
        <v>0</v>
      </c>
      <c r="BA26" s="34">
        <f t="shared" si="1"/>
        <v>746062.9</v>
      </c>
      <c r="BB26" s="34">
        <f t="shared" si="1"/>
        <v>0</v>
      </c>
      <c r="BC26" s="34">
        <f t="shared" si="1"/>
        <v>0</v>
      </c>
      <c r="BD26" s="34">
        <f t="shared" si="1"/>
        <v>0</v>
      </c>
      <c r="BE26" s="34">
        <f t="shared" si="1"/>
        <v>0</v>
      </c>
      <c r="BF26" s="34">
        <f t="shared" si="1"/>
        <v>0</v>
      </c>
      <c r="BG26" s="34">
        <f t="shared" si="1"/>
        <v>0</v>
      </c>
    </row>
    <row r="27" spans="1:59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</row>
    <row r="28" spans="1:59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</row>
    <row r="29" spans="1:59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</row>
    <row r="30" spans="1:59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>
        <f>8399365/3</f>
        <v>2799788.3333333335</v>
      </c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</row>
    <row r="31" spans="1:59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90">
        <f>291375+137118</f>
        <v>428493</v>
      </c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1:59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>
        <v>480520</v>
      </c>
      <c r="I32" s="24"/>
      <c r="J32" s="24"/>
      <c r="K32" s="24"/>
      <c r="L32" s="24"/>
      <c r="M32" s="24"/>
      <c r="N32" s="24">
        <v>350000</v>
      </c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</row>
    <row r="33" spans="1:59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>
        <v>271506</v>
      </c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</row>
    <row r="34" spans="1:59" s="1" customFormat="1" x14ac:dyDescent="0.2">
      <c r="A34" s="36" t="s">
        <v>54</v>
      </c>
      <c r="B34" s="23"/>
      <c r="C34" s="60"/>
      <c r="D34" s="24"/>
      <c r="E34" s="118">
        <v>50000</v>
      </c>
      <c r="F34" s="24"/>
      <c r="G34" s="24">
        <f>100113.9/2</f>
        <v>50056.95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</row>
    <row r="35" spans="1:59" s="1" customFormat="1" x14ac:dyDescent="0.2">
      <c r="A35" s="36" t="s">
        <v>71</v>
      </c>
      <c r="B35" s="23"/>
      <c r="C35" s="60"/>
      <c r="D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>
        <v>200113.9</v>
      </c>
      <c r="V35" s="24">
        <v>40000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>
        <v>200113.9</v>
      </c>
      <c r="BB35" s="24"/>
      <c r="BC35" s="24"/>
      <c r="BD35" s="24"/>
      <c r="BE35" s="24"/>
      <c r="BF35" s="24"/>
      <c r="BG35" s="24"/>
    </row>
    <row r="36" spans="1:59" s="1" customFormat="1" x14ac:dyDescent="0.2">
      <c r="A36" s="36" t="s">
        <v>53</v>
      </c>
      <c r="B36" s="23"/>
      <c r="C36" s="60"/>
      <c r="D36" s="24"/>
      <c r="E36" s="24"/>
      <c r="F36" s="24">
        <f t="shared" ref="F36" si="2">545949/6</f>
        <v>90991.5</v>
      </c>
      <c r="G36" s="24">
        <v>140000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>
        <v>545949</v>
      </c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>
        <v>545949</v>
      </c>
      <c r="BB36" s="24"/>
      <c r="BC36" s="24"/>
      <c r="BD36" s="24"/>
      <c r="BE36" s="24"/>
      <c r="BF36" s="24"/>
      <c r="BG36" s="24"/>
    </row>
    <row r="37" spans="1:59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</row>
    <row r="38" spans="1:59" s="71" customFormat="1" x14ac:dyDescent="0.2">
      <c r="A38" s="69" t="s">
        <v>14</v>
      </c>
      <c r="B38" s="25" t="s">
        <v>30</v>
      </c>
      <c r="C38" s="70"/>
      <c r="D38" s="24"/>
      <c r="E38" s="28"/>
      <c r="F38" s="28"/>
      <c r="G38" s="28"/>
      <c r="H38" s="100">
        <v>774474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</row>
    <row r="39" spans="1:59" s="71" customFormat="1" x14ac:dyDescent="0.2">
      <c r="A39" s="69" t="s">
        <v>115</v>
      </c>
      <c r="B39" s="25" t="s">
        <v>116</v>
      </c>
      <c r="C39" s="70"/>
      <c r="D39" s="24"/>
      <c r="E39" s="100">
        <f>312320/10</f>
        <v>31232</v>
      </c>
      <c r="F39" s="24"/>
      <c r="G39" s="24"/>
      <c r="H39" s="100">
        <f>312320/10</f>
        <v>31232</v>
      </c>
      <c r="I39" s="24"/>
      <c r="J39" s="24"/>
      <c r="K39" s="108">
        <f>312320/10</f>
        <v>31232</v>
      </c>
      <c r="L39" s="24"/>
      <c r="M39" s="108">
        <f>312320/10</f>
        <v>31232</v>
      </c>
      <c r="N39" s="24"/>
      <c r="O39" s="108">
        <f>312320/10</f>
        <v>31232</v>
      </c>
      <c r="P39" s="24"/>
      <c r="Q39" s="24"/>
      <c r="R39" s="108">
        <v>124838</v>
      </c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</row>
    <row r="40" spans="1:59" s="71" customFormat="1" x14ac:dyDescent="0.2">
      <c r="A40" s="69" t="s">
        <v>117</v>
      </c>
      <c r="B40" s="25" t="s">
        <v>119</v>
      </c>
      <c r="C40" s="70">
        <f>475500-50000</f>
        <v>425500</v>
      </c>
      <c r="D40" s="24"/>
      <c r="E40" s="24"/>
      <c r="F40" s="24"/>
      <c r="G40" s="108">
        <v>150000</v>
      </c>
      <c r="H40" s="108">
        <v>100000</v>
      </c>
      <c r="I40" s="24"/>
      <c r="J40" s="24"/>
      <c r="K40" s="24"/>
      <c r="L40" s="108">
        <v>100000</v>
      </c>
      <c r="M40" s="108">
        <v>75000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</row>
    <row r="41" spans="1:59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8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100">
        <v>472500</v>
      </c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</row>
    <row r="42" spans="1:59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1375000-500000-175000-50000-25000-25000-25000-50000-25000-50000-25000-25000-30000-25000-30000-25000-25000-15000</f>
        <v>250000</v>
      </c>
      <c r="D42" s="24"/>
      <c r="E42" s="129">
        <f>95000/2</f>
        <v>47500</v>
      </c>
      <c r="F42" s="24"/>
      <c r="G42" s="129">
        <f>95000/2</f>
        <v>47500</v>
      </c>
      <c r="I42" s="24"/>
      <c r="J42" s="24"/>
      <c r="K42" s="129">
        <f>30000/2</f>
        <v>15000</v>
      </c>
      <c r="L42" s="129">
        <v>40000</v>
      </c>
      <c r="M42" s="129">
        <v>25000</v>
      </c>
      <c r="N42" s="129">
        <v>25000</v>
      </c>
      <c r="O42" s="129">
        <v>50000</v>
      </c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</row>
    <row r="43" spans="1:59" s="71" customFormat="1" x14ac:dyDescent="0.2">
      <c r="A43" s="69" t="s">
        <v>15</v>
      </c>
      <c r="B43" s="25" t="s">
        <v>31</v>
      </c>
      <c r="C43" s="70">
        <f>1547684-50000</f>
        <v>1497684</v>
      </c>
      <c r="D43" s="24"/>
      <c r="E43" s="118">
        <v>50000</v>
      </c>
      <c r="F43" s="108">
        <f t="shared" ref="F43:AH43" si="3">516230/10</f>
        <v>51623</v>
      </c>
      <c r="G43" s="108">
        <f t="shared" si="3"/>
        <v>51623</v>
      </c>
      <c r="H43" s="108">
        <f>516230/10</f>
        <v>51623</v>
      </c>
      <c r="I43" s="24"/>
      <c r="J43" s="24"/>
      <c r="K43" s="108">
        <f>516230/10</f>
        <v>51623</v>
      </c>
      <c r="L43" s="108">
        <f>516230/10+15224</f>
        <v>66847</v>
      </c>
      <c r="M43" s="108">
        <f t="shared" ref="M43" si="4">516230/10</f>
        <v>51623</v>
      </c>
      <c r="N43" s="108">
        <f t="shared" ref="N43" si="5">(515224/4)/3</f>
        <v>42935.333333333336</v>
      </c>
      <c r="O43" s="108">
        <f>516230/10</f>
        <v>51623</v>
      </c>
      <c r="P43" s="24"/>
      <c r="Q43" s="24"/>
      <c r="S43" s="108">
        <f t="shared" ref="S43:V43" si="6">516230/10</f>
        <v>51623</v>
      </c>
      <c r="T43" s="108">
        <f t="shared" si="6"/>
        <v>51623</v>
      </c>
      <c r="U43" s="108">
        <f t="shared" si="6"/>
        <v>51623</v>
      </c>
      <c r="V43" s="108">
        <f t="shared" si="6"/>
        <v>51623</v>
      </c>
      <c r="W43" s="24"/>
      <c r="X43" s="24"/>
      <c r="Y43" s="108">
        <f t="shared" ref="Y43:AC43" si="7">516230/10</f>
        <v>51623</v>
      </c>
      <c r="Z43" s="108">
        <f t="shared" si="7"/>
        <v>51623</v>
      </c>
      <c r="AA43" s="108">
        <f t="shared" si="7"/>
        <v>51623</v>
      </c>
      <c r="AB43" s="108">
        <f t="shared" si="7"/>
        <v>51623</v>
      </c>
      <c r="AC43" s="108">
        <f t="shared" si="7"/>
        <v>51623</v>
      </c>
      <c r="AD43" s="24"/>
      <c r="AE43" s="24"/>
      <c r="AF43" s="100">
        <v>516230</v>
      </c>
      <c r="AG43" s="108">
        <f>516230/10</f>
        <v>51623</v>
      </c>
      <c r="AH43" s="108">
        <f t="shared" si="3"/>
        <v>51623</v>
      </c>
      <c r="AI43" s="24"/>
      <c r="AJ43" s="98">
        <f>515224/4+54464</f>
        <v>183270</v>
      </c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</row>
    <row r="44" spans="1:59" s="71" customFormat="1" x14ac:dyDescent="0.2">
      <c r="A44" s="69" t="s">
        <v>85</v>
      </c>
      <c r="B44" s="25" t="s">
        <v>47</v>
      </c>
      <c r="C44" s="70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100">
        <f>2997.5*A6</f>
        <v>217172.77175000001</v>
      </c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</row>
    <row r="45" spans="1:59" s="71" customFormat="1" x14ac:dyDescent="0.2">
      <c r="A45" s="69" t="s">
        <v>143</v>
      </c>
      <c r="B45" s="25" t="s">
        <v>45</v>
      </c>
      <c r="C45" s="24">
        <f>188496*A9</f>
        <v>2017793.1312000002</v>
      </c>
      <c r="D45" s="24"/>
      <c r="E45" s="24"/>
      <c r="F45" s="108">
        <f t="shared" ref="F45:Y45" si="8">(188496*$A$9)/15</f>
        <v>134519.54208000001</v>
      </c>
      <c r="G45" s="108">
        <f t="shared" si="8"/>
        <v>134519.54208000001</v>
      </c>
      <c r="I45" s="24"/>
      <c r="J45" s="24"/>
      <c r="L45" s="108">
        <f t="shared" ref="L45:Z45" si="9">(188496*$A$9)/15</f>
        <v>134519.54208000001</v>
      </c>
      <c r="N45" s="108">
        <f t="shared" si="9"/>
        <v>134519.54208000001</v>
      </c>
      <c r="O45" s="108">
        <f t="shared" si="9"/>
        <v>134519.54208000001</v>
      </c>
      <c r="P45" s="24"/>
      <c r="Q45" s="24"/>
      <c r="R45" s="108">
        <f>(188496*$A$9)/15</f>
        <v>134519.54208000001</v>
      </c>
      <c r="S45" s="108">
        <f t="shared" ref="S45:U45" si="10">(188496*$A$9)/15</f>
        <v>134519.54208000001</v>
      </c>
      <c r="T45" s="108">
        <f t="shared" si="10"/>
        <v>134519.54208000001</v>
      </c>
      <c r="U45" s="108">
        <f t="shared" si="10"/>
        <v>134519.54208000001</v>
      </c>
      <c r="V45" s="28"/>
      <c r="W45" s="24"/>
      <c r="X45" s="24"/>
      <c r="Y45" s="108">
        <f t="shared" si="8"/>
        <v>134519.54208000001</v>
      </c>
      <c r="Z45" s="108">
        <f t="shared" si="9"/>
        <v>134519.54208000001</v>
      </c>
      <c r="AA45" s="108">
        <f>((188496*$A$9)/15)*2</f>
        <v>269039.08416000003</v>
      </c>
      <c r="AB45" s="108">
        <f>(188496*$A$9)/15</f>
        <v>134519.54208000001</v>
      </c>
      <c r="AC45" s="24"/>
      <c r="AD45" s="24"/>
      <c r="AE45" s="24"/>
      <c r="AF45" s="108">
        <f>(188496*$A$9)/15</f>
        <v>134519.54208000001</v>
      </c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</row>
    <row r="46" spans="1:59" s="71" customFormat="1" x14ac:dyDescent="0.2">
      <c r="A46" s="69" t="s">
        <v>120</v>
      </c>
      <c r="B46" s="25" t="s">
        <v>121</v>
      </c>
      <c r="C46" s="120">
        <f>507000+1014000-47000-56000-45000-50000</f>
        <v>1323000</v>
      </c>
      <c r="D46" s="24"/>
      <c r="E46" s="118">
        <v>90000</v>
      </c>
      <c r="G46" s="108">
        <f t="shared" ref="G46:AG46" si="11">1014000/11</f>
        <v>92181.818181818177</v>
      </c>
      <c r="I46" s="24"/>
      <c r="J46" s="24"/>
      <c r="K46" s="108">
        <f>507000/9</f>
        <v>56333.333333333336</v>
      </c>
      <c r="L46" s="24"/>
      <c r="M46" s="108">
        <f t="shared" ref="M46:O46" si="12">507000/9</f>
        <v>56333.333333333336</v>
      </c>
      <c r="N46" s="24"/>
      <c r="O46" s="108">
        <f t="shared" si="12"/>
        <v>56333.333333333336</v>
      </c>
      <c r="P46" s="24"/>
      <c r="Q46" s="24"/>
      <c r="R46" s="108">
        <f t="shared" ref="R46:AH46" si="13">507000/9</f>
        <v>56333.333333333336</v>
      </c>
      <c r="T46" s="108">
        <f t="shared" si="13"/>
        <v>56333.333333333336</v>
      </c>
      <c r="U46" s="108">
        <f>(1014000/11+88393.5*$A$9)/6</f>
        <v>173067.95293863639</v>
      </c>
      <c r="V46" s="108">
        <f t="shared" ref="V46:Z46" si="14">1014000/11</f>
        <v>92181.818181818177</v>
      </c>
      <c r="W46" s="24"/>
      <c r="X46" s="100">
        <v>682560</v>
      </c>
      <c r="Y46" s="108">
        <f>(1014000/11)/2</f>
        <v>46090.909090909088</v>
      </c>
      <c r="Z46" s="108">
        <f t="shared" si="14"/>
        <v>92181.818181818177</v>
      </c>
      <c r="AA46" s="108">
        <f>(1014000/11+88393.5*$A$9)/6</f>
        <v>173067.95293863639</v>
      </c>
      <c r="AB46" s="108">
        <f t="shared" si="11"/>
        <v>92181.818181818177</v>
      </c>
      <c r="AC46" s="108">
        <f>(1014000/11)*2+9333.33</f>
        <v>193696.96636363634</v>
      </c>
      <c r="AD46" s="24"/>
      <c r="AE46" s="24"/>
      <c r="AF46" s="108">
        <v>991000</v>
      </c>
      <c r="AG46" s="108">
        <f t="shared" si="11"/>
        <v>92181.818181818177</v>
      </c>
      <c r="AH46" s="108">
        <f t="shared" si="13"/>
        <v>56333.333333333336</v>
      </c>
      <c r="AI46" s="108">
        <f>(1014000/11+88393.5*$A$9)/6</f>
        <v>173067.95293863639</v>
      </c>
      <c r="AJ46" s="108">
        <f>(1014000/11+88393.5*$A$9)/6</f>
        <v>173067.95293863639</v>
      </c>
      <c r="AK46" s="24"/>
      <c r="AL46" s="24"/>
      <c r="AM46" s="108">
        <f>(1014000/11+88393.5*$A$9)/6</f>
        <v>173067.95293863639</v>
      </c>
      <c r="AN46" s="108">
        <f>(1014000/11+88393.5*$A$9)/6</f>
        <v>173067.95293863639</v>
      </c>
      <c r="AO46" s="108">
        <f>(1014000/11+88393.5*$A$9)/6</f>
        <v>173067.95293863639</v>
      </c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</row>
    <row r="47" spans="1:59" s="73" customFormat="1" x14ac:dyDescent="0.2">
      <c r="A47" s="69" t="s">
        <v>22</v>
      </c>
      <c r="B47" s="25" t="s">
        <v>48</v>
      </c>
      <c r="C47" s="137"/>
      <c r="D47" s="72"/>
      <c r="E47" s="175">
        <f t="shared" ref="E47:U47" si="15">(52206*$A$9+2988*$A$6)/10</f>
        <v>77533.40526</v>
      </c>
      <c r="F47" s="108">
        <f>(1014000/11)/2</f>
        <v>46090.909090909088</v>
      </c>
      <c r="G47" s="160">
        <f t="shared" si="15"/>
        <v>77533.40526</v>
      </c>
      <c r="H47" s="160">
        <f>((52206*$A$9+2988*$A$6)/10)*2</f>
        <v>155066.81052</v>
      </c>
      <c r="I47" s="72"/>
      <c r="J47" s="72"/>
      <c r="L47" s="72"/>
      <c r="M47" s="160">
        <f>(52206*$A$9)/6</f>
        <v>93141.594700000016</v>
      </c>
      <c r="N47" s="72"/>
      <c r="O47" s="160">
        <f>(52206*$A$9+2988*$A$6)/10</f>
        <v>77533.40526</v>
      </c>
      <c r="P47" s="72"/>
      <c r="Q47" s="72"/>
      <c r="R47" s="72"/>
      <c r="S47" s="160">
        <f t="shared" ref="S47" si="16">(52206*$A$9+2988*$A$6)/10</f>
        <v>77533.40526</v>
      </c>
      <c r="U47" s="160">
        <f t="shared" si="15"/>
        <v>77533.40526</v>
      </c>
      <c r="V47" s="166">
        <f>62000*$A$9</f>
        <v>663691.4</v>
      </c>
      <c r="W47" s="72"/>
      <c r="X47" s="72"/>
      <c r="Z47" s="160">
        <f>(109170*$A$9)/5</f>
        <v>233726.41980000003</v>
      </c>
      <c r="AA47" s="160">
        <f t="shared" ref="AA47:AB47" si="17">(109170*$A$9)/5</f>
        <v>233726.41980000003</v>
      </c>
      <c r="AB47" s="160">
        <f t="shared" si="17"/>
        <v>233726.41980000003</v>
      </c>
      <c r="AC47" s="72"/>
      <c r="AD47" s="72"/>
      <c r="AE47" s="72"/>
      <c r="AF47" s="160">
        <f t="shared" ref="AF47:AG47" si="18">(109170*$A$9)/5</f>
        <v>233726.41980000003</v>
      </c>
      <c r="AG47" s="160">
        <f t="shared" si="18"/>
        <v>233726.41980000003</v>
      </c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</row>
    <row r="48" spans="1:59" s="73" customFormat="1" x14ac:dyDescent="0.2">
      <c r="A48" s="69" t="s">
        <v>108</v>
      </c>
      <c r="B48" s="25" t="s">
        <v>109</v>
      </c>
      <c r="C48" s="120"/>
      <c r="D48" s="72"/>
      <c r="E48" s="72"/>
      <c r="F48" s="72"/>
      <c r="G48" s="72"/>
      <c r="H48" s="138">
        <f>50531.25/2</f>
        <v>25265.625</v>
      </c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</row>
    <row r="49" spans="1:59" s="71" customFormat="1" x14ac:dyDescent="0.2">
      <c r="A49" s="69" t="s">
        <v>36</v>
      </c>
      <c r="B49" s="25" t="s">
        <v>37</v>
      </c>
      <c r="C49" s="130"/>
      <c r="D49" s="24"/>
      <c r="E49" s="24"/>
      <c r="F49" s="24"/>
      <c r="G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</row>
    <row r="50" spans="1:59" s="71" customFormat="1" x14ac:dyDescent="0.2">
      <c r="A50" s="69" t="s">
        <v>86</v>
      </c>
      <c r="B50" s="25" t="s">
        <v>35</v>
      </c>
      <c r="C50" s="70"/>
      <c r="D50" s="77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100">
        <f>2850*A6</f>
        <v>206486.20500000002</v>
      </c>
      <c r="U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</row>
    <row r="51" spans="1:59" s="71" customFormat="1" x14ac:dyDescent="0.2">
      <c r="A51" s="69" t="s">
        <v>29</v>
      </c>
      <c r="B51" s="25" t="s">
        <v>43</v>
      </c>
      <c r="C51" s="70">
        <f>439750-19750-25000-25000-25000-20000-20000</f>
        <v>305000</v>
      </c>
      <c r="D51" s="24"/>
      <c r="E51" s="118">
        <v>25000</v>
      </c>
      <c r="F51" s="24"/>
      <c r="G51" s="95">
        <v>50000</v>
      </c>
      <c r="I51" s="24"/>
      <c r="J51" s="24"/>
      <c r="K51" s="95">
        <v>35000</v>
      </c>
      <c r="L51" s="24"/>
      <c r="M51" s="24"/>
      <c r="N51" s="24"/>
      <c r="P51" s="24"/>
      <c r="Q51" s="24"/>
      <c r="R51" s="24"/>
      <c r="S51" s="24"/>
      <c r="T51" s="24"/>
      <c r="U51" s="24"/>
      <c r="V51" s="95">
        <v>100000</v>
      </c>
      <c r="W51" s="24"/>
      <c r="X51" s="24"/>
      <c r="Y51" s="95">
        <v>95000</v>
      </c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</row>
    <row r="52" spans="1:59" s="71" customFormat="1" x14ac:dyDescent="0.2">
      <c r="A52" s="69" t="s">
        <v>141</v>
      </c>
      <c r="B52" s="25" t="s">
        <v>142</v>
      </c>
      <c r="C52" s="70"/>
      <c r="D52" s="24"/>
      <c r="E52" s="24"/>
      <c r="F52" s="24"/>
      <c r="G52" s="100">
        <v>55053.72</v>
      </c>
      <c r="H52" s="28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8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</row>
    <row r="53" spans="1:59" s="71" customFormat="1" x14ac:dyDescent="0.2">
      <c r="A53" s="69" t="s">
        <v>159</v>
      </c>
      <c r="B53" s="25" t="s">
        <v>160</v>
      </c>
      <c r="C53" s="70"/>
      <c r="D53" s="24"/>
      <c r="E53" s="24"/>
      <c r="F53" s="24"/>
      <c r="G53" s="24"/>
      <c r="H53" s="24"/>
      <c r="I53" s="24"/>
      <c r="J53" s="24"/>
      <c r="K53" s="24"/>
      <c r="L53" s="100">
        <v>28476.98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</row>
    <row r="54" spans="1:59" s="71" customFormat="1" x14ac:dyDescent="0.2">
      <c r="A54" s="69" t="s">
        <v>124</v>
      </c>
      <c r="B54" s="25" t="s">
        <v>125</v>
      </c>
      <c r="C54" s="70"/>
      <c r="D54" s="24"/>
      <c r="E54" s="24"/>
      <c r="F54" s="24"/>
      <c r="G54" s="24"/>
      <c r="H54" s="24"/>
      <c r="I54" s="24"/>
      <c r="J54" s="24"/>
      <c r="K54" s="100">
        <v>203210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</row>
    <row r="55" spans="1:59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24"/>
      <c r="K55" s="24"/>
      <c r="L55" s="100">
        <v>1524</v>
      </c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</row>
    <row r="56" spans="1:59" s="71" customFormat="1" x14ac:dyDescent="0.2">
      <c r="A56" s="69" t="s">
        <v>90</v>
      </c>
      <c r="B56" s="25" t="s">
        <v>91</v>
      </c>
      <c r="C56" s="70">
        <f>912000+1012000-100000-100000-75000-75000-75000-75000-75000-75000-75000-75000-75000-75000-75000-75000</f>
        <v>824000</v>
      </c>
      <c r="D56" s="77"/>
      <c r="E56" s="24"/>
      <c r="F56" s="28"/>
      <c r="G56" s="129">
        <v>100000</v>
      </c>
      <c r="H56" s="129">
        <v>100000</v>
      </c>
      <c r="I56" s="24"/>
      <c r="J56" s="24"/>
      <c r="K56" s="129">
        <v>100000</v>
      </c>
      <c r="L56" s="24"/>
      <c r="N56" s="129">
        <v>124000</v>
      </c>
      <c r="O56" s="129">
        <v>100000</v>
      </c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</row>
    <row r="57" spans="1:59" s="71" customFormat="1" x14ac:dyDescent="0.2">
      <c r="A57" s="69" t="s">
        <v>138</v>
      </c>
      <c r="B57" s="25" t="s">
        <v>136</v>
      </c>
      <c r="C57" s="70"/>
      <c r="D57" s="77"/>
      <c r="E57" s="100">
        <f t="shared" ref="E57:K57" si="19">(4260*$A$6)/6</f>
        <v>51440.423000000003</v>
      </c>
      <c r="F57" s="24"/>
      <c r="G57" s="100">
        <f t="shared" si="19"/>
        <v>51440.423000000003</v>
      </c>
      <c r="H57" s="100">
        <f t="shared" si="19"/>
        <v>51440.423000000003</v>
      </c>
      <c r="I57" s="24"/>
      <c r="J57" s="24"/>
      <c r="K57" s="100">
        <f t="shared" si="19"/>
        <v>51440.423000000003</v>
      </c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</row>
    <row r="58" spans="1:59" s="71" customFormat="1" x14ac:dyDescent="0.2">
      <c r="A58" s="69" t="s">
        <v>156</v>
      </c>
      <c r="B58" s="25" t="s">
        <v>157</v>
      </c>
      <c r="C58" s="70"/>
      <c r="D58" s="77"/>
      <c r="E58" s="24"/>
      <c r="F58" s="100">
        <v>52500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</row>
    <row r="59" spans="1:59" s="71" customFormat="1" ht="12.75" customHeight="1" x14ac:dyDescent="0.2">
      <c r="A59" s="151" t="s">
        <v>139</v>
      </c>
      <c r="B59" s="152" t="s">
        <v>114</v>
      </c>
      <c r="C59" s="70"/>
      <c r="D59" s="77"/>
      <c r="E59" s="28"/>
      <c r="F59" s="28"/>
      <c r="G59" s="28"/>
      <c r="H59" s="28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</row>
    <row r="60" spans="1:59" s="71" customFormat="1" x14ac:dyDescent="0.2">
      <c r="A60" s="69" t="s">
        <v>128</v>
      </c>
      <c r="B60" s="25" t="s">
        <v>129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</row>
    <row r="61" spans="1:59" s="71" customFormat="1" x14ac:dyDescent="0.2">
      <c r="A61" s="69" t="s">
        <v>101</v>
      </c>
      <c r="B61" s="25" t="s">
        <v>130</v>
      </c>
      <c r="C61" s="70">
        <v>37500</v>
      </c>
      <c r="D61" s="77"/>
      <c r="E61" s="24"/>
      <c r="F61" s="24"/>
      <c r="G61" s="108">
        <f>100000/4</f>
        <v>25000</v>
      </c>
      <c r="H61" s="108">
        <f>25000/2</f>
        <v>12500</v>
      </c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</row>
    <row r="62" spans="1:59" s="71" customFormat="1" x14ac:dyDescent="0.2">
      <c r="A62" s="69" t="s">
        <v>154</v>
      </c>
      <c r="B62" s="25" t="s">
        <v>153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</row>
    <row r="63" spans="1:59" s="71" customFormat="1" x14ac:dyDescent="0.2">
      <c r="A63" s="69" t="s">
        <v>158</v>
      </c>
      <c r="B63" s="25"/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</row>
    <row r="64" spans="1:59" s="71" customFormat="1" x14ac:dyDescent="0.2">
      <c r="A64" s="69" t="s">
        <v>38</v>
      </c>
      <c r="B64" s="25" t="s">
        <v>39</v>
      </c>
      <c r="C64" s="70"/>
      <c r="D64" s="24"/>
      <c r="E64" s="24"/>
      <c r="F64" s="24"/>
      <c r="G64" s="100">
        <v>8400</v>
      </c>
      <c r="H64" s="100">
        <v>12600</v>
      </c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</row>
    <row r="65" spans="1:59" s="71" customFormat="1" x14ac:dyDescent="0.2">
      <c r="A65" s="69" t="s">
        <v>74</v>
      </c>
      <c r="B65" s="25" t="s">
        <v>131</v>
      </c>
      <c r="C65" s="70"/>
      <c r="D65" s="24"/>
      <c r="E65" s="24"/>
      <c r="F65" s="100">
        <v>15000</v>
      </c>
      <c r="G65" s="100">
        <f>80000/2</f>
        <v>40000</v>
      </c>
      <c r="H65" s="100">
        <v>11667</v>
      </c>
      <c r="I65" s="24"/>
      <c r="J65" s="24"/>
      <c r="K65" s="100">
        <f>7500+16500</f>
        <v>24000</v>
      </c>
      <c r="L65" s="24"/>
      <c r="N65" s="24"/>
      <c r="O65" s="100">
        <v>10000</v>
      </c>
      <c r="P65" s="24"/>
      <c r="Q65" s="24"/>
      <c r="R65" s="100">
        <v>30000</v>
      </c>
      <c r="S65" s="24"/>
      <c r="T65" s="24"/>
      <c r="U65" s="100">
        <v>30000</v>
      </c>
      <c r="V65" s="24"/>
      <c r="W65" s="24"/>
      <c r="X65" s="100">
        <v>12000</v>
      </c>
      <c r="Y65" s="24"/>
      <c r="Z65" s="24"/>
      <c r="AA65" s="100">
        <v>9500</v>
      </c>
      <c r="AB65" s="24"/>
      <c r="AC65" s="100">
        <v>22000</v>
      </c>
      <c r="AD65" s="24"/>
      <c r="AE65" s="24"/>
      <c r="AF65" s="100">
        <v>20000</v>
      </c>
      <c r="AG65" s="24"/>
      <c r="AH65" s="24"/>
      <c r="AI65" s="143">
        <v>40000</v>
      </c>
      <c r="AJ65" s="143">
        <v>12000</v>
      </c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</row>
    <row r="66" spans="1:59" s="71" customFormat="1" x14ac:dyDescent="0.2">
      <c r="A66" s="69" t="s">
        <v>74</v>
      </c>
      <c r="B66" s="25" t="s">
        <v>150</v>
      </c>
      <c r="C66" s="164">
        <v>3567700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</row>
    <row r="67" spans="1:59" s="73" customForma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</row>
    <row r="68" spans="1:59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</row>
    <row r="69" spans="1:59" s="5" customFormat="1" x14ac:dyDescent="0.2">
      <c r="A69" s="42"/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</row>
    <row r="70" spans="1:59" s="5" customFormat="1" x14ac:dyDescent="0.2">
      <c r="A70" s="36" t="s">
        <v>49</v>
      </c>
      <c r="B70" s="12"/>
      <c r="C70" s="13"/>
      <c r="D70" s="26"/>
      <c r="E70" s="13"/>
      <c r="F70" s="13"/>
      <c r="G70" s="13">
        <f>1400000+7400*A3</f>
        <v>2020152.56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</row>
    <row r="71" spans="1:59" s="5" customFormat="1" x14ac:dyDescent="0.2">
      <c r="A71" s="36" t="s">
        <v>57</v>
      </c>
      <c r="B71" s="12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R71" s="13"/>
      <c r="AS71" s="13"/>
      <c r="AT71" s="168">
        <v>1600000</v>
      </c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</row>
    <row r="72" spans="1:59" s="5" customFormat="1" x14ac:dyDescent="0.2">
      <c r="A72" s="36" t="s">
        <v>61</v>
      </c>
      <c r="B72" s="12"/>
      <c r="C72" s="13">
        <v>112000</v>
      </c>
      <c r="D72" s="26"/>
      <c r="E72" s="13"/>
      <c r="F72" s="13"/>
      <c r="G72" s="13">
        <f>4600*$A$3</f>
        <v>385500.24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</row>
    <row r="73" spans="1:59" s="5" customFormat="1" x14ac:dyDescent="0.2">
      <c r="A73" s="42" t="s">
        <v>151</v>
      </c>
      <c r="B73" s="12"/>
      <c r="C73" s="68">
        <f>(10000*10)*A6</f>
        <v>7245130</v>
      </c>
      <c r="D73" s="26"/>
      <c r="E73" s="13"/>
      <c r="F73" s="13"/>
      <c r="G73" s="126">
        <f>C73/2</f>
        <v>3622565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</row>
    <row r="74" spans="1:59" s="5" customFormat="1" x14ac:dyDescent="0.2">
      <c r="A74" s="36" t="s">
        <v>72</v>
      </c>
      <c r="B74" s="27" t="s">
        <v>73</v>
      </c>
      <c r="C74" s="62">
        <v>3637079.2460000003</v>
      </c>
      <c r="D74" s="35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</row>
    <row r="75" spans="1:59" s="5" customFormat="1" x14ac:dyDescent="0.2">
      <c r="A75" s="42"/>
      <c r="B75" s="12"/>
      <c r="C75" s="61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</row>
    <row r="76" spans="1:59" s="84" customFormat="1" x14ac:dyDescent="0.2">
      <c r="A76" s="81" t="s">
        <v>66</v>
      </c>
      <c r="B76" s="82"/>
      <c r="C76" s="63"/>
      <c r="D76" s="83"/>
      <c r="E76" s="83">
        <f>$C$5+E16-E26</f>
        <v>3483098.2317400002</v>
      </c>
      <c r="F76" s="83">
        <f t="shared" ref="F76:BG76" si="20">E76+F16-F26</f>
        <v>4092373.2805690905</v>
      </c>
      <c r="G76" s="83">
        <f t="shared" si="20"/>
        <v>5043108.5916472729</v>
      </c>
      <c r="H76" s="83">
        <f t="shared" si="20"/>
        <v>4736719.7331272727</v>
      </c>
      <c r="I76" s="83">
        <f t="shared" si="20"/>
        <v>4736719.7331272727</v>
      </c>
      <c r="J76" s="83">
        <f t="shared" si="20"/>
        <v>4736719.7331272727</v>
      </c>
      <c r="K76" s="83">
        <f t="shared" si="20"/>
        <v>4168880.9767939392</v>
      </c>
      <c r="L76" s="83">
        <f t="shared" si="20"/>
        <v>3797513.4547139392</v>
      </c>
      <c r="M76" s="83">
        <f t="shared" si="20"/>
        <v>3465183.526680606</v>
      </c>
      <c r="N76" s="83">
        <f t="shared" si="20"/>
        <v>2788728.6512672724</v>
      </c>
      <c r="O76" s="83">
        <f t="shared" si="20"/>
        <v>2277487.370593939</v>
      </c>
      <c r="P76" s="83">
        <f t="shared" si="20"/>
        <v>2277487.370593939</v>
      </c>
      <c r="Q76" s="83">
        <f t="shared" si="20"/>
        <v>2277487.370593939</v>
      </c>
      <c r="R76" s="83">
        <f t="shared" si="20"/>
        <v>3931796.4951806054</v>
      </c>
      <c r="S76" s="83">
        <f t="shared" si="20"/>
        <v>439839.214507272</v>
      </c>
      <c r="T76" s="83">
        <f t="shared" si="20"/>
        <v>-226295.63765606133</v>
      </c>
      <c r="U76" s="83">
        <f t="shared" si="20"/>
        <v>-1439102.4379346976</v>
      </c>
      <c r="V76" s="83">
        <f t="shared" si="20"/>
        <v>-2386598.6561165159</v>
      </c>
      <c r="W76" s="83">
        <f t="shared" si="20"/>
        <v>-2386598.6561165159</v>
      </c>
      <c r="X76" s="83">
        <f t="shared" si="20"/>
        <v>-3081158.6561165159</v>
      </c>
      <c r="Y76" s="83">
        <f t="shared" si="20"/>
        <v>-1408392.1072874251</v>
      </c>
      <c r="Z76" s="83">
        <f t="shared" si="20"/>
        <v>-2392942.8873492433</v>
      </c>
      <c r="AA76" s="83">
        <f t="shared" si="20"/>
        <v>-3129899.3442478795</v>
      </c>
      <c r="AB76" s="83">
        <f t="shared" si="20"/>
        <v>-3641950.1243096977</v>
      </c>
      <c r="AC76" s="83">
        <f t="shared" si="20"/>
        <v>-3909270.090673334</v>
      </c>
      <c r="AD76" s="83">
        <f t="shared" si="20"/>
        <v>-3909270.090673334</v>
      </c>
      <c r="AE76" s="83">
        <f t="shared" si="20"/>
        <v>-3909270.090673334</v>
      </c>
      <c r="AF76" s="83">
        <f t="shared" si="20"/>
        <v>-4076252.0525533343</v>
      </c>
      <c r="AG76" s="83">
        <f t="shared" si="20"/>
        <v>-4453783.2905351529</v>
      </c>
      <c r="AH76" s="83">
        <f t="shared" si="20"/>
        <v>-4561739.6238684859</v>
      </c>
      <c r="AI76" s="83">
        <f t="shared" si="20"/>
        <v>-4774807.5768071227</v>
      </c>
      <c r="AJ76" s="83">
        <f t="shared" si="20"/>
        <v>-5143145.5297457594</v>
      </c>
      <c r="AK76" s="83">
        <f t="shared" si="20"/>
        <v>-5143145.5297457594</v>
      </c>
      <c r="AL76" s="83">
        <f t="shared" si="20"/>
        <v>-5143145.5297457594</v>
      </c>
      <c r="AM76" s="83">
        <f t="shared" si="20"/>
        <v>-3316213.4826843957</v>
      </c>
      <c r="AN76" s="83">
        <f t="shared" si="20"/>
        <v>-3489281.435623032</v>
      </c>
      <c r="AO76" s="83">
        <f t="shared" si="20"/>
        <v>-3662349.3885616683</v>
      </c>
      <c r="AP76" s="83">
        <f t="shared" si="20"/>
        <v>-3662349.3885616683</v>
      </c>
      <c r="AQ76" s="83">
        <f t="shared" si="20"/>
        <v>-3662349.3885616683</v>
      </c>
      <c r="AR76" s="83">
        <f t="shared" si="20"/>
        <v>-3662349.3885616683</v>
      </c>
      <c r="AS76" s="83">
        <f t="shared" si="20"/>
        <v>-3662349.3885616683</v>
      </c>
      <c r="AT76" s="83">
        <f t="shared" si="20"/>
        <v>-931364.38856166834</v>
      </c>
      <c r="AU76" s="83">
        <f t="shared" si="20"/>
        <v>-931364.38856166834</v>
      </c>
      <c r="AV76" s="83">
        <f t="shared" si="20"/>
        <v>-931364.38856166834</v>
      </c>
      <c r="AW76" s="83">
        <f t="shared" si="20"/>
        <v>-931364.38856166834</v>
      </c>
      <c r="AX76" s="83">
        <f t="shared" si="20"/>
        <v>-931364.38856166834</v>
      </c>
      <c r="AY76" s="83">
        <f t="shared" si="20"/>
        <v>-931364.38856166834</v>
      </c>
      <c r="AZ76" s="83">
        <f t="shared" si="20"/>
        <v>-931364.38856166834</v>
      </c>
      <c r="BA76" s="83">
        <f t="shared" si="20"/>
        <v>1306009.3514383319</v>
      </c>
      <c r="BB76" s="83">
        <f t="shared" si="20"/>
        <v>1306009.3514383319</v>
      </c>
      <c r="BC76" s="83">
        <f t="shared" si="20"/>
        <v>1306009.3514383319</v>
      </c>
      <c r="BD76" s="83">
        <f t="shared" si="20"/>
        <v>1306009.3514383319</v>
      </c>
      <c r="BE76" s="83">
        <f t="shared" si="20"/>
        <v>1306009.3514383319</v>
      </c>
      <c r="BF76" s="83">
        <f t="shared" si="20"/>
        <v>1306009.3514383319</v>
      </c>
      <c r="BG76" s="83">
        <f t="shared" si="20"/>
        <v>1306009.3514383319</v>
      </c>
    </row>
    <row r="78" spans="1:59" s="5" customFormat="1" x14ac:dyDescent="0.2">
      <c r="A78" s="42"/>
      <c r="B78" s="12"/>
      <c r="C78" s="68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</row>
    <row r="79" spans="1:59" s="89" customFormat="1" x14ac:dyDescent="0.2">
      <c r="A79" s="85" t="s">
        <v>65</v>
      </c>
      <c r="B79" s="86"/>
      <c r="C79" s="87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</row>
    <row r="80" spans="1:59" s="5" customFormat="1" ht="22.5" x14ac:dyDescent="0.2">
      <c r="A80" s="36" t="s">
        <v>67</v>
      </c>
      <c r="B80" s="27" t="s">
        <v>68</v>
      </c>
      <c r="C80" s="68">
        <v>3221210.79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</row>
    <row r="81" spans="1:59" s="5" customFormat="1" x14ac:dyDescent="0.2">
      <c r="A81" s="36" t="s">
        <v>69</v>
      </c>
      <c r="B81" s="27" t="s">
        <v>70</v>
      </c>
      <c r="C81" s="68">
        <v>9814338.4000000004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</row>
    <row r="82" spans="1:59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</row>
    <row r="83" spans="1:59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</row>
    <row r="85" spans="1:59" x14ac:dyDescent="0.25">
      <c r="B85" s="14"/>
    </row>
  </sheetData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85"/>
  <sheetViews>
    <sheetView topLeftCell="A22" workbookViewId="0">
      <selection activeCell="E50" sqref="E50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2.85546875" style="3" customWidth="1"/>
    <col min="6" max="7" width="11.85546875" style="3" customWidth="1"/>
    <col min="8" max="8" width="13" style="3" customWidth="1"/>
    <col min="9" max="9" width="12.28515625" style="3" customWidth="1"/>
    <col min="10" max="10" width="12.140625" style="3" customWidth="1"/>
    <col min="11" max="11" width="11.140625" style="3" customWidth="1"/>
    <col min="12" max="12" width="12.7109375" style="3" customWidth="1"/>
    <col min="13" max="13" width="11.140625" style="3" customWidth="1"/>
    <col min="14" max="14" width="11.7109375" style="3" customWidth="1"/>
    <col min="15" max="15" width="11.5703125" style="3" customWidth="1"/>
    <col min="16" max="17" width="10.85546875" style="3" customWidth="1"/>
    <col min="18" max="18" width="12.85546875" style="3" customWidth="1"/>
    <col min="19" max="19" width="12" style="3" customWidth="1"/>
    <col min="20" max="20" width="11.140625" style="3" customWidth="1"/>
    <col min="21" max="21" width="12.7109375" style="3" customWidth="1"/>
    <col min="22" max="22" width="11.42578125" style="3" customWidth="1"/>
    <col min="23" max="23" width="11.7109375" style="3" customWidth="1"/>
    <col min="24" max="24" width="10.5703125" style="3" customWidth="1"/>
    <col min="25" max="25" width="12" style="3" customWidth="1"/>
    <col min="26" max="26" width="11.140625" style="3" customWidth="1"/>
    <col min="27" max="27" width="10.42578125" style="3" customWidth="1"/>
    <col min="28" max="28" width="14" style="3" customWidth="1"/>
    <col min="29" max="29" width="10.42578125" style="3" customWidth="1"/>
    <col min="30" max="30" width="12.5703125" style="3" customWidth="1"/>
    <col min="31" max="31" width="13.28515625" style="3" customWidth="1"/>
    <col min="32" max="32" width="12.140625" style="3" customWidth="1"/>
    <col min="33" max="33" width="12.42578125" style="3" customWidth="1"/>
    <col min="34" max="34" width="12.28515625" style="3" customWidth="1"/>
    <col min="35" max="35" width="12.7109375" style="3" customWidth="1"/>
    <col min="36" max="36" width="11.28515625" style="3" customWidth="1"/>
    <col min="37" max="37" width="11.85546875" style="3" customWidth="1"/>
    <col min="38" max="38" width="12.28515625" style="3" customWidth="1"/>
    <col min="39" max="39" width="11.140625" style="3" customWidth="1"/>
    <col min="40" max="40" width="10.5703125" style="3" customWidth="1"/>
    <col min="41" max="41" width="10.85546875" style="3" customWidth="1"/>
    <col min="42" max="42" width="12" style="3" customWidth="1"/>
    <col min="43" max="43" width="13.140625" style="3" customWidth="1"/>
    <col min="44" max="44" width="11.140625" style="3" customWidth="1"/>
    <col min="45" max="45" width="12.5703125" style="3" customWidth="1"/>
    <col min="46" max="46" width="12.140625" style="3" customWidth="1"/>
    <col min="47" max="47" width="12.42578125" style="3" customWidth="1"/>
    <col min="48" max="48" width="12" style="3" customWidth="1"/>
    <col min="49" max="49" width="14.85546875" style="3" customWidth="1"/>
    <col min="50" max="50" width="11.5703125" style="3" customWidth="1"/>
    <col min="51" max="51" width="13.7109375" style="3" customWidth="1"/>
    <col min="52" max="52" width="12.42578125" style="3" customWidth="1"/>
    <col min="53" max="53" width="10.85546875" style="3" customWidth="1"/>
    <col min="54" max="54" width="12.140625" style="3" customWidth="1"/>
    <col min="55" max="55" width="11.85546875" style="3" customWidth="1"/>
    <col min="56" max="56" width="12.7109375" style="3" customWidth="1"/>
    <col min="57" max="57" width="12.42578125" style="3" customWidth="1"/>
    <col min="58" max="58" width="11.140625" style="3" customWidth="1"/>
    <col min="59" max="59" width="11.5703125" style="3" customWidth="1"/>
    <col min="60" max="60" width="12.28515625" style="3" customWidth="1"/>
    <col min="61" max="16384" width="9" style="3"/>
  </cols>
  <sheetData>
    <row r="1" spans="1:60" ht="12" thickBot="1" x14ac:dyDescent="0.3"/>
    <row r="2" spans="1:60" s="1" customFormat="1" x14ac:dyDescent="0.2">
      <c r="A2" s="43" t="s">
        <v>50</v>
      </c>
      <c r="B2" s="15" t="s">
        <v>27</v>
      </c>
      <c r="C2" s="50">
        <v>5081081.6500000004</v>
      </c>
    </row>
    <row r="3" spans="1:60" s="1" customFormat="1" ht="12" thickBot="1" x14ac:dyDescent="0.25">
      <c r="A3" s="44">
        <v>82.974299999999999</v>
      </c>
      <c r="B3" s="15" t="s">
        <v>28</v>
      </c>
      <c r="C3" s="50">
        <v>10778.95</v>
      </c>
    </row>
    <row r="4" spans="1:60" s="8" customFormat="1" ht="12" thickBot="1" x14ac:dyDescent="0.25">
      <c r="A4" s="45"/>
      <c r="B4" s="15" t="s">
        <v>25</v>
      </c>
      <c r="C4" s="51">
        <v>0</v>
      </c>
    </row>
    <row r="5" spans="1:60" s="6" customFormat="1" x14ac:dyDescent="0.2">
      <c r="A5" s="43" t="s">
        <v>51</v>
      </c>
      <c r="B5" s="49" t="s">
        <v>26</v>
      </c>
      <c r="C5" s="52">
        <f>SUM(C2:C4)</f>
        <v>5091860.6000000006</v>
      </c>
    </row>
    <row r="6" spans="1:60" s="6" customFormat="1" ht="12" thickBot="1" x14ac:dyDescent="0.25">
      <c r="A6" s="44">
        <v>71.907700000000006</v>
      </c>
      <c r="B6" s="16"/>
      <c r="C6" s="53"/>
      <c r="D6" s="17"/>
    </row>
    <row r="7" spans="1:60" s="6" customFormat="1" ht="12" thickBot="1" x14ac:dyDescent="0.25">
      <c r="A7" s="105" t="s">
        <v>51</v>
      </c>
      <c r="B7" s="18" t="s">
        <v>127</v>
      </c>
      <c r="C7" s="54">
        <f>SUM(16:16)</f>
        <v>25757372.721199997</v>
      </c>
    </row>
    <row r="8" spans="1:60" x14ac:dyDescent="0.25">
      <c r="A8" s="43" t="s">
        <v>52</v>
      </c>
      <c r="B8" s="18" t="s">
        <v>126</v>
      </c>
      <c r="C8" s="54">
        <f>SUM(26:26)</f>
        <v>51091258.098918498</v>
      </c>
    </row>
    <row r="9" spans="1:60" ht="12" thickBot="1" x14ac:dyDescent="0.3">
      <c r="A9" s="44">
        <v>10.606400000000001</v>
      </c>
      <c r="B9" s="19" t="s">
        <v>64</v>
      </c>
      <c r="C9" s="55">
        <f>C5+C7-C8-C11</f>
        <v>-41835161.698238499</v>
      </c>
    </row>
    <row r="10" spans="1:60" x14ac:dyDescent="0.25">
      <c r="A10" s="99" t="s">
        <v>80</v>
      </c>
      <c r="B10" s="18" t="s">
        <v>23</v>
      </c>
      <c r="C10" s="56">
        <f>C16</f>
        <v>0</v>
      </c>
    </row>
    <row r="11" spans="1:60" x14ac:dyDescent="0.25">
      <c r="A11" s="101" t="s">
        <v>87</v>
      </c>
      <c r="B11" s="18" t="s">
        <v>24</v>
      </c>
      <c r="C11" s="54">
        <f>C26</f>
        <v>21593136.92052</v>
      </c>
    </row>
    <row r="12" spans="1:60" x14ac:dyDescent="0.25">
      <c r="A12" s="107" t="s">
        <v>88</v>
      </c>
    </row>
    <row r="13" spans="1:60" x14ac:dyDescent="0.25">
      <c r="A13" s="38"/>
      <c r="B13" s="10"/>
      <c r="C13" s="57"/>
      <c r="D13" s="10"/>
    </row>
    <row r="14" spans="1:60" s="2" customFormat="1" x14ac:dyDescent="0.25">
      <c r="A14" s="64"/>
      <c r="B14" s="65"/>
      <c r="C14" s="58" t="s">
        <v>56</v>
      </c>
      <c r="D14" s="66"/>
      <c r="E14" s="66">
        <v>46188</v>
      </c>
      <c r="F14" s="66">
        <v>46189</v>
      </c>
      <c r="G14" s="66">
        <v>46190</v>
      </c>
      <c r="H14" s="66">
        <v>46191</v>
      </c>
      <c r="I14" s="66">
        <v>46192</v>
      </c>
      <c r="J14" s="66">
        <v>46193</v>
      </c>
      <c r="K14" s="66">
        <v>46194</v>
      </c>
      <c r="L14" s="66">
        <v>46195</v>
      </c>
      <c r="M14" s="66">
        <v>46196</v>
      </c>
      <c r="N14" s="66">
        <v>46197</v>
      </c>
      <c r="O14" s="66">
        <v>46198</v>
      </c>
      <c r="P14" s="66">
        <v>46199</v>
      </c>
      <c r="Q14" s="66">
        <v>46200</v>
      </c>
      <c r="R14" s="66">
        <v>46201</v>
      </c>
      <c r="S14" s="66">
        <v>46202</v>
      </c>
      <c r="T14" s="66">
        <v>46203</v>
      </c>
      <c r="U14" s="66">
        <v>46204</v>
      </c>
      <c r="V14" s="66">
        <v>46205</v>
      </c>
      <c r="W14" s="66">
        <v>46206</v>
      </c>
      <c r="X14" s="66">
        <v>46207</v>
      </c>
      <c r="Y14" s="66">
        <v>46208</v>
      </c>
      <c r="Z14" s="66">
        <v>46209</v>
      </c>
      <c r="AA14" s="66">
        <v>46210</v>
      </c>
      <c r="AB14" s="66">
        <v>46211</v>
      </c>
      <c r="AC14" s="66">
        <v>46212</v>
      </c>
      <c r="AD14" s="66">
        <v>46213</v>
      </c>
      <c r="AE14" s="66">
        <v>46214</v>
      </c>
      <c r="AF14" s="66">
        <v>46215</v>
      </c>
      <c r="AG14" s="66">
        <v>46216</v>
      </c>
      <c r="AH14" s="66">
        <v>46217</v>
      </c>
      <c r="AI14" s="66">
        <v>46218</v>
      </c>
      <c r="AJ14" s="66">
        <v>46219</v>
      </c>
      <c r="AK14" s="66">
        <v>46220</v>
      </c>
      <c r="AL14" s="66">
        <v>46221</v>
      </c>
      <c r="AM14" s="66">
        <v>46222</v>
      </c>
      <c r="AN14" s="66">
        <v>46223</v>
      </c>
      <c r="AO14" s="66">
        <v>46224</v>
      </c>
      <c r="AP14" s="66">
        <v>46225</v>
      </c>
      <c r="AQ14" s="66">
        <v>46226</v>
      </c>
      <c r="AR14" s="66">
        <v>46227</v>
      </c>
      <c r="AS14" s="66">
        <v>46228</v>
      </c>
      <c r="AT14" s="66">
        <v>46229</v>
      </c>
      <c r="AU14" s="66">
        <v>46230</v>
      </c>
      <c r="AV14" s="66">
        <v>46231</v>
      </c>
      <c r="AW14" s="66">
        <v>46232</v>
      </c>
      <c r="AX14" s="66">
        <v>46233</v>
      </c>
      <c r="AY14" s="66">
        <v>46234</v>
      </c>
      <c r="AZ14" s="66">
        <v>46235</v>
      </c>
      <c r="BA14" s="66">
        <v>46236</v>
      </c>
      <c r="BB14" s="66">
        <v>46237</v>
      </c>
      <c r="BC14" s="66">
        <v>46238</v>
      </c>
      <c r="BD14" s="66">
        <v>46239</v>
      </c>
      <c r="BE14" s="66">
        <v>46240</v>
      </c>
      <c r="BF14" s="66">
        <v>46241</v>
      </c>
      <c r="BG14" s="66">
        <v>46242</v>
      </c>
      <c r="BH14" s="66">
        <v>46243</v>
      </c>
    </row>
    <row r="15" spans="1:60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</row>
    <row r="16" spans="1:60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H16" si="0">SUM(E17:E25)</f>
        <v>0</v>
      </c>
      <c r="F16" s="29">
        <f t="shared" si="0"/>
        <v>0</v>
      </c>
      <c r="G16" s="29">
        <f t="shared" si="0"/>
        <v>1000000</v>
      </c>
      <c r="H16" s="29">
        <f t="shared" si="0"/>
        <v>7972502.6411999995</v>
      </c>
      <c r="I16" s="29">
        <f t="shared" si="0"/>
        <v>1500000</v>
      </c>
      <c r="J16" s="135">
        <f t="shared" si="0"/>
        <v>0</v>
      </c>
      <c r="K16" s="135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29">
        <f t="shared" si="0"/>
        <v>0</v>
      </c>
      <c r="Q16" s="135">
        <f t="shared" si="0"/>
        <v>0</v>
      </c>
      <c r="R16" s="135">
        <f t="shared" si="0"/>
        <v>0</v>
      </c>
      <c r="S16" s="29">
        <f t="shared" si="0"/>
        <v>2000000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135">
        <f t="shared" si="0"/>
        <v>0</v>
      </c>
      <c r="Y16" s="135">
        <f t="shared" si="0"/>
        <v>0</v>
      </c>
      <c r="Z16" s="29">
        <f t="shared" si="0"/>
        <v>2000000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135">
        <f t="shared" si="0"/>
        <v>0</v>
      </c>
      <c r="AF16" s="135">
        <f t="shared" si="0"/>
        <v>0</v>
      </c>
      <c r="AG16" s="29">
        <f t="shared" si="0"/>
        <v>2000000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29">
        <f t="shared" si="0"/>
        <v>0</v>
      </c>
      <c r="AL16" s="135">
        <f t="shared" si="0"/>
        <v>0</v>
      </c>
      <c r="AM16" s="135">
        <f t="shared" si="0"/>
        <v>0</v>
      </c>
      <c r="AN16" s="29">
        <f t="shared" si="0"/>
        <v>2000000</v>
      </c>
      <c r="AO16" s="29">
        <f t="shared" si="0"/>
        <v>0</v>
      </c>
      <c r="AP16" s="29">
        <f t="shared" si="0"/>
        <v>0</v>
      </c>
      <c r="AQ16" s="29">
        <f t="shared" si="0"/>
        <v>0</v>
      </c>
      <c r="AR16" s="29">
        <f t="shared" si="0"/>
        <v>0</v>
      </c>
      <c r="AS16" s="135">
        <f t="shared" si="0"/>
        <v>0</v>
      </c>
      <c r="AT16" s="135">
        <f t="shared" si="0"/>
        <v>0</v>
      </c>
      <c r="AU16" s="29">
        <f t="shared" si="0"/>
        <v>4330985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29">
        <f t="shared" si="0"/>
        <v>0</v>
      </c>
      <c r="AZ16" s="135">
        <f t="shared" si="0"/>
        <v>0</v>
      </c>
      <c r="BA16" s="135">
        <f t="shared" si="0"/>
        <v>0</v>
      </c>
      <c r="BB16" s="29">
        <f t="shared" si="0"/>
        <v>2953885.08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29">
        <f t="shared" si="0"/>
        <v>0</v>
      </c>
      <c r="BG16" s="135">
        <f t="shared" si="0"/>
        <v>0</v>
      </c>
      <c r="BH16" s="135">
        <f t="shared" si="0"/>
        <v>0</v>
      </c>
    </row>
    <row r="17" spans="1:60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</row>
    <row r="18" spans="1:60" s="80" customFormat="1" x14ac:dyDescent="0.25">
      <c r="A18" s="40" t="s">
        <v>9</v>
      </c>
      <c r="B18" s="21"/>
      <c r="C18" s="59"/>
      <c r="D18" s="30"/>
      <c r="E18" s="30"/>
      <c r="F18" s="30"/>
      <c r="G18" s="30">
        <v>1000000</v>
      </c>
      <c r="H18" s="30"/>
      <c r="I18" s="30">
        <v>1500000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</row>
    <row r="19" spans="1:60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>
        <v>2000000</v>
      </c>
      <c r="T19" s="30"/>
      <c r="U19" s="30"/>
      <c r="V19" s="30"/>
      <c r="W19" s="30"/>
      <c r="X19" s="30"/>
      <c r="Y19" s="30"/>
      <c r="Z19" s="30">
        <v>2000000</v>
      </c>
      <c r="AA19" s="30"/>
      <c r="AB19" s="30"/>
      <c r="AC19" s="30"/>
      <c r="AD19" s="30"/>
      <c r="AE19" s="30"/>
      <c r="AF19" s="30"/>
      <c r="AG19" s="30">
        <v>2000000</v>
      </c>
      <c r="AH19" s="30"/>
      <c r="AI19" s="30"/>
      <c r="AJ19" s="30"/>
      <c r="AK19" s="30"/>
      <c r="AL19" s="30"/>
      <c r="AM19" s="30"/>
      <c r="AN19" s="30">
        <v>2000000</v>
      </c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</row>
    <row r="20" spans="1:60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S20" s="30"/>
      <c r="AT20" s="30"/>
      <c r="AU20" s="30">
        <v>4330985</v>
      </c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</row>
    <row r="21" spans="1:60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</row>
    <row r="22" spans="1:60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</row>
    <row r="23" spans="1:60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>
        <f>96084*A3</f>
        <v>7972502.6411999995</v>
      </c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</row>
    <row r="24" spans="1:60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T24" s="30"/>
      <c r="U24" s="30"/>
      <c r="V24" s="30"/>
      <c r="W24" s="30"/>
      <c r="X24" s="30"/>
      <c r="Y24" s="30"/>
      <c r="Z24" s="30"/>
      <c r="AA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165">
        <f>35600*A3</f>
        <v>2953885.08</v>
      </c>
      <c r="BC24" s="30"/>
      <c r="BD24" s="30"/>
      <c r="BE24" s="30"/>
      <c r="BF24" s="30"/>
      <c r="BG24" s="30"/>
      <c r="BH24" s="30"/>
    </row>
    <row r="25" spans="1:60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</row>
    <row r="26" spans="1:60" s="4" customFormat="1" x14ac:dyDescent="0.2">
      <c r="A26" s="41" t="s">
        <v>1</v>
      </c>
      <c r="B26" s="22"/>
      <c r="C26" s="34">
        <f>SUM(C28:C74)</f>
        <v>21593136.92052</v>
      </c>
      <c r="D26" s="34"/>
      <c r="E26" s="34">
        <f t="shared" ref="E26:BH26" si="1">SUM(E27:E75)</f>
        <v>1175067.273</v>
      </c>
      <c r="F26" s="34">
        <f t="shared" si="1"/>
        <v>399637.57778181817</v>
      </c>
      <c r="G26" s="34">
        <f t="shared" si="1"/>
        <v>389489.67405090912</v>
      </c>
      <c r="H26" s="34">
        <f t="shared" si="1"/>
        <v>7062088.6127418187</v>
      </c>
      <c r="I26" s="34">
        <f t="shared" si="1"/>
        <v>1804651.6772</v>
      </c>
      <c r="J26" s="34">
        <f t="shared" si="1"/>
        <v>0</v>
      </c>
      <c r="K26" s="34">
        <f t="shared" si="1"/>
        <v>0</v>
      </c>
      <c r="L26" s="34">
        <f t="shared" si="1"/>
        <v>567452.80033333343</v>
      </c>
      <c r="M26" s="34">
        <f t="shared" si="1"/>
        <v>341655.26496</v>
      </c>
      <c r="N26" s="34">
        <f t="shared" si="1"/>
        <v>331474.61973333335</v>
      </c>
      <c r="O26" s="34">
        <f t="shared" si="1"/>
        <v>675219.59829333331</v>
      </c>
      <c r="P26" s="34">
        <f t="shared" si="1"/>
        <v>509330.3908933333</v>
      </c>
      <c r="Q26" s="34">
        <f t="shared" si="1"/>
        <v>0</v>
      </c>
      <c r="R26" s="34">
        <f t="shared" si="1"/>
        <v>0</v>
      </c>
      <c r="S26" s="34">
        <f t="shared" si="1"/>
        <v>344455.59829333331</v>
      </c>
      <c r="T26" s="34">
        <f t="shared" si="1"/>
        <v>3490046.3908933331</v>
      </c>
      <c r="U26" s="34">
        <f t="shared" si="1"/>
        <v>661720.87404333334</v>
      </c>
      <c r="V26" s="34">
        <f t="shared" si="1"/>
        <v>1209447.7303236364</v>
      </c>
      <c r="W26" s="34">
        <f t="shared" si="1"/>
        <v>941401.61818181816</v>
      </c>
      <c r="X26" s="34">
        <f t="shared" si="1"/>
        <v>0</v>
      </c>
      <c r="Y26" s="34">
        <f t="shared" si="1"/>
        <v>694560</v>
      </c>
      <c r="Z26" s="34">
        <f t="shared" si="1"/>
        <v>325998.17405090912</v>
      </c>
      <c r="AA26" s="34">
        <f t="shared" si="1"/>
        <v>981169.22074181819</v>
      </c>
      <c r="AB26" s="34">
        <f t="shared" si="1"/>
        <v>730891.44028363645</v>
      </c>
      <c r="AC26" s="34">
        <f t="shared" si="1"/>
        <v>508669.22074181819</v>
      </c>
      <c r="AD26" s="34">
        <f t="shared" si="1"/>
        <v>267319.96636363631</v>
      </c>
      <c r="AE26" s="34">
        <f t="shared" si="1"/>
        <v>0</v>
      </c>
      <c r="AF26" s="34">
        <f t="shared" si="1"/>
        <v>0</v>
      </c>
      <c r="AG26" s="34">
        <f t="shared" si="1"/>
        <v>2163600.4025600003</v>
      </c>
      <c r="AH26" s="34">
        <f t="shared" si="1"/>
        <v>375384.95578181819</v>
      </c>
      <c r="AI26" s="34">
        <f t="shared" si="1"/>
        <v>107956.33333333334</v>
      </c>
      <c r="AJ26" s="34">
        <f t="shared" si="1"/>
        <v>211619.7727636364</v>
      </c>
      <c r="AK26" s="34">
        <f t="shared" si="1"/>
        <v>366889.77276363643</v>
      </c>
      <c r="AL26" s="34">
        <f t="shared" si="1"/>
        <v>0</v>
      </c>
      <c r="AM26" s="34">
        <f t="shared" si="1"/>
        <v>0</v>
      </c>
      <c r="AN26" s="34">
        <f t="shared" si="1"/>
        <v>171619.7727636364</v>
      </c>
      <c r="AO26" s="34">
        <f t="shared" si="1"/>
        <v>171619.7727636364</v>
      </c>
      <c r="AP26" s="34">
        <f t="shared" si="1"/>
        <v>171619.7727636364</v>
      </c>
      <c r="AQ26" s="34">
        <f t="shared" si="1"/>
        <v>0</v>
      </c>
      <c r="AR26" s="34">
        <f t="shared" si="1"/>
        <v>0</v>
      </c>
      <c r="AS26" s="34">
        <f t="shared" si="1"/>
        <v>0</v>
      </c>
      <c r="AT26" s="34">
        <f t="shared" si="1"/>
        <v>0</v>
      </c>
      <c r="AU26" s="34">
        <f t="shared" si="1"/>
        <v>1600000</v>
      </c>
      <c r="AV26" s="34">
        <f t="shared" si="1"/>
        <v>0</v>
      </c>
      <c r="AW26" s="34">
        <f t="shared" si="1"/>
        <v>0</v>
      </c>
      <c r="AX26" s="34">
        <f t="shared" si="1"/>
        <v>0</v>
      </c>
      <c r="AY26" s="34">
        <f t="shared" si="1"/>
        <v>0</v>
      </c>
      <c r="AZ26" s="34">
        <f t="shared" si="1"/>
        <v>0</v>
      </c>
      <c r="BA26" s="34">
        <f t="shared" si="1"/>
        <v>0</v>
      </c>
      <c r="BB26" s="34">
        <f t="shared" si="1"/>
        <v>746062.9</v>
      </c>
      <c r="BC26" s="34">
        <f t="shared" si="1"/>
        <v>0</v>
      </c>
      <c r="BD26" s="34">
        <f t="shared" si="1"/>
        <v>0</v>
      </c>
      <c r="BE26" s="34">
        <f t="shared" si="1"/>
        <v>0</v>
      </c>
      <c r="BF26" s="34">
        <f t="shared" si="1"/>
        <v>0</v>
      </c>
      <c r="BG26" s="34">
        <f t="shared" si="1"/>
        <v>0</v>
      </c>
      <c r="BH26" s="34">
        <f t="shared" si="1"/>
        <v>0</v>
      </c>
    </row>
    <row r="27" spans="1:60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</row>
    <row r="28" spans="1:60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</row>
    <row r="29" spans="1:60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</row>
    <row r="30" spans="1:60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>
        <f>8399365/3</f>
        <v>2799788.3333333335</v>
      </c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</row>
    <row r="31" spans="1:60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90">
        <f>291375+137118</f>
        <v>428493</v>
      </c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</row>
    <row r="32" spans="1:60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/>
      <c r="I32" s="24">
        <v>480520</v>
      </c>
      <c r="J32" s="24"/>
      <c r="K32" s="24"/>
      <c r="L32" s="24"/>
      <c r="M32" s="24"/>
      <c r="N32" s="24"/>
      <c r="O32" s="24">
        <v>350000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</row>
    <row r="33" spans="1:60" s="1" customFormat="1" x14ac:dyDescent="0.2">
      <c r="A33" s="36" t="s">
        <v>118</v>
      </c>
      <c r="B33" s="23"/>
      <c r="C33" s="60"/>
      <c r="D33" s="24"/>
      <c r="E33" s="100">
        <v>271506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>
        <v>271506</v>
      </c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</row>
    <row r="34" spans="1:60" s="1" customFormat="1" x14ac:dyDescent="0.2">
      <c r="A34" s="36" t="s">
        <v>54</v>
      </c>
      <c r="B34" s="23"/>
      <c r="C34" s="60"/>
      <c r="D34" s="24"/>
      <c r="E34" s="24"/>
      <c r="F34" s="24">
        <v>50000</v>
      </c>
      <c r="G34" s="24"/>
      <c r="H34" s="24">
        <f>100113.9/2</f>
        <v>50056.95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</row>
    <row r="35" spans="1:60" s="1" customFormat="1" x14ac:dyDescent="0.2">
      <c r="A35" s="36" t="s">
        <v>71</v>
      </c>
      <c r="B35" s="23"/>
      <c r="C35" s="60"/>
      <c r="D35" s="24"/>
      <c r="E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>
        <v>200113.9</v>
      </c>
      <c r="W35" s="24">
        <v>40000</v>
      </c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>
        <v>200113.9</v>
      </c>
      <c r="BC35" s="24"/>
      <c r="BD35" s="24"/>
      <c r="BE35" s="24"/>
      <c r="BF35" s="24"/>
      <c r="BG35" s="24"/>
      <c r="BH35" s="24"/>
    </row>
    <row r="36" spans="1:60" s="1" customFormat="1" x14ac:dyDescent="0.2">
      <c r="A36" s="36" t="s">
        <v>53</v>
      </c>
      <c r="B36" s="23"/>
      <c r="C36" s="60"/>
      <c r="D36" s="24"/>
      <c r="E36" s="100">
        <f t="shared" ref="E36:G36" si="2">545949/6</f>
        <v>90991.5</v>
      </c>
      <c r="F36" s="24"/>
      <c r="G36" s="24">
        <f t="shared" si="2"/>
        <v>90991.5</v>
      </c>
      <c r="H36" s="24">
        <v>140000</v>
      </c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>
        <v>545949</v>
      </c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>
        <v>545949</v>
      </c>
      <c r="BC36" s="24"/>
      <c r="BD36" s="24"/>
      <c r="BE36" s="24"/>
      <c r="BF36" s="24"/>
      <c r="BG36" s="24"/>
      <c r="BH36" s="24"/>
    </row>
    <row r="37" spans="1:60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s="71" customFormat="1" x14ac:dyDescent="0.2">
      <c r="A38" s="69" t="s">
        <v>14</v>
      </c>
      <c r="B38" s="25" t="s">
        <v>30</v>
      </c>
      <c r="C38" s="70"/>
      <c r="D38" s="24"/>
      <c r="E38" s="28"/>
      <c r="F38" s="28"/>
      <c r="G38" s="28"/>
      <c r="H38" s="28"/>
      <c r="I38" s="100">
        <v>774474</v>
      </c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</row>
    <row r="39" spans="1:60" s="71" customFormat="1" x14ac:dyDescent="0.2">
      <c r="A39" s="69" t="s">
        <v>115</v>
      </c>
      <c r="B39" s="25" t="s">
        <v>116</v>
      </c>
      <c r="C39" s="70"/>
      <c r="D39" s="24"/>
      <c r="E39" s="24"/>
      <c r="F39" s="100">
        <f>312320/10</f>
        <v>31232</v>
      </c>
      <c r="G39" s="24"/>
      <c r="H39" s="24"/>
      <c r="I39" s="100">
        <f>312320/10</f>
        <v>31232</v>
      </c>
      <c r="J39" s="24"/>
      <c r="K39" s="24"/>
      <c r="L39" s="108">
        <f>312320/10</f>
        <v>31232</v>
      </c>
      <c r="M39" s="24"/>
      <c r="N39" s="108">
        <f>312320/10</f>
        <v>31232</v>
      </c>
      <c r="O39" s="24"/>
      <c r="P39" s="108">
        <f>312320/10</f>
        <v>31232</v>
      </c>
      <c r="Q39" s="24"/>
      <c r="R39" s="24"/>
      <c r="S39" s="108">
        <v>124838</v>
      </c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</row>
    <row r="40" spans="1:60" s="71" customFormat="1" x14ac:dyDescent="0.2">
      <c r="A40" s="69" t="s">
        <v>117</v>
      </c>
      <c r="B40" s="25" t="s">
        <v>119</v>
      </c>
      <c r="C40" s="70">
        <v>475500</v>
      </c>
      <c r="D40" s="24"/>
      <c r="E40" s="100">
        <f>25000+25000</f>
        <v>50000</v>
      </c>
      <c r="F40" s="24"/>
      <c r="G40" s="24"/>
      <c r="H40" s="108">
        <v>150000</v>
      </c>
      <c r="I40" s="108">
        <v>100000</v>
      </c>
      <c r="J40" s="24"/>
      <c r="K40" s="24"/>
      <c r="L40" s="24"/>
      <c r="M40" s="108">
        <v>100000</v>
      </c>
      <c r="N40" s="108">
        <v>75000</v>
      </c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</row>
    <row r="41" spans="1:60" s="71" customFormat="1" x14ac:dyDescent="0.2">
      <c r="A41" s="69" t="s">
        <v>97</v>
      </c>
      <c r="B41" s="25" t="s">
        <v>137</v>
      </c>
      <c r="C41" s="70"/>
      <c r="D41" s="24"/>
      <c r="E41" s="100">
        <v>510600</v>
      </c>
      <c r="F41" s="24"/>
      <c r="G41" s="24"/>
      <c r="H41" s="24"/>
      <c r="I41" s="28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100">
        <v>472500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</row>
    <row r="42" spans="1:60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1375000-500000-175000-50000-25000-25000-25000-50000-25000-50000-25000-25000-30000-25000-30000-25000-25000-15000</f>
        <v>250000</v>
      </c>
      <c r="D42" s="24"/>
      <c r="F42" s="129">
        <f>95000/2</f>
        <v>47500</v>
      </c>
      <c r="G42" s="24"/>
      <c r="H42" s="129">
        <f>95000/2</f>
        <v>47500</v>
      </c>
      <c r="J42" s="24"/>
      <c r="K42" s="24"/>
      <c r="L42" s="129">
        <f>30000/2</f>
        <v>15000</v>
      </c>
      <c r="M42" s="129">
        <v>40000</v>
      </c>
      <c r="N42" s="129">
        <v>25000</v>
      </c>
      <c r="O42" s="129">
        <v>25000</v>
      </c>
      <c r="P42" s="129">
        <v>50000</v>
      </c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</row>
    <row r="43" spans="1:60" s="71" customFormat="1" x14ac:dyDescent="0.2">
      <c r="A43" s="69" t="s">
        <v>15</v>
      </c>
      <c r="B43" s="25" t="s">
        <v>31</v>
      </c>
      <c r="C43" s="70">
        <v>1547684</v>
      </c>
      <c r="D43" s="24"/>
      <c r="E43" s="100">
        <f>516230/10+112</f>
        <v>51735</v>
      </c>
      <c r="F43" s="108">
        <f>(516230/10)/2</f>
        <v>25811.5</v>
      </c>
      <c r="G43" s="108">
        <f t="shared" ref="G43:AI43" si="3">516230/10</f>
        <v>51623</v>
      </c>
      <c r="H43" s="108">
        <f t="shared" si="3"/>
        <v>51623</v>
      </c>
      <c r="I43" s="108">
        <f>516230/10</f>
        <v>51623</v>
      </c>
      <c r="J43" s="24"/>
      <c r="K43" s="24"/>
      <c r="L43" s="108">
        <f>516230/10</f>
        <v>51623</v>
      </c>
      <c r="M43" s="108">
        <f>516230/10+15224</f>
        <v>66847</v>
      </c>
      <c r="N43" s="108">
        <f t="shared" ref="N43" si="4">516230/10</f>
        <v>51623</v>
      </c>
      <c r="O43" s="108">
        <f t="shared" ref="O43" si="5">(515224/4)/3</f>
        <v>42935.333333333336</v>
      </c>
      <c r="P43" s="108">
        <f>516230/10</f>
        <v>51623</v>
      </c>
      <c r="Q43" s="24"/>
      <c r="R43" s="24"/>
      <c r="T43" s="108">
        <f t="shared" ref="T43:W43" si="6">516230/10</f>
        <v>51623</v>
      </c>
      <c r="U43" s="108">
        <f t="shared" si="6"/>
        <v>51623</v>
      </c>
      <c r="V43" s="108">
        <f t="shared" si="6"/>
        <v>51623</v>
      </c>
      <c r="W43" s="108">
        <f t="shared" si="6"/>
        <v>51623</v>
      </c>
      <c r="X43" s="24"/>
      <c r="Y43" s="24"/>
      <c r="Z43" s="108">
        <f t="shared" ref="Z43:AD43" si="7">516230/10</f>
        <v>51623</v>
      </c>
      <c r="AA43" s="108">
        <f t="shared" si="7"/>
        <v>51623</v>
      </c>
      <c r="AB43" s="108">
        <f t="shared" si="7"/>
        <v>51623</v>
      </c>
      <c r="AC43" s="108">
        <f t="shared" si="7"/>
        <v>51623</v>
      </c>
      <c r="AD43" s="108">
        <f t="shared" si="7"/>
        <v>51623</v>
      </c>
      <c r="AE43" s="24"/>
      <c r="AF43" s="24"/>
      <c r="AG43" s="100">
        <v>516230</v>
      </c>
      <c r="AH43" s="108">
        <f>516230/10</f>
        <v>51623</v>
      </c>
      <c r="AI43" s="108">
        <f t="shared" si="3"/>
        <v>51623</v>
      </c>
      <c r="AJ43" s="24"/>
      <c r="AK43" s="98">
        <f>515224/4+54464</f>
        <v>183270</v>
      </c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</row>
    <row r="44" spans="1:60" s="71" customFormat="1" x14ac:dyDescent="0.2">
      <c r="A44" s="69" t="s">
        <v>85</v>
      </c>
      <c r="B44" s="25" t="s">
        <v>47</v>
      </c>
      <c r="C44" s="70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100">
        <f>2997.5*A6</f>
        <v>215543.33075000002</v>
      </c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</row>
    <row r="45" spans="1:60" s="71" customFormat="1" x14ac:dyDescent="0.2">
      <c r="A45" s="69" t="s">
        <v>143</v>
      </c>
      <c r="B45" s="25" t="s">
        <v>45</v>
      </c>
      <c r="C45" s="24">
        <f>188496*A9</f>
        <v>1999263.9744000002</v>
      </c>
      <c r="D45" s="24"/>
      <c r="E45" s="24"/>
      <c r="F45" s="24"/>
      <c r="G45" s="108">
        <f t="shared" ref="G45:Z45" si="8">(188496*$A$9)/15</f>
        <v>133284.26496</v>
      </c>
      <c r="H45" s="108">
        <f t="shared" si="8"/>
        <v>133284.26496</v>
      </c>
      <c r="J45" s="24"/>
      <c r="K45" s="24"/>
      <c r="M45" s="108">
        <f t="shared" ref="M45:AA45" si="9">(188496*$A$9)/15</f>
        <v>133284.26496</v>
      </c>
      <c r="O45" s="108">
        <f t="shared" si="9"/>
        <v>133284.26496</v>
      </c>
      <c r="P45" s="108">
        <f t="shared" si="9"/>
        <v>133284.26496</v>
      </c>
      <c r="Q45" s="24"/>
      <c r="R45" s="24"/>
      <c r="S45" s="108">
        <f>(188496*$A$9)/15</f>
        <v>133284.26496</v>
      </c>
      <c r="T45" s="108">
        <f t="shared" ref="T45:V45" si="10">(188496*$A$9)/15</f>
        <v>133284.26496</v>
      </c>
      <c r="U45" s="108">
        <f t="shared" si="10"/>
        <v>133284.26496</v>
      </c>
      <c r="V45" s="108">
        <f t="shared" si="10"/>
        <v>133284.26496</v>
      </c>
      <c r="W45" s="28"/>
      <c r="X45" s="24"/>
      <c r="Y45" s="24"/>
      <c r="Z45" s="108">
        <f t="shared" si="8"/>
        <v>133284.26496</v>
      </c>
      <c r="AA45" s="108">
        <f t="shared" si="9"/>
        <v>133284.26496</v>
      </c>
      <c r="AB45" s="108">
        <f>((188496*$A$9)/15)*2</f>
        <v>266568.52992</v>
      </c>
      <c r="AC45" s="108">
        <f>(188496*$A$9)/15</f>
        <v>133284.26496</v>
      </c>
      <c r="AD45" s="24"/>
      <c r="AE45" s="24"/>
      <c r="AF45" s="24"/>
      <c r="AG45" s="108">
        <f>(188496*$A$9)/15</f>
        <v>133284.26496</v>
      </c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</row>
    <row r="46" spans="1:60" s="71" customFormat="1" x14ac:dyDescent="0.2">
      <c r="A46" s="69" t="s">
        <v>120</v>
      </c>
      <c r="B46" s="25" t="s">
        <v>121</v>
      </c>
      <c r="C46" s="120">
        <f>507000+1014000-47000-56000-45000-50000</f>
        <v>1323000</v>
      </c>
      <c r="D46" s="24"/>
      <c r="E46" s="24"/>
      <c r="F46" s="108">
        <f t="shared" ref="F46:AH46" si="11">1014000/11</f>
        <v>92181.818181818177</v>
      </c>
      <c r="H46" s="108">
        <f t="shared" si="11"/>
        <v>92181.818181818177</v>
      </c>
      <c r="J46" s="24"/>
      <c r="K46" s="24"/>
      <c r="L46" s="108">
        <f>507000/9</f>
        <v>56333.333333333336</v>
      </c>
      <c r="M46" s="24"/>
      <c r="N46" s="108">
        <f t="shared" ref="N46:P46" si="12">507000/9</f>
        <v>56333.333333333336</v>
      </c>
      <c r="O46" s="24"/>
      <c r="P46" s="108">
        <f t="shared" si="12"/>
        <v>56333.333333333336</v>
      </c>
      <c r="Q46" s="24"/>
      <c r="R46" s="24"/>
      <c r="S46" s="108">
        <f t="shared" ref="S46:AI46" si="13">507000/9</f>
        <v>56333.333333333336</v>
      </c>
      <c r="U46" s="108">
        <f t="shared" si="13"/>
        <v>56333.333333333336</v>
      </c>
      <c r="V46" s="108">
        <f>(1014000/11+88393.5*$A$9)/6</f>
        <v>171619.7727636364</v>
      </c>
      <c r="W46" s="108">
        <f t="shared" ref="W46:AA46" si="14">1014000/11</f>
        <v>92181.818181818177</v>
      </c>
      <c r="X46" s="24"/>
      <c r="Y46" s="100">
        <v>682560</v>
      </c>
      <c r="Z46" s="108">
        <f>(1014000/11)/2</f>
        <v>46090.909090909088</v>
      </c>
      <c r="AA46" s="108">
        <f t="shared" si="14"/>
        <v>92181.818181818177</v>
      </c>
      <c r="AB46" s="108">
        <f>(1014000/11+88393.5*$A$9)/6</f>
        <v>171619.7727636364</v>
      </c>
      <c r="AC46" s="108">
        <f t="shared" si="11"/>
        <v>92181.818181818177</v>
      </c>
      <c r="AD46" s="108">
        <f>(1014000/11)*2+9333.33</f>
        <v>193696.96636363634</v>
      </c>
      <c r="AE46" s="24"/>
      <c r="AF46" s="24"/>
      <c r="AG46" s="108">
        <v>991000</v>
      </c>
      <c r="AH46" s="108">
        <f t="shared" si="11"/>
        <v>92181.818181818177</v>
      </c>
      <c r="AI46" s="108">
        <f t="shared" si="13"/>
        <v>56333.333333333336</v>
      </c>
      <c r="AJ46" s="108">
        <f>(1014000/11+88393.5*$A$9)/6</f>
        <v>171619.7727636364</v>
      </c>
      <c r="AK46" s="108">
        <f>(1014000/11+88393.5*$A$9)/6</f>
        <v>171619.7727636364</v>
      </c>
      <c r="AL46" s="24"/>
      <c r="AM46" s="24"/>
      <c r="AN46" s="108">
        <f>(1014000/11+88393.5*$A$9)/6</f>
        <v>171619.7727636364</v>
      </c>
      <c r="AO46" s="108">
        <f>(1014000/11+88393.5*$A$9)/6</f>
        <v>171619.7727636364</v>
      </c>
      <c r="AP46" s="108">
        <f>(1014000/11+88393.5*$A$9)/6</f>
        <v>171619.7727636364</v>
      </c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</row>
    <row r="47" spans="1:60" s="73" customFormat="1" x14ac:dyDescent="0.2">
      <c r="A47" s="69" t="s">
        <v>22</v>
      </c>
      <c r="B47" s="25" t="s">
        <v>48</v>
      </c>
      <c r="C47" s="137"/>
      <c r="D47" s="72"/>
      <c r="E47" s="24"/>
      <c r="F47" s="160">
        <f t="shared" ref="F47:V47" si="15">(52206*$A$9+2988*$A$6)/10</f>
        <v>76857.792600000001</v>
      </c>
      <c r="G47" s="108">
        <f>(1014000/11)/2</f>
        <v>46090.909090909088</v>
      </c>
      <c r="H47" s="160">
        <f t="shared" si="15"/>
        <v>76857.792600000001</v>
      </c>
      <c r="I47" s="160">
        <f>((52206*$A$9+2988*$A$6)/10)*2</f>
        <v>153715.5852</v>
      </c>
      <c r="J47" s="72"/>
      <c r="K47" s="72"/>
      <c r="M47" s="72"/>
      <c r="N47" s="160">
        <f>(52206*$A$9)/6</f>
        <v>92286.286399999997</v>
      </c>
      <c r="O47" s="72"/>
      <c r="P47" s="160">
        <f>(52206*$A$9+2988*$A$6)/10</f>
        <v>76857.792600000001</v>
      </c>
      <c r="Q47" s="72"/>
      <c r="R47" s="72"/>
      <c r="S47" s="72"/>
      <c r="T47" s="160">
        <f t="shared" ref="T47" si="16">(52206*$A$9+2988*$A$6)/10</f>
        <v>76857.792600000001</v>
      </c>
      <c r="V47" s="160">
        <f t="shared" si="15"/>
        <v>76857.792600000001</v>
      </c>
      <c r="W47" s="166">
        <f>62000*$A$9</f>
        <v>657596.80000000005</v>
      </c>
      <c r="X47" s="72"/>
      <c r="Y47" s="72"/>
      <c r="AA47" s="160">
        <f>(109170*$A$9)/5</f>
        <v>231580.13760000002</v>
      </c>
      <c r="AB47" s="160">
        <f t="shared" ref="AB47:AC47" si="17">(109170*$A$9)/5</f>
        <v>231580.13760000002</v>
      </c>
      <c r="AC47" s="160">
        <f t="shared" si="17"/>
        <v>231580.13760000002</v>
      </c>
      <c r="AD47" s="72"/>
      <c r="AE47" s="72"/>
      <c r="AF47" s="72"/>
      <c r="AG47" s="160">
        <f t="shared" ref="AG47:AH47" si="18">(109170*$A$9)/5</f>
        <v>231580.13760000002</v>
      </c>
      <c r="AH47" s="160">
        <f t="shared" si="18"/>
        <v>231580.13760000002</v>
      </c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</row>
    <row r="48" spans="1:60" s="73" customFormat="1" x14ac:dyDescent="0.2">
      <c r="A48" s="69" t="s">
        <v>108</v>
      </c>
      <c r="B48" s="25" t="s">
        <v>109</v>
      </c>
      <c r="C48" s="120"/>
      <c r="D48" s="72"/>
      <c r="E48" s="24"/>
      <c r="F48" s="72"/>
      <c r="G48" s="72"/>
      <c r="H48" s="72"/>
      <c r="I48" s="138">
        <f>50531.25/2</f>
        <v>25265.625</v>
      </c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</row>
    <row r="49" spans="1:60" s="71" customFormat="1" x14ac:dyDescent="0.2">
      <c r="A49" s="69" t="s">
        <v>36</v>
      </c>
      <c r="B49" s="25" t="s">
        <v>37</v>
      </c>
      <c r="C49" s="130"/>
      <c r="D49" s="24"/>
      <c r="E49" s="24"/>
      <c r="F49" s="24"/>
      <c r="G49" s="24"/>
      <c r="H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</row>
    <row r="50" spans="1:60" s="71" customFormat="1" x14ac:dyDescent="0.2">
      <c r="A50" s="69" t="s">
        <v>86</v>
      </c>
      <c r="B50" s="25" t="s">
        <v>35</v>
      </c>
      <c r="C50" s="70"/>
      <c r="D50" s="77"/>
      <c r="E50" s="100">
        <f>490*A6</f>
        <v>35234.773000000001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100">
        <f>2850*A6</f>
        <v>204936.94500000001</v>
      </c>
      <c r="V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</row>
    <row r="51" spans="1:60" s="71" customFormat="1" x14ac:dyDescent="0.2">
      <c r="A51" s="69" t="s">
        <v>29</v>
      </c>
      <c r="B51" s="25" t="s">
        <v>43</v>
      </c>
      <c r="C51" s="70">
        <f>439750-19750-25000-25000-25000-20000-20000</f>
        <v>305000</v>
      </c>
      <c r="D51" s="24"/>
      <c r="F51" s="95">
        <v>25000</v>
      </c>
      <c r="G51" s="24"/>
      <c r="H51" s="95">
        <v>50000</v>
      </c>
      <c r="J51" s="24"/>
      <c r="K51" s="24"/>
      <c r="L51" s="95">
        <v>35000</v>
      </c>
      <c r="M51" s="24"/>
      <c r="N51" s="24"/>
      <c r="O51" s="24"/>
      <c r="Q51" s="24"/>
      <c r="R51" s="24"/>
      <c r="S51" s="24"/>
      <c r="T51" s="24"/>
      <c r="U51" s="24"/>
      <c r="V51" s="24"/>
      <c r="W51" s="95">
        <v>100000</v>
      </c>
      <c r="X51" s="24"/>
      <c r="Y51" s="24"/>
      <c r="Z51" s="95">
        <v>95000</v>
      </c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</row>
    <row r="52" spans="1:60" s="71" customFormat="1" x14ac:dyDescent="0.2">
      <c r="A52" s="69" t="s">
        <v>141</v>
      </c>
      <c r="B52" s="25" t="s">
        <v>142</v>
      </c>
      <c r="C52" s="70"/>
      <c r="D52" s="24"/>
      <c r="E52" s="24"/>
      <c r="F52" s="24"/>
      <c r="G52" s="24"/>
      <c r="H52" s="100">
        <v>55053.72</v>
      </c>
      <c r="I52" s="28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8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</row>
    <row r="53" spans="1:60" s="71" customFormat="1" x14ac:dyDescent="0.2">
      <c r="A53" s="69" t="s">
        <v>146</v>
      </c>
      <c r="B53" s="25" t="s">
        <v>147</v>
      </c>
      <c r="C53" s="70"/>
      <c r="D53" s="24"/>
      <c r="E53" s="100">
        <v>90000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</row>
    <row r="54" spans="1:60" s="71" customFormat="1" x14ac:dyDescent="0.2">
      <c r="A54" s="69" t="s">
        <v>124</v>
      </c>
      <c r="B54" s="25" t="s">
        <v>125</v>
      </c>
      <c r="C54" s="70"/>
      <c r="D54" s="24"/>
      <c r="E54" s="24"/>
      <c r="F54" s="24"/>
      <c r="G54" s="24"/>
      <c r="H54" s="24"/>
      <c r="I54" s="24"/>
      <c r="J54" s="24"/>
      <c r="K54" s="24"/>
      <c r="L54" s="100">
        <v>203210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</row>
    <row r="55" spans="1:60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100">
        <v>1524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</row>
    <row r="56" spans="1:60" s="71" customFormat="1" x14ac:dyDescent="0.2">
      <c r="A56" s="69" t="s">
        <v>90</v>
      </c>
      <c r="B56" s="25" t="s">
        <v>91</v>
      </c>
      <c r="C56" s="70">
        <f>912000+1012000-100000-100000-75000-75000-75000-75000-75000-75000-75000-75000-75000-75000-75000</f>
        <v>899000</v>
      </c>
      <c r="D56" s="77"/>
      <c r="E56" s="100">
        <v>75000</v>
      </c>
      <c r="F56" s="24"/>
      <c r="G56" s="28"/>
      <c r="H56" s="129">
        <v>100000</v>
      </c>
      <c r="I56" s="129">
        <v>100000</v>
      </c>
      <c r="J56" s="24"/>
      <c r="K56" s="24"/>
      <c r="L56" s="129">
        <v>100000</v>
      </c>
      <c r="M56" s="24"/>
      <c r="O56" s="129">
        <v>124000</v>
      </c>
      <c r="P56" s="129">
        <v>100000</v>
      </c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</row>
    <row r="57" spans="1:60" s="71" customFormat="1" x14ac:dyDescent="0.2">
      <c r="A57" s="69" t="s">
        <v>138</v>
      </c>
      <c r="B57" s="25" t="s">
        <v>136</v>
      </c>
      <c r="C57" s="70"/>
      <c r="D57" s="77"/>
      <c r="E57" s="24"/>
      <c r="F57" s="100">
        <f t="shared" ref="F57:L57" si="19">(4260*$A$6)/6</f>
        <v>51054.467000000004</v>
      </c>
      <c r="G57" s="24"/>
      <c r="H57" s="100">
        <f t="shared" si="19"/>
        <v>51054.467000000004</v>
      </c>
      <c r="I57" s="100">
        <f t="shared" si="19"/>
        <v>51054.467000000004</v>
      </c>
      <c r="J57" s="24"/>
      <c r="K57" s="24"/>
      <c r="L57" s="100">
        <f t="shared" si="19"/>
        <v>51054.467000000004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</row>
    <row r="58" spans="1:60" s="71" customFormat="1" x14ac:dyDescent="0.2">
      <c r="A58" s="69" t="s">
        <v>156</v>
      </c>
      <c r="B58" s="25" t="s">
        <v>157</v>
      </c>
      <c r="C58" s="70"/>
      <c r="D58" s="77"/>
      <c r="E58" s="24"/>
      <c r="F58" s="24"/>
      <c r="G58" s="100">
        <v>52500</v>
      </c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</row>
    <row r="59" spans="1:60" s="71" customFormat="1" ht="12.75" customHeight="1" x14ac:dyDescent="0.2">
      <c r="A59" s="151" t="s">
        <v>139</v>
      </c>
      <c r="B59" s="152" t="s">
        <v>114</v>
      </c>
      <c r="C59" s="70"/>
      <c r="D59" s="77"/>
      <c r="E59" s="28"/>
      <c r="F59" s="28"/>
      <c r="G59" s="28"/>
      <c r="H59" s="28"/>
      <c r="I59" s="28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</row>
    <row r="60" spans="1:60" s="71" customFormat="1" x14ac:dyDescent="0.2">
      <c r="A60" s="69" t="s">
        <v>128</v>
      </c>
      <c r="B60" s="25" t="s">
        <v>129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</row>
    <row r="61" spans="1:60" s="71" customFormat="1" x14ac:dyDescent="0.2">
      <c r="A61" s="69" t="s">
        <v>101</v>
      </c>
      <c r="B61" s="25" t="s">
        <v>130</v>
      </c>
      <c r="C61" s="70">
        <v>37500</v>
      </c>
      <c r="D61" s="77"/>
      <c r="E61" s="24"/>
      <c r="F61" s="24"/>
      <c r="G61" s="24"/>
      <c r="H61" s="108">
        <f>100000/4</f>
        <v>25000</v>
      </c>
      <c r="I61" s="108">
        <f>25000/2</f>
        <v>12500</v>
      </c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</row>
    <row r="62" spans="1:60" s="71" customFormat="1" x14ac:dyDescent="0.2">
      <c r="A62" s="69" t="s">
        <v>154</v>
      </c>
      <c r="B62" s="25" t="s">
        <v>153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</row>
    <row r="63" spans="1:60" s="71" customFormat="1" x14ac:dyDescent="0.2">
      <c r="A63" s="69" t="s">
        <v>158</v>
      </c>
      <c r="B63" s="25"/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</row>
    <row r="64" spans="1:60" s="71" customFormat="1" x14ac:dyDescent="0.2">
      <c r="A64" s="69" t="s">
        <v>38</v>
      </c>
      <c r="B64" s="25" t="s">
        <v>39</v>
      </c>
      <c r="C64" s="70"/>
      <c r="D64" s="24"/>
      <c r="E64" s="24"/>
      <c r="F64" s="24"/>
      <c r="G64" s="24"/>
      <c r="H64" s="100">
        <v>8400</v>
      </c>
      <c r="I64" s="100">
        <v>12600</v>
      </c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</row>
    <row r="65" spans="1:60" s="71" customFormat="1" x14ac:dyDescent="0.2">
      <c r="A65" s="69" t="s">
        <v>74</v>
      </c>
      <c r="B65" s="25" t="s">
        <v>131</v>
      </c>
      <c r="C65" s="70"/>
      <c r="D65" s="24"/>
      <c r="F65" s="24"/>
      <c r="G65" s="100">
        <v>15000</v>
      </c>
      <c r="H65" s="100">
        <f>80000/2</f>
        <v>40000</v>
      </c>
      <c r="I65" s="100">
        <v>11667</v>
      </c>
      <c r="J65" s="24"/>
      <c r="K65" s="24"/>
      <c r="L65" s="100">
        <f>7500+16500</f>
        <v>24000</v>
      </c>
      <c r="M65" s="24"/>
      <c r="O65" s="24"/>
      <c r="P65" s="100">
        <v>10000</v>
      </c>
      <c r="Q65" s="24"/>
      <c r="R65" s="24"/>
      <c r="S65" s="100">
        <v>30000</v>
      </c>
      <c r="T65" s="24"/>
      <c r="U65" s="24"/>
      <c r="V65" s="100">
        <v>30000</v>
      </c>
      <c r="W65" s="24"/>
      <c r="X65" s="24"/>
      <c r="Y65" s="100">
        <v>12000</v>
      </c>
      <c r="Z65" s="24"/>
      <c r="AA65" s="24"/>
      <c r="AB65" s="100">
        <v>9500</v>
      </c>
      <c r="AC65" s="24"/>
      <c r="AD65" s="100">
        <v>22000</v>
      </c>
      <c r="AE65" s="24"/>
      <c r="AF65" s="24"/>
      <c r="AG65" s="100">
        <v>20000</v>
      </c>
      <c r="AH65" s="24"/>
      <c r="AI65" s="24"/>
      <c r="AJ65" s="143">
        <v>40000</v>
      </c>
      <c r="AK65" s="143">
        <v>12000</v>
      </c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</row>
    <row r="66" spans="1:60" s="71" customFormat="1" x14ac:dyDescent="0.2">
      <c r="A66" s="69" t="s">
        <v>74</v>
      </c>
      <c r="B66" s="25" t="s">
        <v>150</v>
      </c>
      <c r="C66" s="164">
        <v>3567700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</row>
    <row r="67" spans="1:60" s="73" customForma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</row>
    <row r="68" spans="1:60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/>
    </row>
    <row r="69" spans="1:60" s="5" customFormat="1" x14ac:dyDescent="0.2">
      <c r="A69" s="42"/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</row>
    <row r="70" spans="1:60" s="5" customFormat="1" x14ac:dyDescent="0.2">
      <c r="A70" s="36" t="s">
        <v>49</v>
      </c>
      <c r="B70" s="12"/>
      <c r="C70" s="13"/>
      <c r="D70" s="26"/>
      <c r="E70" s="13"/>
      <c r="F70" s="13"/>
      <c r="G70" s="13"/>
      <c r="H70" s="13">
        <f>1400000+7400*A3</f>
        <v>2014009.8199999998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</row>
    <row r="71" spans="1:60" s="5" customFormat="1" x14ac:dyDescent="0.2">
      <c r="A71" s="36" t="s">
        <v>57</v>
      </c>
      <c r="B71" s="12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S71" s="13"/>
      <c r="AT71" s="13"/>
      <c r="AU71" s="168">
        <v>1600000</v>
      </c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</row>
    <row r="72" spans="1:60" s="5" customFormat="1" x14ac:dyDescent="0.2">
      <c r="A72" s="36" t="s">
        <v>61</v>
      </c>
      <c r="B72" s="12"/>
      <c r="C72" s="13">
        <v>112000</v>
      </c>
      <c r="D72" s="26"/>
      <c r="E72" s="13"/>
      <c r="F72" s="13"/>
      <c r="G72" s="13"/>
      <c r="H72" s="13">
        <f>4600*$A$3</f>
        <v>381681.77999999997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</row>
    <row r="73" spans="1:60" s="5" customFormat="1" x14ac:dyDescent="0.2">
      <c r="A73" s="42" t="s">
        <v>151</v>
      </c>
      <c r="B73" s="12"/>
      <c r="C73" s="68">
        <f>(10000*10)*A6</f>
        <v>7190770.0000000009</v>
      </c>
      <c r="D73" s="26"/>
      <c r="E73" s="13"/>
      <c r="F73" s="13"/>
      <c r="G73" s="13"/>
      <c r="H73" s="126">
        <f>C73/2</f>
        <v>3595385.0000000005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</row>
    <row r="74" spans="1:60" s="5" customFormat="1" x14ac:dyDescent="0.2">
      <c r="A74" s="36" t="s">
        <v>72</v>
      </c>
      <c r="B74" s="27" t="s">
        <v>73</v>
      </c>
      <c r="C74" s="62">
        <v>3637079.2460000003</v>
      </c>
      <c r="D74" s="35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</row>
    <row r="75" spans="1:60" s="5" customFormat="1" x14ac:dyDescent="0.2">
      <c r="A75" s="42"/>
      <c r="B75" s="12"/>
      <c r="C75" s="61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</row>
    <row r="76" spans="1:60" s="84" customFormat="1" x14ac:dyDescent="0.2">
      <c r="A76" s="81" t="s">
        <v>66</v>
      </c>
      <c r="B76" s="82"/>
      <c r="C76" s="63"/>
      <c r="D76" s="83"/>
      <c r="E76" s="83">
        <f>$C$5+E16-E26</f>
        <v>3916793.3270000005</v>
      </c>
      <c r="F76" s="83">
        <f t="shared" ref="F76:BH76" si="20">E76+F16-F26</f>
        <v>3517155.7492181822</v>
      </c>
      <c r="G76" s="83">
        <f t="shared" si="20"/>
        <v>4127666.0751672736</v>
      </c>
      <c r="H76" s="83">
        <f t="shared" si="20"/>
        <v>5038080.103625454</v>
      </c>
      <c r="I76" s="83">
        <f t="shared" si="20"/>
        <v>4733428.4264254542</v>
      </c>
      <c r="J76" s="83">
        <f t="shared" si="20"/>
        <v>4733428.4264254542</v>
      </c>
      <c r="K76" s="83">
        <f t="shared" si="20"/>
        <v>4733428.4264254542</v>
      </c>
      <c r="L76" s="83">
        <f t="shared" si="20"/>
        <v>4165975.626092121</v>
      </c>
      <c r="M76" s="83">
        <f t="shared" si="20"/>
        <v>3824320.3611321212</v>
      </c>
      <c r="N76" s="83">
        <f t="shared" si="20"/>
        <v>3492845.7413987881</v>
      </c>
      <c r="O76" s="83">
        <f t="shared" si="20"/>
        <v>2817626.1431054547</v>
      </c>
      <c r="P76" s="83">
        <f t="shared" si="20"/>
        <v>2308295.7522121216</v>
      </c>
      <c r="Q76" s="83">
        <f t="shared" si="20"/>
        <v>2308295.7522121216</v>
      </c>
      <c r="R76" s="83">
        <f t="shared" si="20"/>
        <v>2308295.7522121216</v>
      </c>
      <c r="S76" s="83">
        <f t="shared" si="20"/>
        <v>3963840.1539187888</v>
      </c>
      <c r="T76" s="83">
        <f t="shared" si="20"/>
        <v>473793.76302545564</v>
      </c>
      <c r="U76" s="83">
        <f t="shared" si="20"/>
        <v>-187927.1110178777</v>
      </c>
      <c r="V76" s="83">
        <f t="shared" si="20"/>
        <v>-1397374.8413415141</v>
      </c>
      <c r="W76" s="83">
        <f t="shared" si="20"/>
        <v>-2338776.4595233323</v>
      </c>
      <c r="X76" s="83">
        <f t="shared" si="20"/>
        <v>-2338776.4595233323</v>
      </c>
      <c r="Y76" s="83">
        <f t="shared" si="20"/>
        <v>-3033336.4595233323</v>
      </c>
      <c r="Z76" s="83">
        <f t="shared" si="20"/>
        <v>-1359334.6335742413</v>
      </c>
      <c r="AA76" s="83">
        <f t="shared" si="20"/>
        <v>-2340503.8543160595</v>
      </c>
      <c r="AB76" s="83">
        <f t="shared" si="20"/>
        <v>-3071395.2945996961</v>
      </c>
      <c r="AC76" s="83">
        <f t="shared" si="20"/>
        <v>-3580064.5153415143</v>
      </c>
      <c r="AD76" s="83">
        <f t="shared" si="20"/>
        <v>-3847384.4817051506</v>
      </c>
      <c r="AE76" s="83">
        <f t="shared" si="20"/>
        <v>-3847384.4817051506</v>
      </c>
      <c r="AF76" s="83">
        <f t="shared" si="20"/>
        <v>-3847384.4817051506</v>
      </c>
      <c r="AG76" s="83">
        <f t="shared" si="20"/>
        <v>-4010984.8842651509</v>
      </c>
      <c r="AH76" s="83">
        <f t="shared" si="20"/>
        <v>-4386369.8400469692</v>
      </c>
      <c r="AI76" s="83">
        <f t="shared" si="20"/>
        <v>-4494326.1733803023</v>
      </c>
      <c r="AJ76" s="83">
        <f t="shared" si="20"/>
        <v>-4705945.9461439382</v>
      </c>
      <c r="AK76" s="83">
        <f t="shared" si="20"/>
        <v>-5072835.7189075742</v>
      </c>
      <c r="AL76" s="83">
        <f t="shared" si="20"/>
        <v>-5072835.7189075742</v>
      </c>
      <c r="AM76" s="83">
        <f t="shared" si="20"/>
        <v>-5072835.7189075742</v>
      </c>
      <c r="AN76" s="83">
        <f t="shared" si="20"/>
        <v>-3244455.4916712106</v>
      </c>
      <c r="AO76" s="83">
        <f t="shared" si="20"/>
        <v>-3416075.264434847</v>
      </c>
      <c r="AP76" s="83">
        <f t="shared" si="20"/>
        <v>-3587695.0371984835</v>
      </c>
      <c r="AQ76" s="83">
        <f t="shared" si="20"/>
        <v>-3587695.0371984835</v>
      </c>
      <c r="AR76" s="83">
        <f t="shared" si="20"/>
        <v>-3587695.0371984835</v>
      </c>
      <c r="AS76" s="83">
        <f t="shared" si="20"/>
        <v>-3587695.0371984835</v>
      </c>
      <c r="AT76" s="83">
        <f t="shared" si="20"/>
        <v>-3587695.0371984835</v>
      </c>
      <c r="AU76" s="83">
        <f t="shared" si="20"/>
        <v>-856710.03719848348</v>
      </c>
      <c r="AV76" s="83">
        <f t="shared" si="20"/>
        <v>-856710.03719848348</v>
      </c>
      <c r="AW76" s="83">
        <f t="shared" si="20"/>
        <v>-856710.03719848348</v>
      </c>
      <c r="AX76" s="83">
        <f t="shared" si="20"/>
        <v>-856710.03719848348</v>
      </c>
      <c r="AY76" s="83">
        <f t="shared" si="20"/>
        <v>-856710.03719848348</v>
      </c>
      <c r="AZ76" s="83">
        <f t="shared" si="20"/>
        <v>-856710.03719848348</v>
      </c>
      <c r="BA76" s="83">
        <f t="shared" si="20"/>
        <v>-856710.03719848348</v>
      </c>
      <c r="BB76" s="83">
        <f t="shared" si="20"/>
        <v>1351112.1428015167</v>
      </c>
      <c r="BC76" s="83">
        <f t="shared" si="20"/>
        <v>1351112.1428015167</v>
      </c>
      <c r="BD76" s="83">
        <f t="shared" si="20"/>
        <v>1351112.1428015167</v>
      </c>
      <c r="BE76" s="83">
        <f t="shared" si="20"/>
        <v>1351112.1428015167</v>
      </c>
      <c r="BF76" s="83">
        <f t="shared" si="20"/>
        <v>1351112.1428015167</v>
      </c>
      <c r="BG76" s="83">
        <f t="shared" si="20"/>
        <v>1351112.1428015167</v>
      </c>
      <c r="BH76" s="83">
        <f t="shared" si="20"/>
        <v>1351112.1428015167</v>
      </c>
    </row>
    <row r="78" spans="1:60" s="5" customFormat="1" x14ac:dyDescent="0.2">
      <c r="A78" s="42"/>
      <c r="B78" s="12"/>
      <c r="C78" s="68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</row>
    <row r="79" spans="1:60" s="89" customFormat="1" x14ac:dyDescent="0.2">
      <c r="A79" s="85" t="s">
        <v>65</v>
      </c>
      <c r="B79" s="86"/>
      <c r="C79" s="87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</row>
    <row r="80" spans="1:60" s="5" customFormat="1" ht="22.5" x14ac:dyDescent="0.2">
      <c r="A80" s="36" t="s">
        <v>67</v>
      </c>
      <c r="B80" s="27" t="s">
        <v>68</v>
      </c>
      <c r="C80" s="68">
        <v>3221210.79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</row>
    <row r="81" spans="1:60" s="5" customFormat="1" x14ac:dyDescent="0.2">
      <c r="A81" s="36" t="s">
        <v>69</v>
      </c>
      <c r="B81" s="27" t="s">
        <v>70</v>
      </c>
      <c r="C81" s="68">
        <v>9814338.4000000004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</row>
    <row r="82" spans="1:60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</row>
    <row r="83" spans="1:60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</row>
    <row r="85" spans="1:60" x14ac:dyDescent="0.25">
      <c r="B85" s="14"/>
    </row>
  </sheetData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85"/>
  <sheetViews>
    <sheetView workbookViewId="0">
      <selection sqref="A1:XFD1048576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2.5703125" style="3" customWidth="1"/>
    <col min="6" max="6" width="15.7109375" style="3" customWidth="1"/>
    <col min="7" max="7" width="12.7109375" style="3" customWidth="1"/>
    <col min="8" max="9" width="12.85546875" style="3" customWidth="1"/>
    <col min="10" max="11" width="11.85546875" style="3" customWidth="1"/>
    <col min="12" max="12" width="13" style="3" customWidth="1"/>
    <col min="13" max="13" width="12.28515625" style="3" customWidth="1"/>
    <col min="14" max="14" width="12.140625" style="3" customWidth="1"/>
    <col min="15" max="15" width="11.140625" style="3" customWidth="1"/>
    <col min="16" max="16" width="12.7109375" style="3" customWidth="1"/>
    <col min="17" max="17" width="11.140625" style="3" customWidth="1"/>
    <col min="18" max="18" width="11.7109375" style="3" customWidth="1"/>
    <col min="19" max="19" width="11.5703125" style="3" customWidth="1"/>
    <col min="20" max="21" width="10.85546875" style="3" customWidth="1"/>
    <col min="22" max="22" width="12.85546875" style="3" customWidth="1"/>
    <col min="23" max="23" width="12" style="3" customWidth="1"/>
    <col min="24" max="24" width="11.140625" style="3" customWidth="1"/>
    <col min="25" max="25" width="12.7109375" style="3" customWidth="1"/>
    <col min="26" max="26" width="11.42578125" style="3" customWidth="1"/>
    <col min="27" max="27" width="11.7109375" style="3" customWidth="1"/>
    <col min="28" max="28" width="10.5703125" style="3" customWidth="1"/>
    <col min="29" max="29" width="12" style="3" customWidth="1"/>
    <col min="30" max="30" width="11.140625" style="3" customWidth="1"/>
    <col min="31" max="31" width="10.42578125" style="3" customWidth="1"/>
    <col min="32" max="32" width="14" style="3" customWidth="1"/>
    <col min="33" max="33" width="10.42578125" style="3" customWidth="1"/>
    <col min="34" max="34" width="12.5703125" style="3" customWidth="1"/>
    <col min="35" max="35" width="13.28515625" style="3" customWidth="1"/>
    <col min="36" max="36" width="12.140625" style="3" customWidth="1"/>
    <col min="37" max="37" width="12.42578125" style="3" customWidth="1"/>
    <col min="38" max="38" width="12.28515625" style="3" customWidth="1"/>
    <col min="39" max="39" width="12.7109375" style="3" customWidth="1"/>
    <col min="40" max="40" width="11.28515625" style="3" customWidth="1"/>
    <col min="41" max="41" width="11.85546875" style="3" customWidth="1"/>
    <col min="42" max="42" width="12.28515625" style="3" customWidth="1"/>
    <col min="43" max="43" width="11.140625" style="3" customWidth="1"/>
    <col min="44" max="44" width="10.5703125" style="3" customWidth="1"/>
    <col min="45" max="45" width="10.85546875" style="3" customWidth="1"/>
    <col min="46" max="46" width="12" style="3" customWidth="1"/>
    <col min="47" max="47" width="13.140625" style="3" customWidth="1"/>
    <col min="48" max="48" width="11.140625" style="3" customWidth="1"/>
    <col min="49" max="49" width="12.5703125" style="3" customWidth="1"/>
    <col min="50" max="50" width="12.140625" style="3" customWidth="1"/>
    <col min="51" max="51" width="12.42578125" style="3" customWidth="1"/>
    <col min="52" max="52" width="12" style="3" customWidth="1"/>
    <col min="53" max="53" width="14.85546875" style="3" customWidth="1"/>
    <col min="54" max="54" width="11.5703125" style="3" customWidth="1"/>
    <col min="55" max="55" width="13.7109375" style="3" customWidth="1"/>
    <col min="56" max="56" width="12.42578125" style="3" customWidth="1"/>
    <col min="57" max="57" width="10.85546875" style="3" customWidth="1"/>
    <col min="58" max="58" width="12.140625" style="3" customWidth="1"/>
    <col min="59" max="59" width="11.85546875" style="3" customWidth="1"/>
    <col min="60" max="60" width="12.7109375" style="3" customWidth="1"/>
    <col min="61" max="61" width="12.42578125" style="3" customWidth="1"/>
    <col min="62" max="62" width="11.140625" style="3" customWidth="1"/>
    <col min="63" max="63" width="11.5703125" style="3" customWidth="1"/>
    <col min="64" max="64" width="12.28515625" style="3" customWidth="1"/>
    <col min="65" max="16384" width="9" style="3"/>
  </cols>
  <sheetData>
    <row r="1" spans="1:64" ht="12" thickBot="1" x14ac:dyDescent="0.3"/>
    <row r="2" spans="1:64" s="1" customFormat="1" x14ac:dyDescent="0.2">
      <c r="A2" s="43" t="s">
        <v>50</v>
      </c>
      <c r="B2" s="15" t="s">
        <v>27</v>
      </c>
      <c r="C2" s="50">
        <v>5508384.0899999999</v>
      </c>
    </row>
    <row r="3" spans="1:64" s="1" customFormat="1" ht="12" thickBot="1" x14ac:dyDescent="0.25">
      <c r="A3" s="44">
        <v>83.081599999999995</v>
      </c>
      <c r="B3" s="15" t="s">
        <v>28</v>
      </c>
      <c r="C3" s="50">
        <v>10778.95</v>
      </c>
    </row>
    <row r="4" spans="1:64" s="8" customFormat="1" ht="12" thickBot="1" x14ac:dyDescent="0.25">
      <c r="A4" s="45"/>
      <c r="B4" s="15" t="s">
        <v>25</v>
      </c>
      <c r="C4" s="51">
        <v>0</v>
      </c>
    </row>
    <row r="5" spans="1:64" s="6" customFormat="1" x14ac:dyDescent="0.2">
      <c r="A5" s="43" t="s">
        <v>51</v>
      </c>
      <c r="B5" s="49" t="s">
        <v>26</v>
      </c>
      <c r="C5" s="52">
        <f>SUM(C2:C4)</f>
        <v>5519163.04</v>
      </c>
    </row>
    <row r="6" spans="1:64" s="6" customFormat="1" ht="12" thickBot="1" x14ac:dyDescent="0.25">
      <c r="A6" s="44">
        <v>71.789199999999994</v>
      </c>
      <c r="B6" s="16"/>
      <c r="C6" s="53"/>
      <c r="D6" s="17"/>
    </row>
    <row r="7" spans="1:64" s="6" customFormat="1" ht="12" thickBot="1" x14ac:dyDescent="0.25">
      <c r="A7" s="105" t="s">
        <v>51</v>
      </c>
      <c r="B7" s="18" t="s">
        <v>127</v>
      </c>
      <c r="C7" s="54">
        <f>SUM(16:16)</f>
        <v>25771502.4144</v>
      </c>
    </row>
    <row r="8" spans="1:64" x14ac:dyDescent="0.25">
      <c r="A8" s="43" t="s">
        <v>52</v>
      </c>
      <c r="B8" s="18" t="s">
        <v>126</v>
      </c>
      <c r="C8" s="54">
        <f>SUM(26:26)</f>
        <v>51672589.78839682</v>
      </c>
    </row>
    <row r="9" spans="1:64" ht="12" thickBot="1" x14ac:dyDescent="0.3">
      <c r="A9" s="44">
        <v>10.5825</v>
      </c>
      <c r="B9" s="19" t="s">
        <v>64</v>
      </c>
      <c r="C9" s="55">
        <f>C5+C7-C8-C11</f>
        <v>-42144506.200116821</v>
      </c>
    </row>
    <row r="10" spans="1:64" x14ac:dyDescent="0.25">
      <c r="A10" s="99" t="s">
        <v>80</v>
      </c>
      <c r="B10" s="18" t="s">
        <v>23</v>
      </c>
      <c r="C10" s="56">
        <f>C16</f>
        <v>0</v>
      </c>
    </row>
    <row r="11" spans="1:64" x14ac:dyDescent="0.25">
      <c r="A11" s="101" t="s">
        <v>87</v>
      </c>
      <c r="B11" s="18" t="s">
        <v>24</v>
      </c>
      <c r="C11" s="54">
        <f>C26</f>
        <v>21762581.866119999</v>
      </c>
    </row>
    <row r="12" spans="1:64" x14ac:dyDescent="0.25">
      <c r="A12" s="107" t="s">
        <v>88</v>
      </c>
    </row>
    <row r="13" spans="1:64" x14ac:dyDescent="0.25">
      <c r="A13" s="38"/>
      <c r="B13" s="10"/>
      <c r="C13" s="57"/>
      <c r="D13" s="10"/>
    </row>
    <row r="14" spans="1:64" s="2" customFormat="1" x14ac:dyDescent="0.25">
      <c r="A14" s="64"/>
      <c r="B14" s="65"/>
      <c r="C14" s="58" t="s">
        <v>56</v>
      </c>
      <c r="D14" s="66"/>
      <c r="E14" s="66">
        <v>46184</v>
      </c>
      <c r="F14" s="66">
        <v>46185</v>
      </c>
      <c r="G14" s="66">
        <v>46186</v>
      </c>
      <c r="H14" s="66">
        <v>46187</v>
      </c>
      <c r="I14" s="66">
        <v>46188</v>
      </c>
      <c r="J14" s="66">
        <v>46189</v>
      </c>
      <c r="K14" s="66">
        <v>46190</v>
      </c>
      <c r="L14" s="66">
        <v>46191</v>
      </c>
      <c r="M14" s="66">
        <v>46192</v>
      </c>
      <c r="N14" s="66">
        <v>46193</v>
      </c>
      <c r="O14" s="66">
        <v>46194</v>
      </c>
      <c r="P14" s="66">
        <v>46195</v>
      </c>
      <c r="Q14" s="66">
        <v>46196</v>
      </c>
      <c r="R14" s="66">
        <v>46197</v>
      </c>
      <c r="S14" s="66">
        <v>46198</v>
      </c>
      <c r="T14" s="66">
        <v>46199</v>
      </c>
      <c r="U14" s="66">
        <v>46200</v>
      </c>
      <c r="V14" s="66">
        <v>46201</v>
      </c>
      <c r="W14" s="66">
        <v>46202</v>
      </c>
      <c r="X14" s="66">
        <v>46203</v>
      </c>
      <c r="Y14" s="66">
        <v>46204</v>
      </c>
      <c r="Z14" s="66">
        <v>46205</v>
      </c>
      <c r="AA14" s="66">
        <v>46206</v>
      </c>
      <c r="AB14" s="66">
        <v>46207</v>
      </c>
      <c r="AC14" s="66">
        <v>46208</v>
      </c>
      <c r="AD14" s="66">
        <v>46209</v>
      </c>
      <c r="AE14" s="66">
        <v>46210</v>
      </c>
      <c r="AF14" s="66">
        <v>46211</v>
      </c>
      <c r="AG14" s="66">
        <v>46212</v>
      </c>
      <c r="AH14" s="66">
        <v>46213</v>
      </c>
      <c r="AI14" s="66">
        <v>46214</v>
      </c>
      <c r="AJ14" s="66">
        <v>46215</v>
      </c>
      <c r="AK14" s="66">
        <v>46216</v>
      </c>
      <c r="AL14" s="66">
        <v>46217</v>
      </c>
      <c r="AM14" s="66">
        <v>46218</v>
      </c>
      <c r="AN14" s="66">
        <v>46219</v>
      </c>
      <c r="AO14" s="66">
        <v>46220</v>
      </c>
      <c r="AP14" s="66">
        <v>46221</v>
      </c>
      <c r="AQ14" s="66">
        <v>46222</v>
      </c>
      <c r="AR14" s="66">
        <v>46223</v>
      </c>
      <c r="AS14" s="66">
        <v>46224</v>
      </c>
      <c r="AT14" s="66">
        <v>46225</v>
      </c>
      <c r="AU14" s="66">
        <v>46226</v>
      </c>
      <c r="AV14" s="66">
        <v>46227</v>
      </c>
      <c r="AW14" s="66">
        <v>46228</v>
      </c>
      <c r="AX14" s="66">
        <v>46229</v>
      </c>
      <c r="AY14" s="66">
        <v>46230</v>
      </c>
      <c r="AZ14" s="66">
        <v>46231</v>
      </c>
      <c r="BA14" s="66">
        <v>46232</v>
      </c>
      <c r="BB14" s="66">
        <v>46233</v>
      </c>
      <c r="BC14" s="66">
        <v>46234</v>
      </c>
      <c r="BD14" s="66">
        <v>46235</v>
      </c>
      <c r="BE14" s="66">
        <v>46236</v>
      </c>
      <c r="BF14" s="66">
        <v>46237</v>
      </c>
      <c r="BG14" s="66">
        <v>46238</v>
      </c>
      <c r="BH14" s="66">
        <v>46239</v>
      </c>
      <c r="BI14" s="66">
        <v>46240</v>
      </c>
      <c r="BJ14" s="66">
        <v>46241</v>
      </c>
      <c r="BK14" s="66">
        <v>46242</v>
      </c>
      <c r="BL14" s="66">
        <v>46243</v>
      </c>
    </row>
    <row r="15" spans="1:64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</row>
    <row r="16" spans="1:64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L16" si="0">SUM(E17:E25)</f>
        <v>1000000</v>
      </c>
      <c r="F16" s="135">
        <f t="shared" si="0"/>
        <v>0</v>
      </c>
      <c r="G16" s="135">
        <f t="shared" si="0"/>
        <v>0</v>
      </c>
      <c r="H16" s="135">
        <f t="shared" si="0"/>
        <v>0</v>
      </c>
      <c r="I16" s="29">
        <f t="shared" si="0"/>
        <v>1500000</v>
      </c>
      <c r="J16" s="29">
        <f t="shared" si="0"/>
        <v>0</v>
      </c>
      <c r="K16" s="29">
        <f t="shared" si="0"/>
        <v>0</v>
      </c>
      <c r="L16" s="29">
        <f t="shared" si="0"/>
        <v>7982812.4543999992</v>
      </c>
      <c r="M16" s="29">
        <f t="shared" si="0"/>
        <v>0</v>
      </c>
      <c r="N16" s="135">
        <f t="shared" si="0"/>
        <v>0</v>
      </c>
      <c r="O16" s="135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135">
        <f t="shared" si="0"/>
        <v>0</v>
      </c>
      <c r="V16" s="135">
        <f t="shared" si="0"/>
        <v>0</v>
      </c>
      <c r="W16" s="29">
        <f t="shared" si="0"/>
        <v>2000000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135">
        <f t="shared" si="0"/>
        <v>0</v>
      </c>
      <c r="AC16" s="135">
        <f t="shared" si="0"/>
        <v>0</v>
      </c>
      <c r="AD16" s="29">
        <f t="shared" si="0"/>
        <v>2000000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135">
        <f t="shared" si="0"/>
        <v>0</v>
      </c>
      <c r="AJ16" s="135">
        <f t="shared" si="0"/>
        <v>0</v>
      </c>
      <c r="AK16" s="29">
        <f t="shared" si="0"/>
        <v>2000000</v>
      </c>
      <c r="AL16" s="29">
        <f t="shared" si="0"/>
        <v>0</v>
      </c>
      <c r="AM16" s="29">
        <f t="shared" si="0"/>
        <v>0</v>
      </c>
      <c r="AN16" s="29">
        <f t="shared" si="0"/>
        <v>0</v>
      </c>
      <c r="AO16" s="29">
        <f t="shared" si="0"/>
        <v>0</v>
      </c>
      <c r="AP16" s="135">
        <f t="shared" si="0"/>
        <v>0</v>
      </c>
      <c r="AQ16" s="135">
        <f t="shared" si="0"/>
        <v>0</v>
      </c>
      <c r="AR16" s="29">
        <f t="shared" si="0"/>
        <v>2000000</v>
      </c>
      <c r="AS16" s="29">
        <f t="shared" si="0"/>
        <v>0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135">
        <f t="shared" si="0"/>
        <v>0</v>
      </c>
      <c r="AX16" s="135">
        <f t="shared" si="0"/>
        <v>0</v>
      </c>
      <c r="AY16" s="29">
        <f t="shared" si="0"/>
        <v>4330985</v>
      </c>
      <c r="AZ16" s="29">
        <f t="shared" si="0"/>
        <v>0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135">
        <f t="shared" si="0"/>
        <v>0</v>
      </c>
      <c r="BE16" s="135">
        <f t="shared" si="0"/>
        <v>0</v>
      </c>
      <c r="BF16" s="29">
        <f t="shared" si="0"/>
        <v>2957704.96</v>
      </c>
      <c r="BG16" s="29">
        <f t="shared" si="0"/>
        <v>0</v>
      </c>
      <c r="BH16" s="29">
        <f t="shared" si="0"/>
        <v>0</v>
      </c>
      <c r="BI16" s="29">
        <f t="shared" si="0"/>
        <v>0</v>
      </c>
      <c r="BJ16" s="29">
        <f t="shared" si="0"/>
        <v>0</v>
      </c>
      <c r="BK16" s="135">
        <f t="shared" si="0"/>
        <v>0</v>
      </c>
      <c r="BL16" s="135">
        <f t="shared" si="0"/>
        <v>0</v>
      </c>
    </row>
    <row r="17" spans="1:64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</row>
    <row r="18" spans="1:64" s="80" customFormat="1" x14ac:dyDescent="0.25">
      <c r="A18" s="40" t="s">
        <v>9</v>
      </c>
      <c r="B18" s="21"/>
      <c r="C18" s="59"/>
      <c r="D18" s="30"/>
      <c r="E18" s="30">
        <v>1000000</v>
      </c>
      <c r="F18" s="30"/>
      <c r="G18" s="30"/>
      <c r="H18" s="30"/>
      <c r="I18" s="30">
        <v>1500000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</row>
    <row r="19" spans="1:64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>
        <v>2000000</v>
      </c>
      <c r="X19" s="30"/>
      <c r="Y19" s="30"/>
      <c r="Z19" s="30"/>
      <c r="AA19" s="30"/>
      <c r="AB19" s="30"/>
      <c r="AC19" s="30"/>
      <c r="AD19" s="30">
        <v>2000000</v>
      </c>
      <c r="AE19" s="30"/>
      <c r="AF19" s="30"/>
      <c r="AG19" s="30"/>
      <c r="AH19" s="30"/>
      <c r="AI19" s="30"/>
      <c r="AJ19" s="30"/>
      <c r="AK19" s="30">
        <v>2000000</v>
      </c>
      <c r="AL19" s="30"/>
      <c r="AM19" s="30"/>
      <c r="AN19" s="30"/>
      <c r="AO19" s="30"/>
      <c r="AP19" s="30"/>
      <c r="AQ19" s="30"/>
      <c r="AR19" s="30">
        <v>2000000</v>
      </c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</row>
    <row r="20" spans="1:64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W20" s="30"/>
      <c r="AX20" s="30"/>
      <c r="AY20" s="30">
        <v>4330985</v>
      </c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</row>
    <row r="21" spans="1:64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</row>
    <row r="22" spans="1:64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</row>
    <row r="23" spans="1:64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>
        <f>96084*A3</f>
        <v>7982812.4543999992</v>
      </c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</row>
    <row r="24" spans="1:64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X24" s="30"/>
      <c r="Y24" s="30"/>
      <c r="Z24" s="30"/>
      <c r="AA24" s="30"/>
      <c r="AB24" s="30"/>
      <c r="AC24" s="30"/>
      <c r="AD24" s="30"/>
      <c r="AE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165">
        <f>35600*A3</f>
        <v>2957704.96</v>
      </c>
      <c r="BG24" s="30"/>
      <c r="BH24" s="30"/>
      <c r="BI24" s="30"/>
      <c r="BJ24" s="30"/>
      <c r="BK24" s="30"/>
      <c r="BL24" s="30"/>
    </row>
    <row r="25" spans="1:64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</row>
    <row r="26" spans="1:64" s="4" customFormat="1" x14ac:dyDescent="0.2">
      <c r="A26" s="41" t="s">
        <v>1</v>
      </c>
      <c r="B26" s="22"/>
      <c r="C26" s="34">
        <f>SUM(C28:C74)</f>
        <v>21762581.866119999</v>
      </c>
      <c r="D26" s="34"/>
      <c r="E26" s="34">
        <f t="shared" ref="E26:AJ26" si="1">SUM(E27:E75)</f>
        <v>430001.61533333332</v>
      </c>
      <c r="F26" s="34">
        <f t="shared" si="1"/>
        <v>0</v>
      </c>
      <c r="G26" s="34">
        <f t="shared" si="1"/>
        <v>0</v>
      </c>
      <c r="H26" s="34">
        <f t="shared" si="1"/>
        <v>0</v>
      </c>
      <c r="I26" s="34">
        <f t="shared" si="1"/>
        <v>1051891.026181818</v>
      </c>
      <c r="J26" s="34">
        <f t="shared" si="1"/>
        <v>307211.44446000003</v>
      </c>
      <c r="K26" s="34">
        <f t="shared" si="1"/>
        <v>389189.33709090902</v>
      </c>
      <c r="L26" s="34">
        <f t="shared" si="1"/>
        <v>7016906.5606418177</v>
      </c>
      <c r="M26" s="34">
        <f t="shared" si="1"/>
        <v>2059547.1819199999</v>
      </c>
      <c r="N26" s="34">
        <f t="shared" si="1"/>
        <v>0</v>
      </c>
      <c r="O26" s="34">
        <f t="shared" si="1"/>
        <v>0</v>
      </c>
      <c r="P26" s="34">
        <f t="shared" si="1"/>
        <v>567368.66533333343</v>
      </c>
      <c r="Q26" s="34">
        <f t="shared" si="1"/>
        <v>341354.92799999996</v>
      </c>
      <c r="R26" s="34">
        <f t="shared" si="1"/>
        <v>331266.66583333333</v>
      </c>
      <c r="S26" s="34">
        <f t="shared" si="1"/>
        <v>674919.26133333333</v>
      </c>
      <c r="T26" s="34">
        <f t="shared" si="1"/>
        <v>508869.8737933333</v>
      </c>
      <c r="U26" s="34">
        <f t="shared" si="1"/>
        <v>0</v>
      </c>
      <c r="V26" s="34">
        <f t="shared" si="1"/>
        <v>0</v>
      </c>
      <c r="W26" s="34">
        <f t="shared" si="1"/>
        <v>344155.26133333333</v>
      </c>
      <c r="X26" s="34">
        <f t="shared" si="1"/>
        <v>3489585.8737933333</v>
      </c>
      <c r="Y26" s="34">
        <f t="shared" si="1"/>
        <v>660727.60833333316</v>
      </c>
      <c r="Z26" s="34">
        <f t="shared" si="1"/>
        <v>1208635.1124486364</v>
      </c>
      <c r="AA26" s="34">
        <f t="shared" si="1"/>
        <v>939919.81818181812</v>
      </c>
      <c r="AB26" s="34">
        <f t="shared" si="1"/>
        <v>0</v>
      </c>
      <c r="AC26" s="34">
        <f t="shared" si="1"/>
        <v>694560</v>
      </c>
      <c r="AD26" s="34">
        <f t="shared" si="1"/>
        <v>325697.83709090907</v>
      </c>
      <c r="AE26" s="34">
        <f t="shared" si="1"/>
        <v>980347.05118181813</v>
      </c>
      <c r="AF26" s="34">
        <f t="shared" si="1"/>
        <v>729416.83298863634</v>
      </c>
      <c r="AG26" s="34">
        <f t="shared" si="1"/>
        <v>507847.05118181818</v>
      </c>
      <c r="AH26" s="34">
        <f t="shared" si="1"/>
        <v>267319.96636363631</v>
      </c>
      <c r="AI26" s="34">
        <f t="shared" si="1"/>
        <v>0</v>
      </c>
      <c r="AJ26" s="34">
        <f t="shared" si="1"/>
        <v>0</v>
      </c>
      <c r="AK26" s="34">
        <f t="shared" ref="AK26:BL26" si="2">SUM(AK27:AK75)</f>
        <v>2162778.233</v>
      </c>
      <c r="AL26" s="34">
        <f t="shared" si="2"/>
        <v>374863.12318181817</v>
      </c>
      <c r="AM26" s="34">
        <f t="shared" si="2"/>
        <v>107956.33333333334</v>
      </c>
      <c r="AN26" s="34">
        <f t="shared" si="2"/>
        <v>211267.67198863637</v>
      </c>
      <c r="AO26" s="34">
        <f t="shared" si="2"/>
        <v>366537.67198863637</v>
      </c>
      <c r="AP26" s="34">
        <f t="shared" si="2"/>
        <v>0</v>
      </c>
      <c r="AQ26" s="34">
        <f t="shared" si="2"/>
        <v>0</v>
      </c>
      <c r="AR26" s="34">
        <f t="shared" si="2"/>
        <v>171267.67198863637</v>
      </c>
      <c r="AS26" s="34">
        <f t="shared" si="2"/>
        <v>171267.67198863637</v>
      </c>
      <c r="AT26" s="34">
        <f t="shared" si="2"/>
        <v>171267.67198863637</v>
      </c>
      <c r="AU26" s="34">
        <f t="shared" si="2"/>
        <v>0</v>
      </c>
      <c r="AV26" s="34">
        <f t="shared" si="2"/>
        <v>0</v>
      </c>
      <c r="AW26" s="34">
        <f t="shared" si="2"/>
        <v>0</v>
      </c>
      <c r="AX26" s="34">
        <f t="shared" si="2"/>
        <v>0</v>
      </c>
      <c r="AY26" s="34">
        <f t="shared" si="2"/>
        <v>1600000</v>
      </c>
      <c r="AZ26" s="34">
        <f t="shared" si="2"/>
        <v>0</v>
      </c>
      <c r="BA26" s="34">
        <f t="shared" si="2"/>
        <v>0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746062.9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</row>
    <row r="27" spans="1:64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</row>
    <row r="28" spans="1:64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</row>
    <row r="29" spans="1:64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</row>
    <row r="30" spans="1:64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>
        <f>8399365/3</f>
        <v>2799788.3333333335</v>
      </c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</row>
    <row r="31" spans="1:64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90">
        <f>291375+137118</f>
        <v>428493</v>
      </c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</row>
    <row r="32" spans="1:64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>
        <v>480520</v>
      </c>
      <c r="N32" s="24"/>
      <c r="O32" s="24"/>
      <c r="P32" s="24"/>
      <c r="Q32" s="24"/>
      <c r="R32" s="24"/>
      <c r="S32" s="24">
        <v>350000</v>
      </c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</row>
    <row r="33" spans="1:64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>
        <v>271506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>
        <v>271506</v>
      </c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</row>
    <row r="34" spans="1:64" s="1" customFormat="1" x14ac:dyDescent="0.2">
      <c r="A34" s="36" t="s">
        <v>54</v>
      </c>
      <c r="B34" s="23"/>
      <c r="C34" s="60"/>
      <c r="D34" s="24"/>
      <c r="E34" s="24">
        <f>100113.9/2</f>
        <v>50056.95</v>
      </c>
      <c r="F34" s="24"/>
      <c r="G34" s="24"/>
      <c r="H34" s="24"/>
      <c r="I34" s="24"/>
      <c r="J34" s="24">
        <v>50000</v>
      </c>
      <c r="K34" s="24"/>
      <c r="L34" s="24">
        <f>100113.9/2</f>
        <v>50056.95</v>
      </c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</row>
    <row r="35" spans="1:64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>
        <v>200113.9</v>
      </c>
      <c r="AA35" s="24">
        <v>40000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>
        <v>200113.9</v>
      </c>
      <c r="BG35" s="24"/>
      <c r="BH35" s="24"/>
      <c r="BI35" s="24"/>
      <c r="BJ35" s="24"/>
      <c r="BK35" s="24"/>
      <c r="BL35" s="24"/>
    </row>
    <row r="36" spans="1:64" s="1" customFormat="1" x14ac:dyDescent="0.2">
      <c r="A36" s="36" t="s">
        <v>53</v>
      </c>
      <c r="B36" s="23"/>
      <c r="C36" s="60"/>
      <c r="D36" s="24"/>
      <c r="E36" s="24">
        <f t="shared" ref="E36:K36" si="3">545949/6</f>
        <v>90991.5</v>
      </c>
      <c r="G36" s="24"/>
      <c r="H36" s="24"/>
      <c r="I36" s="24">
        <f t="shared" si="3"/>
        <v>90991.5</v>
      </c>
      <c r="J36" s="24"/>
      <c r="K36" s="24">
        <f t="shared" si="3"/>
        <v>90991.5</v>
      </c>
      <c r="L36" s="24">
        <v>140000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>
        <v>545949</v>
      </c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>
        <v>545949</v>
      </c>
      <c r="BG36" s="24"/>
      <c r="BH36" s="24"/>
      <c r="BI36" s="24"/>
      <c r="BJ36" s="24"/>
      <c r="BK36" s="24"/>
      <c r="BL36" s="24"/>
    </row>
    <row r="37" spans="1:64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</row>
    <row r="38" spans="1:64" s="71" customFormat="1" x14ac:dyDescent="0.2">
      <c r="A38" s="69" t="s">
        <v>14</v>
      </c>
      <c r="B38" s="25" t="s">
        <v>30</v>
      </c>
      <c r="C38" s="70"/>
      <c r="D38" s="24"/>
      <c r="E38" s="28"/>
      <c r="F38" s="28"/>
      <c r="G38" s="28"/>
      <c r="H38" s="28"/>
      <c r="I38" s="28"/>
      <c r="J38" s="28"/>
      <c r="K38" s="28"/>
      <c r="L38" s="28"/>
      <c r="M38" s="100">
        <v>774474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</row>
    <row r="39" spans="1:64" s="71" customFormat="1" x14ac:dyDescent="0.2">
      <c r="A39" s="69" t="s">
        <v>115</v>
      </c>
      <c r="B39" s="25" t="s">
        <v>116</v>
      </c>
      <c r="C39" s="70"/>
      <c r="D39" s="24"/>
      <c r="E39" s="100">
        <f>312320/10</f>
        <v>31232</v>
      </c>
      <c r="F39" s="24"/>
      <c r="G39" s="24"/>
      <c r="H39" s="24"/>
      <c r="I39" s="24"/>
      <c r="J39" s="100">
        <f>312320/10</f>
        <v>31232</v>
      </c>
      <c r="K39" s="24"/>
      <c r="L39" s="24"/>
      <c r="M39" s="100">
        <f>312320/10</f>
        <v>31232</v>
      </c>
      <c r="N39" s="24"/>
      <c r="O39" s="24"/>
      <c r="P39" s="108">
        <f>312320/10</f>
        <v>31232</v>
      </c>
      <c r="Q39" s="24"/>
      <c r="R39" s="108">
        <f>312320/10</f>
        <v>31232</v>
      </c>
      <c r="S39" s="24"/>
      <c r="T39" s="108">
        <f>312320/10</f>
        <v>31232</v>
      </c>
      <c r="U39" s="24"/>
      <c r="V39" s="24"/>
      <c r="W39" s="108">
        <v>124838</v>
      </c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</row>
    <row r="40" spans="1:64" s="71" customFormat="1" x14ac:dyDescent="0.2">
      <c r="A40" s="69" t="s">
        <v>117</v>
      </c>
      <c r="B40" s="25" t="s">
        <v>119</v>
      </c>
      <c r="C40" s="70">
        <f>691000-25000-25000-45500-25000-45000</f>
        <v>525500</v>
      </c>
      <c r="D40" s="24"/>
      <c r="E40" s="108">
        <v>25000</v>
      </c>
      <c r="G40" s="24"/>
      <c r="H40" s="24"/>
      <c r="I40" s="108">
        <f>25000+25000</f>
        <v>50000</v>
      </c>
      <c r="J40" s="24"/>
      <c r="K40" s="24"/>
      <c r="L40" s="108">
        <v>150000</v>
      </c>
      <c r="M40" s="108">
        <v>100000</v>
      </c>
      <c r="N40" s="24"/>
      <c r="O40" s="24"/>
      <c r="P40" s="24"/>
      <c r="Q40" s="108">
        <v>100000</v>
      </c>
      <c r="R40" s="108">
        <v>75000</v>
      </c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</row>
    <row r="41" spans="1:64" s="71" customFormat="1" x14ac:dyDescent="0.2">
      <c r="A41" s="69" t="s">
        <v>97</v>
      </c>
      <c r="B41" s="25" t="s">
        <v>137</v>
      </c>
      <c r="C41" s="70"/>
      <c r="D41" s="24"/>
      <c r="F41" s="24"/>
      <c r="G41" s="24"/>
      <c r="H41" s="24"/>
      <c r="I41" s="108">
        <f>510600/2</f>
        <v>255300</v>
      </c>
      <c r="J41" s="24"/>
      <c r="K41" s="24"/>
      <c r="L41" s="24"/>
      <c r="M41" s="129">
        <f>510600/2</f>
        <v>255300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100">
        <v>472500</v>
      </c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</row>
    <row r="42" spans="1:64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1375000-500000-175000-50000-25000-25000-25000-50000-25000-50000-25000-25000-30000-25000-30000-25000-25000-15000</f>
        <v>250000</v>
      </c>
      <c r="D42" s="24"/>
      <c r="E42" s="24"/>
      <c r="G42" s="24"/>
      <c r="H42" s="24"/>
      <c r="J42" s="129">
        <f>95000/2</f>
        <v>47500</v>
      </c>
      <c r="K42" s="24"/>
      <c r="L42" s="129">
        <f>95000/2</f>
        <v>47500</v>
      </c>
      <c r="N42" s="24"/>
      <c r="O42" s="24"/>
      <c r="P42" s="129">
        <f>30000/2</f>
        <v>15000</v>
      </c>
      <c r="Q42" s="129">
        <v>40000</v>
      </c>
      <c r="R42" s="129">
        <v>25000</v>
      </c>
      <c r="S42" s="129">
        <v>25000</v>
      </c>
      <c r="T42" s="129">
        <v>50000</v>
      </c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</row>
    <row r="43" spans="1:64" s="71" customFormat="1" x14ac:dyDescent="0.2">
      <c r="A43" s="69" t="s">
        <v>15</v>
      </c>
      <c r="B43" s="25" t="s">
        <v>31</v>
      </c>
      <c r="C43" s="70">
        <f>2480914-516230-48700-50000-50000-50000-43000-42000-50000-55000-30000</f>
        <v>1545984</v>
      </c>
      <c r="D43" s="24"/>
      <c r="E43" s="108">
        <f>(516230/10)/2</f>
        <v>25811.5</v>
      </c>
      <c r="G43" s="24"/>
      <c r="H43" s="24"/>
      <c r="I43" s="108">
        <f>516230/10+112</f>
        <v>51735</v>
      </c>
      <c r="J43" s="108">
        <f>(516230/10)/2</f>
        <v>25811.5</v>
      </c>
      <c r="K43" s="108">
        <f t="shared" ref="K43:AM43" si="4">516230/10</f>
        <v>51623</v>
      </c>
      <c r="L43" s="108">
        <f t="shared" si="4"/>
        <v>51623</v>
      </c>
      <c r="M43" s="108">
        <f>516230/10</f>
        <v>51623</v>
      </c>
      <c r="N43" s="24"/>
      <c r="O43" s="24"/>
      <c r="P43" s="108">
        <f>516230/10</f>
        <v>51623</v>
      </c>
      <c r="Q43" s="108">
        <f>516230/10+15224</f>
        <v>66847</v>
      </c>
      <c r="R43" s="108">
        <f t="shared" ref="R43" si="5">516230/10</f>
        <v>51623</v>
      </c>
      <c r="S43" s="108">
        <f t="shared" ref="S43" si="6">(515224/4)/3</f>
        <v>42935.333333333336</v>
      </c>
      <c r="T43" s="108">
        <f>516230/10</f>
        <v>51623</v>
      </c>
      <c r="U43" s="24"/>
      <c r="V43" s="24"/>
      <c r="X43" s="108">
        <f t="shared" ref="X43:AA43" si="7">516230/10</f>
        <v>51623</v>
      </c>
      <c r="Y43" s="108">
        <f t="shared" si="7"/>
        <v>51623</v>
      </c>
      <c r="Z43" s="108">
        <f t="shared" si="7"/>
        <v>51623</v>
      </c>
      <c r="AA43" s="108">
        <f t="shared" si="7"/>
        <v>51623</v>
      </c>
      <c r="AB43" s="24"/>
      <c r="AC43" s="24"/>
      <c r="AD43" s="108">
        <f t="shared" ref="AD43:AH43" si="8">516230/10</f>
        <v>51623</v>
      </c>
      <c r="AE43" s="108">
        <f t="shared" si="8"/>
        <v>51623</v>
      </c>
      <c r="AF43" s="108">
        <f t="shared" si="8"/>
        <v>51623</v>
      </c>
      <c r="AG43" s="108">
        <f t="shared" si="8"/>
        <v>51623</v>
      </c>
      <c r="AH43" s="108">
        <f t="shared" si="8"/>
        <v>51623</v>
      </c>
      <c r="AI43" s="24"/>
      <c r="AJ43" s="24"/>
      <c r="AK43" s="100">
        <v>516230</v>
      </c>
      <c r="AL43" s="108">
        <f>516230/10</f>
        <v>51623</v>
      </c>
      <c r="AM43" s="108">
        <f t="shared" si="4"/>
        <v>51623</v>
      </c>
      <c r="AN43" s="24"/>
      <c r="AO43" s="98">
        <f>515224/4+54464</f>
        <v>183270</v>
      </c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</row>
    <row r="44" spans="1:64" s="71" customFormat="1" x14ac:dyDescent="0.2">
      <c r="A44" s="69" t="s">
        <v>85</v>
      </c>
      <c r="B44" s="25" t="s">
        <v>47</v>
      </c>
      <c r="C44" s="70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100">
        <f>2997.5*A6</f>
        <v>215188.12699999998</v>
      </c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</row>
    <row r="45" spans="1:64" s="71" customFormat="1" x14ac:dyDescent="0.2">
      <c r="A45" s="69" t="s">
        <v>143</v>
      </c>
      <c r="B45" s="25" t="s">
        <v>45</v>
      </c>
      <c r="C45" s="24">
        <f>188496*A9</f>
        <v>1994758.92</v>
      </c>
      <c r="D45" s="24"/>
      <c r="E45" s="24"/>
      <c r="F45" s="28"/>
      <c r="G45" s="24"/>
      <c r="H45" s="24"/>
      <c r="J45" s="24"/>
      <c r="K45" s="108">
        <f t="shared" ref="K45:AD45" si="9">(188496*$A$9)/15</f>
        <v>132983.92799999999</v>
      </c>
      <c r="L45" s="108">
        <f t="shared" si="9"/>
        <v>132983.92799999999</v>
      </c>
      <c r="N45" s="24"/>
      <c r="O45" s="24"/>
      <c r="Q45" s="108">
        <f t="shared" ref="Q45:AE45" si="10">(188496*$A$9)/15</f>
        <v>132983.92799999999</v>
      </c>
      <c r="S45" s="108">
        <f t="shared" si="10"/>
        <v>132983.92799999999</v>
      </c>
      <c r="T45" s="108">
        <f t="shared" si="10"/>
        <v>132983.92799999999</v>
      </c>
      <c r="U45" s="24"/>
      <c r="V45" s="24"/>
      <c r="W45" s="108">
        <f>(188496*$A$9)/15</f>
        <v>132983.92799999999</v>
      </c>
      <c r="X45" s="108">
        <f t="shared" ref="X45:Z45" si="11">(188496*$A$9)/15</f>
        <v>132983.92799999999</v>
      </c>
      <c r="Y45" s="108">
        <f t="shared" si="11"/>
        <v>132983.92799999999</v>
      </c>
      <c r="Z45" s="108">
        <f t="shared" si="11"/>
        <v>132983.92799999999</v>
      </c>
      <c r="AA45" s="28"/>
      <c r="AB45" s="24"/>
      <c r="AC45" s="24"/>
      <c r="AD45" s="108">
        <f t="shared" si="9"/>
        <v>132983.92799999999</v>
      </c>
      <c r="AE45" s="108">
        <f t="shared" si="10"/>
        <v>132983.92799999999</v>
      </c>
      <c r="AF45" s="108">
        <f>((188496*$A$9)/15)*2</f>
        <v>265967.85599999997</v>
      </c>
      <c r="AG45" s="108">
        <f>(188496*$A$9)/15</f>
        <v>132983.92799999999</v>
      </c>
      <c r="AH45" s="24"/>
      <c r="AI45" s="24"/>
      <c r="AJ45" s="24"/>
      <c r="AK45" s="108">
        <f>(188496*$A$9)/15</f>
        <v>132983.92799999999</v>
      </c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</row>
    <row r="46" spans="1:64" s="71" customFormat="1" x14ac:dyDescent="0.2">
      <c r="A46" s="69" t="s">
        <v>120</v>
      </c>
      <c r="B46" s="25" t="s">
        <v>121</v>
      </c>
      <c r="C46" s="120">
        <f>507000+1014000-47000-56000-45000</f>
        <v>1373000</v>
      </c>
      <c r="D46" s="24"/>
      <c r="E46" s="108">
        <f t="shared" ref="E46:T46" si="12">507000/9</f>
        <v>56333.333333333336</v>
      </c>
      <c r="F46" s="28"/>
      <c r="G46" s="24"/>
      <c r="H46" s="24"/>
      <c r="I46" s="108">
        <f t="shared" ref="I46:AL46" si="13">1014000/11</f>
        <v>92181.818181818177</v>
      </c>
      <c r="J46" s="24"/>
      <c r="L46" s="108">
        <f t="shared" si="13"/>
        <v>92181.818181818177</v>
      </c>
      <c r="N46" s="24"/>
      <c r="O46" s="24"/>
      <c r="P46" s="108">
        <f>507000/9</f>
        <v>56333.333333333336</v>
      </c>
      <c r="Q46" s="24"/>
      <c r="R46" s="108">
        <f t="shared" si="12"/>
        <v>56333.333333333336</v>
      </c>
      <c r="S46" s="24"/>
      <c r="T46" s="108">
        <f t="shared" si="12"/>
        <v>56333.333333333336</v>
      </c>
      <c r="U46" s="24"/>
      <c r="V46" s="24"/>
      <c r="W46" s="108">
        <f t="shared" ref="W46:AM46" si="14">507000/9</f>
        <v>56333.333333333336</v>
      </c>
      <c r="Y46" s="108">
        <f t="shared" si="14"/>
        <v>56333.333333333336</v>
      </c>
      <c r="Z46" s="108">
        <f>(1014000/11+88393.5*$A$9)/6</f>
        <v>171267.67198863637</v>
      </c>
      <c r="AA46" s="108">
        <f t="shared" ref="AA46:AE46" si="15">1014000/11</f>
        <v>92181.818181818177</v>
      </c>
      <c r="AB46" s="24"/>
      <c r="AC46" s="100">
        <v>682560</v>
      </c>
      <c r="AD46" s="108">
        <f>(1014000/11)/2</f>
        <v>46090.909090909088</v>
      </c>
      <c r="AE46" s="108">
        <f t="shared" si="15"/>
        <v>92181.818181818177</v>
      </c>
      <c r="AF46" s="108">
        <f>(1014000/11+88393.5*$A$9)/6</f>
        <v>171267.67198863637</v>
      </c>
      <c r="AG46" s="108">
        <f t="shared" si="13"/>
        <v>92181.818181818177</v>
      </c>
      <c r="AH46" s="108">
        <f>(1014000/11)*2+9333.33</f>
        <v>193696.96636363634</v>
      </c>
      <c r="AI46" s="24"/>
      <c r="AJ46" s="24"/>
      <c r="AK46" s="108">
        <v>991000</v>
      </c>
      <c r="AL46" s="108">
        <f t="shared" si="13"/>
        <v>92181.818181818177</v>
      </c>
      <c r="AM46" s="108">
        <f t="shared" si="14"/>
        <v>56333.333333333336</v>
      </c>
      <c r="AN46" s="108">
        <f>(1014000/11+88393.5*$A$9)/6</f>
        <v>171267.67198863637</v>
      </c>
      <c r="AO46" s="108">
        <f>(1014000/11+88393.5*$A$9)/6</f>
        <v>171267.67198863637</v>
      </c>
      <c r="AP46" s="24"/>
      <c r="AQ46" s="24"/>
      <c r="AR46" s="108">
        <f>(1014000/11+88393.5*$A$9)/6</f>
        <v>171267.67198863637</v>
      </c>
      <c r="AS46" s="108">
        <f>(1014000/11+88393.5*$A$9)/6</f>
        <v>171267.67198863637</v>
      </c>
      <c r="AT46" s="108">
        <f>(1014000/11+88393.5*$A$9)/6</f>
        <v>171267.67198863637</v>
      </c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</row>
    <row r="47" spans="1:64" s="73" customFormat="1" x14ac:dyDescent="0.2">
      <c r="A47" s="69" t="s">
        <v>22</v>
      </c>
      <c r="B47" s="25" t="s">
        <v>48</v>
      </c>
      <c r="C47" s="137"/>
      <c r="D47" s="72"/>
      <c r="E47" s="72"/>
      <c r="F47" s="72"/>
      <c r="G47" s="72"/>
      <c r="H47" s="72"/>
      <c r="I47" s="72"/>
      <c r="J47" s="160">
        <f t="shared" ref="J47:Z47" si="16">(52206*$A$9+2988*$A$6)/10</f>
        <v>76697.612460000004</v>
      </c>
      <c r="K47" s="108">
        <f>(1014000/11)/2</f>
        <v>46090.909090909088</v>
      </c>
      <c r="L47" s="160">
        <f t="shared" si="16"/>
        <v>76697.612460000004</v>
      </c>
      <c r="M47" s="160">
        <f>((52206*$A$9+2988*$A$6)/10)*2</f>
        <v>153395.22492000001</v>
      </c>
      <c r="N47" s="72"/>
      <c r="O47" s="72"/>
      <c r="Q47" s="72"/>
      <c r="R47" s="160">
        <f>(52206*$A$9)/6</f>
        <v>92078.332500000004</v>
      </c>
      <c r="S47" s="72"/>
      <c r="T47" s="160">
        <f>(52206*$A$9+2988*$A$6)/10</f>
        <v>76697.612460000004</v>
      </c>
      <c r="U47" s="72"/>
      <c r="V47" s="72"/>
      <c r="W47" s="72"/>
      <c r="X47" s="160">
        <f t="shared" ref="X47" si="17">(52206*$A$9+2988*$A$6)/10</f>
        <v>76697.612460000004</v>
      </c>
      <c r="Z47" s="160">
        <f t="shared" si="16"/>
        <v>76697.612460000004</v>
      </c>
      <c r="AA47" s="166">
        <f>62000*$A$9</f>
        <v>656115</v>
      </c>
      <c r="AB47" s="72"/>
      <c r="AC47" s="72"/>
      <c r="AE47" s="160">
        <f>(109170*$A$9)/5</f>
        <v>231058.30499999999</v>
      </c>
      <c r="AF47" s="160">
        <f t="shared" ref="AF47:AG47" si="18">(109170*$A$9)/5</f>
        <v>231058.30499999999</v>
      </c>
      <c r="AG47" s="160">
        <f t="shared" si="18"/>
        <v>231058.30499999999</v>
      </c>
      <c r="AH47" s="72"/>
      <c r="AI47" s="72"/>
      <c r="AJ47" s="72"/>
      <c r="AK47" s="160">
        <f t="shared" ref="AK47:AL47" si="19">(109170*$A$9)/5</f>
        <v>231058.30499999999</v>
      </c>
      <c r="AL47" s="160">
        <f t="shared" si="19"/>
        <v>231058.30499999999</v>
      </c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</row>
    <row r="48" spans="1:64" s="73" customFormat="1" x14ac:dyDescent="0.2">
      <c r="A48" s="69" t="s">
        <v>108</v>
      </c>
      <c r="B48" s="25" t="s">
        <v>109</v>
      </c>
      <c r="C48" s="120"/>
      <c r="D48" s="72"/>
      <c r="E48" s="72"/>
      <c r="F48" s="72"/>
      <c r="G48" s="72"/>
      <c r="H48" s="72"/>
      <c r="I48" s="72"/>
      <c r="J48" s="72"/>
      <c r="K48" s="72"/>
      <c r="L48" s="72"/>
      <c r="M48" s="138">
        <f>50531.25/2</f>
        <v>25265.625</v>
      </c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</row>
    <row r="49" spans="1:64" s="71" customFormat="1" x14ac:dyDescent="0.2">
      <c r="A49" s="69" t="s">
        <v>36</v>
      </c>
      <c r="B49" s="25" t="s">
        <v>37</v>
      </c>
      <c r="C49" s="130"/>
      <c r="D49" s="24"/>
      <c r="E49" s="24"/>
      <c r="F49" s="24"/>
      <c r="G49" s="24"/>
      <c r="H49" s="24"/>
      <c r="I49" s="24"/>
      <c r="J49" s="24"/>
      <c r="K49" s="24"/>
      <c r="L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</row>
    <row r="50" spans="1:64" s="71" customFormat="1" x14ac:dyDescent="0.2">
      <c r="A50" s="69" t="s">
        <v>86</v>
      </c>
      <c r="B50" s="25" t="s">
        <v>35</v>
      </c>
      <c r="C50" s="70"/>
      <c r="D50" s="77"/>
      <c r="F50" s="24"/>
      <c r="G50" s="24"/>
      <c r="H50" s="24"/>
      <c r="I50" s="100">
        <f>490*A6</f>
        <v>35176.707999999999</v>
      </c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100">
        <f>2850*A6</f>
        <v>204599.21999999997</v>
      </c>
      <c r="Z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</row>
    <row r="51" spans="1:64" s="71" customFormat="1" x14ac:dyDescent="0.2">
      <c r="A51" s="69" t="s">
        <v>29</v>
      </c>
      <c r="B51" s="25" t="s">
        <v>43</v>
      </c>
      <c r="C51" s="70">
        <f>439750-19750-25000-25000-25000-20000-20000</f>
        <v>305000</v>
      </c>
      <c r="D51" s="24"/>
      <c r="E51" s="24"/>
      <c r="G51" s="24"/>
      <c r="H51" s="24"/>
      <c r="J51" s="95">
        <v>25000</v>
      </c>
      <c r="K51" s="24"/>
      <c r="L51" s="95">
        <v>50000</v>
      </c>
      <c r="N51" s="24"/>
      <c r="O51" s="24"/>
      <c r="P51" s="95">
        <v>35000</v>
      </c>
      <c r="Q51" s="24"/>
      <c r="R51" s="24"/>
      <c r="S51" s="24"/>
      <c r="U51" s="24"/>
      <c r="V51" s="24"/>
      <c r="W51" s="24"/>
      <c r="X51" s="24"/>
      <c r="Y51" s="24"/>
      <c r="Z51" s="24"/>
      <c r="AA51" s="95">
        <v>100000</v>
      </c>
      <c r="AB51" s="24"/>
      <c r="AC51" s="24"/>
      <c r="AD51" s="95">
        <v>95000</v>
      </c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</row>
    <row r="52" spans="1:64" s="71" customFormat="1" x14ac:dyDescent="0.2">
      <c r="A52" s="69" t="s">
        <v>141</v>
      </c>
      <c r="B52" s="25" t="s">
        <v>142</v>
      </c>
      <c r="C52" s="70"/>
      <c r="D52" s="24"/>
      <c r="E52" s="24"/>
      <c r="F52" s="24"/>
      <c r="G52" s="24"/>
      <c r="H52" s="24"/>
      <c r="I52" s="24"/>
      <c r="J52" s="24"/>
      <c r="K52" s="24"/>
      <c r="L52" s="100">
        <v>55053.72</v>
      </c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8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</row>
    <row r="53" spans="1:64" s="71" customFormat="1" x14ac:dyDescent="0.2">
      <c r="A53" s="69" t="s">
        <v>146</v>
      </c>
      <c r="B53" s="25" t="s">
        <v>147</v>
      </c>
      <c r="C53" s="70"/>
      <c r="D53" s="24"/>
      <c r="E53" s="24"/>
      <c r="F53" s="24"/>
      <c r="G53" s="24"/>
      <c r="H53" s="24"/>
      <c r="I53" s="100">
        <v>90000</v>
      </c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</row>
    <row r="54" spans="1:64" s="71" customFormat="1" x14ac:dyDescent="0.2">
      <c r="A54" s="69" t="s">
        <v>124</v>
      </c>
      <c r="B54" s="25" t="s">
        <v>125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100">
        <v>203210</v>
      </c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</row>
    <row r="55" spans="1:64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100">
        <v>1524</v>
      </c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</row>
    <row r="56" spans="1:64" s="71" customFormat="1" x14ac:dyDescent="0.2">
      <c r="A56" s="69" t="s">
        <v>90</v>
      </c>
      <c r="B56" s="25" t="s">
        <v>91</v>
      </c>
      <c r="C56" s="70">
        <f>912000+1012000-100000-100000-75000-75000-75000-75000-75000-75000-75000-75000-75000-75000</f>
        <v>974000</v>
      </c>
      <c r="D56" s="77"/>
      <c r="E56" s="129">
        <v>75000</v>
      </c>
      <c r="G56" s="24"/>
      <c r="H56" s="24"/>
      <c r="I56" s="129">
        <v>75000</v>
      </c>
      <c r="J56" s="24"/>
      <c r="K56" s="28"/>
      <c r="L56" s="129">
        <v>100000</v>
      </c>
      <c r="M56" s="129">
        <v>100000</v>
      </c>
      <c r="N56" s="24"/>
      <c r="O56" s="24"/>
      <c r="P56" s="129">
        <v>100000</v>
      </c>
      <c r="Q56" s="24"/>
      <c r="S56" s="129">
        <v>124000</v>
      </c>
      <c r="T56" s="129">
        <v>100000</v>
      </c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</row>
    <row r="57" spans="1:64" s="71" customFormat="1" x14ac:dyDescent="0.2">
      <c r="A57" s="69" t="s">
        <v>138</v>
      </c>
      <c r="B57" s="25" t="s">
        <v>136</v>
      </c>
      <c r="C57" s="70"/>
      <c r="D57" s="77"/>
      <c r="E57" s="100">
        <f t="shared" ref="E57:P57" si="20">(4260*$A$6)/6</f>
        <v>50970.331999999995</v>
      </c>
      <c r="G57" s="24"/>
      <c r="H57" s="24"/>
      <c r="I57" s="24"/>
      <c r="J57" s="100">
        <f t="shared" si="20"/>
        <v>50970.331999999995</v>
      </c>
      <c r="K57" s="24"/>
      <c r="L57" s="100">
        <f t="shared" si="20"/>
        <v>50970.331999999995</v>
      </c>
      <c r="M57" s="100">
        <f t="shared" si="20"/>
        <v>50970.331999999995</v>
      </c>
      <c r="N57" s="24"/>
      <c r="O57" s="24"/>
      <c r="P57" s="100">
        <f t="shared" si="20"/>
        <v>50970.331999999995</v>
      </c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</row>
    <row r="58" spans="1:64" s="71" customFormat="1" x14ac:dyDescent="0.2">
      <c r="A58" s="69" t="s">
        <v>156</v>
      </c>
      <c r="B58" s="25" t="s">
        <v>157</v>
      </c>
      <c r="C58" s="70"/>
      <c r="D58" s="77"/>
      <c r="E58" s="24"/>
      <c r="F58" s="24"/>
      <c r="G58" s="24"/>
      <c r="H58" s="24"/>
      <c r="I58" s="24"/>
      <c r="J58" s="24"/>
      <c r="K58" s="100">
        <v>52500</v>
      </c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</row>
    <row r="59" spans="1:64" s="71" customFormat="1" ht="12.75" customHeight="1" x14ac:dyDescent="0.2">
      <c r="A59" s="151" t="s">
        <v>139</v>
      </c>
      <c r="B59" s="152" t="s">
        <v>114</v>
      </c>
      <c r="C59" s="70"/>
      <c r="D59" s="77"/>
      <c r="E59" s="28"/>
      <c r="F59" s="28"/>
      <c r="G59" s="28"/>
      <c r="H59" s="28"/>
      <c r="I59" s="28"/>
      <c r="J59" s="28"/>
      <c r="K59" s="28"/>
      <c r="L59" s="28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</row>
    <row r="60" spans="1:64" s="71" customFormat="1" x14ac:dyDescent="0.2">
      <c r="A60" s="69" t="s">
        <v>128</v>
      </c>
      <c r="B60" s="25" t="s">
        <v>129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</row>
    <row r="61" spans="1:64" s="71" customFormat="1" x14ac:dyDescent="0.2">
      <c r="A61" s="69" t="s">
        <v>101</v>
      </c>
      <c r="B61" s="25" t="s">
        <v>130</v>
      </c>
      <c r="C61" s="70">
        <f>110000-25000-25000-10000</f>
        <v>50000</v>
      </c>
      <c r="D61" s="77"/>
      <c r="E61" s="24"/>
      <c r="F61" s="24"/>
      <c r="G61" s="24"/>
      <c r="H61" s="24"/>
      <c r="I61" s="24"/>
      <c r="J61" s="24"/>
      <c r="K61" s="24"/>
      <c r="L61" s="108">
        <f>100000/4</f>
        <v>25000</v>
      </c>
      <c r="M61" s="108">
        <f>25000/2</f>
        <v>12500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</row>
    <row r="62" spans="1:64" s="71" customFormat="1" x14ac:dyDescent="0.2">
      <c r="A62" s="69" t="s">
        <v>154</v>
      </c>
      <c r="B62" s="25" t="s">
        <v>153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</row>
    <row r="63" spans="1:64" s="71" customFormat="1" x14ac:dyDescent="0.2">
      <c r="A63" s="69" t="s">
        <v>158</v>
      </c>
      <c r="B63" s="25"/>
      <c r="C63" s="70"/>
      <c r="D63" s="77"/>
      <c r="E63" s="100">
        <v>12106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</row>
    <row r="64" spans="1:64" s="71" customFormat="1" x14ac:dyDescent="0.2">
      <c r="A64" s="69" t="s">
        <v>38</v>
      </c>
      <c r="B64" s="25" t="s">
        <v>39</v>
      </c>
      <c r="C64" s="70"/>
      <c r="D64" s="24"/>
      <c r="E64" s="24"/>
      <c r="F64" s="24"/>
      <c r="G64" s="24"/>
      <c r="H64" s="24"/>
      <c r="I64" s="24"/>
      <c r="J64" s="24"/>
      <c r="K64" s="24"/>
      <c r="L64" s="100">
        <v>8400</v>
      </c>
      <c r="M64" s="100">
        <v>12600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</row>
    <row r="65" spans="1:64" s="71" customFormat="1" x14ac:dyDescent="0.2">
      <c r="A65" s="69" t="s">
        <v>74</v>
      </c>
      <c r="B65" s="25" t="s">
        <v>131</v>
      </c>
      <c r="C65" s="70"/>
      <c r="D65" s="24"/>
      <c r="E65" s="100">
        <v>12500</v>
      </c>
      <c r="G65" s="24"/>
      <c r="H65" s="24"/>
      <c r="I65" s="100">
        <f>80000/2</f>
        <v>40000</v>
      </c>
      <c r="J65" s="24"/>
      <c r="K65" s="100">
        <v>15000</v>
      </c>
      <c r="L65" s="24"/>
      <c r="M65" s="100">
        <v>11667</v>
      </c>
      <c r="N65" s="24"/>
      <c r="O65" s="24"/>
      <c r="P65" s="100">
        <f>7500+16500</f>
        <v>24000</v>
      </c>
      <c r="Q65" s="24"/>
      <c r="S65" s="24"/>
      <c r="T65" s="100">
        <v>10000</v>
      </c>
      <c r="U65" s="24"/>
      <c r="V65" s="24"/>
      <c r="W65" s="100">
        <v>30000</v>
      </c>
      <c r="X65" s="24"/>
      <c r="Y65" s="24"/>
      <c r="Z65" s="100">
        <v>30000</v>
      </c>
      <c r="AA65" s="24"/>
      <c r="AB65" s="24"/>
      <c r="AC65" s="100">
        <v>12000</v>
      </c>
      <c r="AD65" s="24"/>
      <c r="AE65" s="24"/>
      <c r="AF65" s="100">
        <v>9500</v>
      </c>
      <c r="AG65" s="24"/>
      <c r="AH65" s="100">
        <v>22000</v>
      </c>
      <c r="AI65" s="24"/>
      <c r="AJ65" s="24"/>
      <c r="AK65" s="100">
        <v>20000</v>
      </c>
      <c r="AL65" s="24"/>
      <c r="AM65" s="24"/>
      <c r="AN65" s="143">
        <v>40000</v>
      </c>
      <c r="AO65" s="143">
        <v>12000</v>
      </c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</row>
    <row r="66" spans="1:64" s="71" customFormat="1" x14ac:dyDescent="0.2">
      <c r="A66" s="69" t="s">
        <v>74</v>
      </c>
      <c r="B66" s="25" t="s">
        <v>150</v>
      </c>
      <c r="C66" s="164">
        <v>3567700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</row>
    <row r="67" spans="1:64" s="73" customForma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</row>
    <row r="68" spans="1:64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/>
      <c r="BI68" s="93"/>
      <c r="BJ68" s="93"/>
      <c r="BK68" s="93"/>
      <c r="BL68" s="93"/>
    </row>
    <row r="69" spans="1:64" s="5" customFormat="1" x14ac:dyDescent="0.2">
      <c r="A69" s="42"/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</row>
    <row r="70" spans="1:64" s="5" customFormat="1" x14ac:dyDescent="0.2">
      <c r="A70" s="36" t="s">
        <v>49</v>
      </c>
      <c r="B70" s="12"/>
      <c r="C70" s="13"/>
      <c r="D70" s="26"/>
      <c r="E70" s="13"/>
      <c r="F70" s="13"/>
      <c r="G70" s="13"/>
      <c r="H70" s="13"/>
      <c r="I70" s="13"/>
      <c r="J70" s="13"/>
      <c r="K70" s="13"/>
      <c r="L70" s="13">
        <f>1400000+7400*A3</f>
        <v>2014803.8399999999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</row>
    <row r="71" spans="1:64" s="5" customFormat="1" x14ac:dyDescent="0.2">
      <c r="A71" s="36" t="s">
        <v>57</v>
      </c>
      <c r="B71" s="12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W71" s="13"/>
      <c r="AX71" s="13"/>
      <c r="AY71" s="168">
        <v>1600000</v>
      </c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</row>
    <row r="72" spans="1:64" s="5" customFormat="1" x14ac:dyDescent="0.2">
      <c r="A72" s="36" t="s">
        <v>61</v>
      </c>
      <c r="B72" s="12"/>
      <c r="C72" s="13">
        <v>112000</v>
      </c>
      <c r="D72" s="26"/>
      <c r="E72" s="13"/>
      <c r="F72" s="13"/>
      <c r="G72" s="13"/>
      <c r="H72" s="13"/>
      <c r="I72" s="13"/>
      <c r="J72" s="13"/>
      <c r="K72" s="13"/>
      <c r="L72" s="13">
        <f>4600*$A$3</f>
        <v>382175.36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</row>
    <row r="73" spans="1:64" s="5" customFormat="1" x14ac:dyDescent="0.2">
      <c r="A73" s="42" t="s">
        <v>151</v>
      </c>
      <c r="B73" s="12"/>
      <c r="C73" s="68">
        <f>(10000*10)*A6</f>
        <v>7178919.9999999991</v>
      </c>
      <c r="D73" s="26"/>
      <c r="E73" s="13"/>
      <c r="F73" s="13"/>
      <c r="G73" s="13"/>
      <c r="H73" s="13"/>
      <c r="I73" s="13"/>
      <c r="J73" s="13"/>
      <c r="K73" s="13"/>
      <c r="L73" s="126">
        <f>C73/2</f>
        <v>3589459.9999999995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</row>
    <row r="74" spans="1:64" s="5" customFormat="1" x14ac:dyDescent="0.2">
      <c r="A74" s="36" t="s">
        <v>72</v>
      </c>
      <c r="B74" s="27" t="s">
        <v>73</v>
      </c>
      <c r="C74" s="62">
        <v>3637079.2460000003</v>
      </c>
      <c r="D74" s="35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s="5" customFormat="1" x14ac:dyDescent="0.2">
      <c r="A75" s="42"/>
      <c r="B75" s="12"/>
      <c r="C75" s="61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</row>
    <row r="76" spans="1:64" s="84" customFormat="1" x14ac:dyDescent="0.2">
      <c r="A76" s="81" t="s">
        <v>66</v>
      </c>
      <c r="B76" s="82"/>
      <c r="C76" s="63"/>
      <c r="D76" s="83"/>
      <c r="E76" s="83">
        <f>$C$5+E16-E26</f>
        <v>6089161.4246666664</v>
      </c>
      <c r="F76" s="83">
        <f t="shared" ref="F76:BL76" si="21">E76+F16-F26</f>
        <v>6089161.4246666664</v>
      </c>
      <c r="G76" s="83">
        <f t="shared" si="21"/>
        <v>6089161.4246666664</v>
      </c>
      <c r="H76" s="83">
        <f t="shared" si="21"/>
        <v>6089161.4246666664</v>
      </c>
      <c r="I76" s="83">
        <f t="shared" si="21"/>
        <v>6537270.3984848484</v>
      </c>
      <c r="J76" s="83">
        <f t="shared" si="21"/>
        <v>6230058.9540248485</v>
      </c>
      <c r="K76" s="83">
        <f t="shared" si="21"/>
        <v>5840869.61693394</v>
      </c>
      <c r="L76" s="83">
        <f t="shared" si="21"/>
        <v>6806775.5106921215</v>
      </c>
      <c r="M76" s="83">
        <f t="shared" si="21"/>
        <v>4747228.328772122</v>
      </c>
      <c r="N76" s="83">
        <f t="shared" si="21"/>
        <v>4747228.328772122</v>
      </c>
      <c r="O76" s="83">
        <f t="shared" si="21"/>
        <v>4747228.328772122</v>
      </c>
      <c r="P76" s="83">
        <f t="shared" si="21"/>
        <v>4179859.6634387886</v>
      </c>
      <c r="Q76" s="83">
        <f t="shared" si="21"/>
        <v>3838504.7354387888</v>
      </c>
      <c r="R76" s="83">
        <f t="shared" si="21"/>
        <v>3507238.0696054553</v>
      </c>
      <c r="S76" s="83">
        <f t="shared" si="21"/>
        <v>2832318.8082721219</v>
      </c>
      <c r="T76" s="83">
        <f t="shared" si="21"/>
        <v>2323448.9344787886</v>
      </c>
      <c r="U76" s="83">
        <f t="shared" si="21"/>
        <v>2323448.9344787886</v>
      </c>
      <c r="V76" s="83">
        <f t="shared" si="21"/>
        <v>2323448.9344787886</v>
      </c>
      <c r="W76" s="83">
        <f t="shared" si="21"/>
        <v>3979293.6731454553</v>
      </c>
      <c r="X76" s="83">
        <f t="shared" si="21"/>
        <v>489707.79935212201</v>
      </c>
      <c r="Y76" s="83">
        <f t="shared" si="21"/>
        <v>-171019.80898121116</v>
      </c>
      <c r="Z76" s="83">
        <f t="shared" si="21"/>
        <v>-1379654.9214298476</v>
      </c>
      <c r="AA76" s="83">
        <f t="shared" si="21"/>
        <v>-2319574.7396116657</v>
      </c>
      <c r="AB76" s="83">
        <f t="shared" si="21"/>
        <v>-2319574.7396116657</v>
      </c>
      <c r="AC76" s="83">
        <f t="shared" si="21"/>
        <v>-3014134.7396116657</v>
      </c>
      <c r="AD76" s="83">
        <f t="shared" si="21"/>
        <v>-1339832.5767025747</v>
      </c>
      <c r="AE76" s="83">
        <f t="shared" si="21"/>
        <v>-2320179.6278843926</v>
      </c>
      <c r="AF76" s="83">
        <f t="shared" si="21"/>
        <v>-3049596.4608730292</v>
      </c>
      <c r="AG76" s="83">
        <f t="shared" si="21"/>
        <v>-3557443.5120548476</v>
      </c>
      <c r="AH76" s="83">
        <f t="shared" si="21"/>
        <v>-3824763.4784184839</v>
      </c>
      <c r="AI76" s="83">
        <f t="shared" si="21"/>
        <v>-3824763.4784184839</v>
      </c>
      <c r="AJ76" s="83">
        <f t="shared" si="21"/>
        <v>-3824763.4784184839</v>
      </c>
      <c r="AK76" s="83">
        <f t="shared" si="21"/>
        <v>-3987541.7114184839</v>
      </c>
      <c r="AL76" s="83">
        <f t="shared" si="21"/>
        <v>-4362404.8346003024</v>
      </c>
      <c r="AM76" s="83">
        <f t="shared" si="21"/>
        <v>-4470361.1679336354</v>
      </c>
      <c r="AN76" s="83">
        <f t="shared" si="21"/>
        <v>-4681628.8399222717</v>
      </c>
      <c r="AO76" s="83">
        <f t="shared" si="21"/>
        <v>-5048166.5119109079</v>
      </c>
      <c r="AP76" s="83">
        <f t="shared" si="21"/>
        <v>-5048166.5119109079</v>
      </c>
      <c r="AQ76" s="83">
        <f t="shared" si="21"/>
        <v>-5048166.5119109079</v>
      </c>
      <c r="AR76" s="83">
        <f t="shared" si="21"/>
        <v>-3219434.1838995442</v>
      </c>
      <c r="AS76" s="83">
        <f t="shared" si="21"/>
        <v>-3390701.8558881804</v>
      </c>
      <c r="AT76" s="83">
        <f t="shared" si="21"/>
        <v>-3561969.5278768167</v>
      </c>
      <c r="AU76" s="83">
        <f t="shared" si="21"/>
        <v>-3561969.5278768167</v>
      </c>
      <c r="AV76" s="83">
        <f t="shared" si="21"/>
        <v>-3561969.5278768167</v>
      </c>
      <c r="AW76" s="83">
        <f t="shared" si="21"/>
        <v>-3561969.5278768167</v>
      </c>
      <c r="AX76" s="83">
        <f t="shared" si="21"/>
        <v>-3561969.5278768167</v>
      </c>
      <c r="AY76" s="83">
        <f t="shared" si="21"/>
        <v>-830984.52787681669</v>
      </c>
      <c r="AZ76" s="83">
        <f t="shared" si="21"/>
        <v>-830984.52787681669</v>
      </c>
      <c r="BA76" s="83">
        <f t="shared" si="21"/>
        <v>-830984.52787681669</v>
      </c>
      <c r="BB76" s="83">
        <f t="shared" si="21"/>
        <v>-830984.52787681669</v>
      </c>
      <c r="BC76" s="83">
        <f t="shared" si="21"/>
        <v>-830984.52787681669</v>
      </c>
      <c r="BD76" s="83">
        <f t="shared" si="21"/>
        <v>-830984.52787681669</v>
      </c>
      <c r="BE76" s="83">
        <f t="shared" si="21"/>
        <v>-830984.52787681669</v>
      </c>
      <c r="BF76" s="83">
        <f t="shared" si="21"/>
        <v>1380657.5321231834</v>
      </c>
      <c r="BG76" s="83">
        <f t="shared" si="21"/>
        <v>1380657.5321231834</v>
      </c>
      <c r="BH76" s="83">
        <f t="shared" si="21"/>
        <v>1380657.5321231834</v>
      </c>
      <c r="BI76" s="83">
        <f t="shared" si="21"/>
        <v>1380657.5321231834</v>
      </c>
      <c r="BJ76" s="83">
        <f t="shared" si="21"/>
        <v>1380657.5321231834</v>
      </c>
      <c r="BK76" s="83">
        <f t="shared" si="21"/>
        <v>1380657.5321231834</v>
      </c>
      <c r="BL76" s="83">
        <f t="shared" si="21"/>
        <v>1380657.5321231834</v>
      </c>
    </row>
    <row r="78" spans="1:64" s="5" customFormat="1" x14ac:dyDescent="0.2">
      <c r="A78" s="42"/>
      <c r="B78" s="12"/>
      <c r="C78" s="68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</row>
    <row r="79" spans="1:64" s="89" customFormat="1" x14ac:dyDescent="0.2">
      <c r="A79" s="85" t="s">
        <v>65</v>
      </c>
      <c r="B79" s="86"/>
      <c r="C79" s="87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</row>
    <row r="80" spans="1:64" s="5" customFormat="1" ht="22.5" x14ac:dyDescent="0.2">
      <c r="A80" s="36" t="s">
        <v>67</v>
      </c>
      <c r="B80" s="27" t="s">
        <v>68</v>
      </c>
      <c r="C80" s="68">
        <v>3221210.79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</row>
    <row r="81" spans="1:64" s="5" customFormat="1" x14ac:dyDescent="0.2">
      <c r="A81" s="36" t="s">
        <v>69</v>
      </c>
      <c r="B81" s="27" t="s">
        <v>70</v>
      </c>
      <c r="C81" s="68">
        <v>9814338.4000000004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</row>
    <row r="82" spans="1:64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</row>
    <row r="83" spans="1:64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</row>
    <row r="85" spans="1:64" x14ac:dyDescent="0.25">
      <c r="B85" s="14"/>
    </row>
  </sheetData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84"/>
  <sheetViews>
    <sheetView workbookViewId="0">
      <selection activeCell="G6" sqref="G6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1.7109375" style="3" customWidth="1"/>
    <col min="6" max="6" width="12.5703125" style="3" customWidth="1"/>
    <col min="7" max="7" width="15.7109375" style="3" customWidth="1"/>
    <col min="8" max="8" width="12.7109375" style="3" customWidth="1"/>
    <col min="9" max="10" width="12.85546875" style="3" customWidth="1"/>
    <col min="11" max="12" width="11.85546875" style="3" customWidth="1"/>
    <col min="13" max="13" width="13" style="3" customWidth="1"/>
    <col min="14" max="14" width="12.28515625" style="3" customWidth="1"/>
    <col min="15" max="15" width="12.140625" style="3" customWidth="1"/>
    <col min="16" max="16" width="11.140625" style="3" customWidth="1"/>
    <col min="17" max="17" width="12.7109375" style="3" customWidth="1"/>
    <col min="18" max="18" width="11.140625" style="3" customWidth="1"/>
    <col min="19" max="19" width="11.7109375" style="3" customWidth="1"/>
    <col min="20" max="20" width="11.5703125" style="3" customWidth="1"/>
    <col min="21" max="22" width="10.85546875" style="3" customWidth="1"/>
    <col min="23" max="23" width="12.85546875" style="3" customWidth="1"/>
    <col min="24" max="24" width="12" style="3" customWidth="1"/>
    <col min="25" max="25" width="11.140625" style="3" customWidth="1"/>
    <col min="26" max="26" width="12.7109375" style="3" customWidth="1"/>
    <col min="27" max="27" width="11.42578125" style="3" customWidth="1"/>
    <col min="28" max="28" width="11.7109375" style="3" customWidth="1"/>
    <col min="29" max="29" width="10.5703125" style="3" customWidth="1"/>
    <col min="30" max="30" width="12" style="3" customWidth="1"/>
    <col min="31" max="31" width="11.140625" style="3" customWidth="1"/>
    <col min="32" max="32" width="10.42578125" style="3" customWidth="1"/>
    <col min="33" max="33" width="14" style="3" customWidth="1"/>
    <col min="34" max="34" width="10.42578125" style="3" customWidth="1"/>
    <col min="35" max="35" width="12.5703125" style="3" customWidth="1"/>
    <col min="36" max="36" width="13.28515625" style="3" customWidth="1"/>
    <col min="37" max="37" width="12.140625" style="3" customWidth="1"/>
    <col min="38" max="38" width="12.42578125" style="3" customWidth="1"/>
    <col min="39" max="39" width="12.28515625" style="3" customWidth="1"/>
    <col min="40" max="40" width="12.7109375" style="3" customWidth="1"/>
    <col min="41" max="41" width="11.28515625" style="3" customWidth="1"/>
    <col min="42" max="42" width="11.85546875" style="3" customWidth="1"/>
    <col min="43" max="43" width="12.28515625" style="3" customWidth="1"/>
    <col min="44" max="44" width="11.140625" style="3" customWidth="1"/>
    <col min="45" max="45" width="10.5703125" style="3" customWidth="1"/>
    <col min="46" max="46" width="10.85546875" style="3" customWidth="1"/>
    <col min="47" max="47" width="12" style="3" customWidth="1"/>
    <col min="48" max="48" width="13.140625" style="3" customWidth="1"/>
    <col min="49" max="49" width="11.140625" style="3" customWidth="1"/>
    <col min="50" max="50" width="12.5703125" style="3" customWidth="1"/>
    <col min="51" max="51" width="12.140625" style="3" customWidth="1"/>
    <col min="52" max="52" width="12.42578125" style="3" customWidth="1"/>
    <col min="53" max="53" width="12" style="3" customWidth="1"/>
    <col min="54" max="54" width="14.85546875" style="3" customWidth="1"/>
    <col min="55" max="55" width="11.5703125" style="3" customWidth="1"/>
    <col min="56" max="56" width="13.7109375" style="3" customWidth="1"/>
    <col min="57" max="57" width="12.42578125" style="3" customWidth="1"/>
    <col min="58" max="58" width="10.85546875" style="3" customWidth="1"/>
    <col min="59" max="59" width="12.140625" style="3" customWidth="1"/>
    <col min="60" max="60" width="11.85546875" style="3" customWidth="1"/>
    <col min="61" max="61" width="12.7109375" style="3" customWidth="1"/>
    <col min="62" max="62" width="12.42578125" style="3" customWidth="1"/>
    <col min="63" max="63" width="11.140625" style="3" customWidth="1"/>
    <col min="64" max="64" width="11.5703125" style="3" customWidth="1"/>
    <col min="65" max="65" width="12.28515625" style="3" customWidth="1"/>
    <col min="66" max="16384" width="9" style="3"/>
  </cols>
  <sheetData>
    <row r="1" spans="1:65" ht="12" thickBot="1" x14ac:dyDescent="0.3"/>
    <row r="2" spans="1:65" s="1" customFormat="1" x14ac:dyDescent="0.2">
      <c r="A2" s="43" t="s">
        <v>50</v>
      </c>
      <c r="B2" s="15" t="s">
        <v>27</v>
      </c>
      <c r="C2" s="50">
        <v>6038304.75</v>
      </c>
    </row>
    <row r="3" spans="1:65" s="1" customFormat="1" ht="12" thickBot="1" x14ac:dyDescent="0.25">
      <c r="A3" s="44">
        <v>86.271199999999993</v>
      </c>
      <c r="B3" s="15" t="s">
        <v>28</v>
      </c>
      <c r="C3" s="50">
        <v>10778.95</v>
      </c>
    </row>
    <row r="4" spans="1:65" s="8" customFormat="1" ht="12" thickBot="1" x14ac:dyDescent="0.25">
      <c r="A4" s="45"/>
      <c r="B4" s="15" t="s">
        <v>25</v>
      </c>
      <c r="C4" s="51">
        <v>0</v>
      </c>
    </row>
    <row r="5" spans="1:65" s="6" customFormat="1" x14ac:dyDescent="0.2">
      <c r="A5" s="43" t="s">
        <v>51</v>
      </c>
      <c r="B5" s="49" t="s">
        <v>26</v>
      </c>
      <c r="C5" s="52">
        <f>SUM(C2:C4)</f>
        <v>6049083.7000000002</v>
      </c>
    </row>
    <row r="6" spans="1:65" s="6" customFormat="1" ht="12" thickBot="1" x14ac:dyDescent="0.25">
      <c r="A6" s="44">
        <v>74.295599999999993</v>
      </c>
      <c r="B6" s="16"/>
      <c r="C6" s="53"/>
      <c r="D6" s="17"/>
      <c r="G6" s="162"/>
    </row>
    <row r="7" spans="1:65" s="6" customFormat="1" ht="12" thickBot="1" x14ac:dyDescent="0.25">
      <c r="A7" s="105" t="s">
        <v>51</v>
      </c>
      <c r="B7" s="18" t="s">
        <v>127</v>
      </c>
      <c r="C7" s="54">
        <f>SUM(16:16)</f>
        <v>26191521.700799998</v>
      </c>
    </row>
    <row r="8" spans="1:65" x14ac:dyDescent="0.25">
      <c r="A8" s="43" t="s">
        <v>52</v>
      </c>
      <c r="B8" s="18" t="s">
        <v>126</v>
      </c>
      <c r="C8" s="54">
        <f>SUM(26:26)</f>
        <v>52829718.282381818</v>
      </c>
    </row>
    <row r="9" spans="1:65" ht="12" thickBot="1" x14ac:dyDescent="0.3">
      <c r="A9" s="44">
        <v>10.9536</v>
      </c>
      <c r="B9" s="19" t="s">
        <v>64</v>
      </c>
      <c r="C9" s="55">
        <f>C5+C7-C8-C11</f>
        <v>-42717285.613301814</v>
      </c>
    </row>
    <row r="10" spans="1:65" x14ac:dyDescent="0.25">
      <c r="A10" s="99" t="s">
        <v>80</v>
      </c>
      <c r="B10" s="18" t="s">
        <v>23</v>
      </c>
      <c r="C10" s="56">
        <f>C16</f>
        <v>0</v>
      </c>
    </row>
    <row r="11" spans="1:65" x14ac:dyDescent="0.25">
      <c r="A11" s="101" t="s">
        <v>87</v>
      </c>
      <c r="B11" s="18" t="s">
        <v>24</v>
      </c>
      <c r="C11" s="54">
        <f>C26</f>
        <v>22128172.731719997</v>
      </c>
    </row>
    <row r="12" spans="1:65" x14ac:dyDescent="0.25">
      <c r="A12" s="107" t="s">
        <v>88</v>
      </c>
    </row>
    <row r="13" spans="1:65" x14ac:dyDescent="0.25">
      <c r="A13" s="38"/>
      <c r="B13" s="10"/>
      <c r="C13" s="57"/>
      <c r="D13" s="10"/>
    </row>
    <row r="14" spans="1:65" s="2" customFormat="1" x14ac:dyDescent="0.25">
      <c r="A14" s="64"/>
      <c r="B14" s="65"/>
      <c r="C14" s="58" t="s">
        <v>56</v>
      </c>
      <c r="D14" s="66"/>
      <c r="E14" s="66">
        <v>46183</v>
      </c>
      <c r="F14" s="66">
        <v>46184</v>
      </c>
      <c r="G14" s="66">
        <v>46185</v>
      </c>
      <c r="H14" s="66">
        <v>46186</v>
      </c>
      <c r="I14" s="66">
        <v>46187</v>
      </c>
      <c r="J14" s="66">
        <v>46188</v>
      </c>
      <c r="K14" s="66">
        <v>46189</v>
      </c>
      <c r="L14" s="66">
        <v>46190</v>
      </c>
      <c r="M14" s="66">
        <v>46191</v>
      </c>
      <c r="N14" s="66">
        <v>46192</v>
      </c>
      <c r="O14" s="66">
        <v>46193</v>
      </c>
      <c r="P14" s="66">
        <v>46194</v>
      </c>
      <c r="Q14" s="66">
        <v>46195</v>
      </c>
      <c r="R14" s="66">
        <v>46196</v>
      </c>
      <c r="S14" s="66">
        <v>46197</v>
      </c>
      <c r="T14" s="66">
        <v>46198</v>
      </c>
      <c r="U14" s="66">
        <v>46199</v>
      </c>
      <c r="V14" s="66">
        <v>46200</v>
      </c>
      <c r="W14" s="66">
        <v>46201</v>
      </c>
      <c r="X14" s="66">
        <v>46202</v>
      </c>
      <c r="Y14" s="66">
        <v>46203</v>
      </c>
      <c r="Z14" s="66">
        <v>46204</v>
      </c>
      <c r="AA14" s="66">
        <v>46205</v>
      </c>
      <c r="AB14" s="66">
        <v>46206</v>
      </c>
      <c r="AC14" s="66">
        <v>46207</v>
      </c>
      <c r="AD14" s="66">
        <v>46208</v>
      </c>
      <c r="AE14" s="66">
        <v>46209</v>
      </c>
      <c r="AF14" s="66">
        <v>46210</v>
      </c>
      <c r="AG14" s="66">
        <v>46211</v>
      </c>
      <c r="AH14" s="66">
        <v>46212</v>
      </c>
      <c r="AI14" s="66">
        <v>46213</v>
      </c>
      <c r="AJ14" s="66">
        <v>46214</v>
      </c>
      <c r="AK14" s="66">
        <v>46215</v>
      </c>
      <c r="AL14" s="66">
        <v>46216</v>
      </c>
      <c r="AM14" s="66">
        <v>46217</v>
      </c>
      <c r="AN14" s="66">
        <v>46218</v>
      </c>
      <c r="AO14" s="66">
        <v>46219</v>
      </c>
      <c r="AP14" s="66">
        <v>46220</v>
      </c>
      <c r="AQ14" s="66">
        <v>46221</v>
      </c>
      <c r="AR14" s="66">
        <v>46222</v>
      </c>
      <c r="AS14" s="66">
        <v>46223</v>
      </c>
      <c r="AT14" s="66">
        <v>46224</v>
      </c>
      <c r="AU14" s="66">
        <v>46225</v>
      </c>
      <c r="AV14" s="66">
        <v>46226</v>
      </c>
      <c r="AW14" s="66">
        <v>46227</v>
      </c>
      <c r="AX14" s="66">
        <v>46228</v>
      </c>
      <c r="AY14" s="66">
        <v>46229</v>
      </c>
      <c r="AZ14" s="66">
        <v>46230</v>
      </c>
      <c r="BA14" s="66">
        <v>46231</v>
      </c>
      <c r="BB14" s="66">
        <v>46232</v>
      </c>
      <c r="BC14" s="66">
        <v>46233</v>
      </c>
      <c r="BD14" s="66">
        <v>46234</v>
      </c>
      <c r="BE14" s="66">
        <v>46235</v>
      </c>
      <c r="BF14" s="66">
        <v>46236</v>
      </c>
      <c r="BG14" s="66">
        <v>46237</v>
      </c>
      <c r="BH14" s="66">
        <v>46238</v>
      </c>
      <c r="BI14" s="66">
        <v>46239</v>
      </c>
      <c r="BJ14" s="66">
        <v>46240</v>
      </c>
      <c r="BK14" s="66">
        <v>46241</v>
      </c>
      <c r="BL14" s="66">
        <v>46242</v>
      </c>
      <c r="BM14" s="66">
        <v>46243</v>
      </c>
    </row>
    <row r="15" spans="1:65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</row>
    <row r="16" spans="1:65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M16" si="0">SUM(E17:E25)</f>
        <v>0</v>
      </c>
      <c r="F16" s="29">
        <f t="shared" si="0"/>
        <v>1000000</v>
      </c>
      <c r="G16" s="135">
        <f t="shared" si="0"/>
        <v>0</v>
      </c>
      <c r="H16" s="135">
        <f t="shared" si="0"/>
        <v>0</v>
      </c>
      <c r="I16" s="135">
        <f t="shared" si="0"/>
        <v>0</v>
      </c>
      <c r="J16" s="29">
        <f t="shared" si="0"/>
        <v>1500000</v>
      </c>
      <c r="K16" s="29">
        <f t="shared" si="0"/>
        <v>0</v>
      </c>
      <c r="L16" s="29">
        <f t="shared" si="0"/>
        <v>0</v>
      </c>
      <c r="M16" s="29">
        <f t="shared" si="0"/>
        <v>8289281.9807999991</v>
      </c>
      <c r="N16" s="29">
        <f t="shared" si="0"/>
        <v>0</v>
      </c>
      <c r="O16" s="135">
        <f t="shared" si="0"/>
        <v>0</v>
      </c>
      <c r="P16" s="135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135">
        <f t="shared" si="0"/>
        <v>0</v>
      </c>
      <c r="W16" s="135">
        <f t="shared" si="0"/>
        <v>0</v>
      </c>
      <c r="X16" s="29">
        <f t="shared" si="0"/>
        <v>2000000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135">
        <f t="shared" si="0"/>
        <v>0</v>
      </c>
      <c r="AD16" s="135">
        <f t="shared" si="0"/>
        <v>0</v>
      </c>
      <c r="AE16" s="29">
        <f t="shared" si="0"/>
        <v>2000000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135">
        <f t="shared" si="0"/>
        <v>0</v>
      </c>
      <c r="AK16" s="135">
        <f t="shared" si="0"/>
        <v>0</v>
      </c>
      <c r="AL16" s="29">
        <f t="shared" si="0"/>
        <v>2000000</v>
      </c>
      <c r="AM16" s="29">
        <f t="shared" si="0"/>
        <v>0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135">
        <f t="shared" si="0"/>
        <v>0</v>
      </c>
      <c r="AR16" s="135">
        <f t="shared" si="0"/>
        <v>0</v>
      </c>
      <c r="AS16" s="29">
        <f t="shared" si="0"/>
        <v>2000000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135">
        <f t="shared" si="0"/>
        <v>0</v>
      </c>
      <c r="AY16" s="135">
        <f t="shared" si="0"/>
        <v>0</v>
      </c>
      <c r="AZ16" s="29">
        <f t="shared" si="0"/>
        <v>4330985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135">
        <f t="shared" si="0"/>
        <v>0</v>
      </c>
      <c r="BF16" s="135">
        <f t="shared" si="0"/>
        <v>0</v>
      </c>
      <c r="BG16" s="29">
        <f t="shared" si="0"/>
        <v>3071254.7199999997</v>
      </c>
      <c r="BH16" s="29">
        <f t="shared" si="0"/>
        <v>0</v>
      </c>
      <c r="BI16" s="29">
        <f t="shared" si="0"/>
        <v>0</v>
      </c>
      <c r="BJ16" s="29">
        <f t="shared" si="0"/>
        <v>0</v>
      </c>
      <c r="BK16" s="29">
        <f t="shared" si="0"/>
        <v>0</v>
      </c>
      <c r="BL16" s="135">
        <f t="shared" si="0"/>
        <v>0</v>
      </c>
      <c r="BM16" s="135">
        <f t="shared" si="0"/>
        <v>0</v>
      </c>
    </row>
    <row r="17" spans="1:65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</row>
    <row r="18" spans="1:65" s="80" customFormat="1" x14ac:dyDescent="0.25">
      <c r="A18" s="40" t="s">
        <v>9</v>
      </c>
      <c r="B18" s="21"/>
      <c r="C18" s="59"/>
      <c r="D18" s="30"/>
      <c r="E18" s="30"/>
      <c r="F18" s="30">
        <v>1000000</v>
      </c>
      <c r="G18" s="30"/>
      <c r="H18" s="30"/>
      <c r="I18" s="30"/>
      <c r="J18" s="30">
        <v>1500000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</row>
    <row r="19" spans="1:65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>
        <v>2000000</v>
      </c>
      <c r="Y19" s="30"/>
      <c r="Z19" s="30"/>
      <c r="AA19" s="30"/>
      <c r="AB19" s="30"/>
      <c r="AC19" s="30"/>
      <c r="AD19" s="30"/>
      <c r="AE19" s="30">
        <v>2000000</v>
      </c>
      <c r="AF19" s="30"/>
      <c r="AG19" s="30"/>
      <c r="AH19" s="30"/>
      <c r="AI19" s="30"/>
      <c r="AJ19" s="30"/>
      <c r="AK19" s="30"/>
      <c r="AL19" s="30">
        <v>2000000</v>
      </c>
      <c r="AM19" s="30"/>
      <c r="AN19" s="30"/>
      <c r="AO19" s="30"/>
      <c r="AP19" s="30"/>
      <c r="AQ19" s="30"/>
      <c r="AR19" s="30"/>
      <c r="AS19" s="30">
        <v>2000000</v>
      </c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</row>
    <row r="20" spans="1:65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X20" s="30"/>
      <c r="AY20" s="30"/>
      <c r="AZ20" s="30">
        <v>4330985</v>
      </c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</row>
    <row r="21" spans="1:65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</row>
    <row r="22" spans="1:65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</row>
    <row r="23" spans="1:65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>
        <f>96084*A3</f>
        <v>8289281.9807999991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</row>
    <row r="24" spans="1:65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Y24" s="30"/>
      <c r="Z24" s="30"/>
      <c r="AA24" s="30"/>
      <c r="AB24" s="30"/>
      <c r="AC24" s="30"/>
      <c r="AD24" s="30"/>
      <c r="AE24" s="30"/>
      <c r="AF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165">
        <f>35600*A3</f>
        <v>3071254.7199999997</v>
      </c>
      <c r="BH24" s="30"/>
      <c r="BI24" s="30"/>
      <c r="BJ24" s="30"/>
      <c r="BK24" s="30"/>
      <c r="BL24" s="30"/>
      <c r="BM24" s="30"/>
    </row>
    <row r="25" spans="1:65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65" s="4" customFormat="1" x14ac:dyDescent="0.2">
      <c r="A26" s="41" t="s">
        <v>1</v>
      </c>
      <c r="B26" s="22"/>
      <c r="C26" s="34">
        <f>SUM(C28:C73)</f>
        <v>22128172.731719997</v>
      </c>
      <c r="D26" s="34"/>
      <c r="E26" s="34">
        <f t="shared" ref="E26:AJ26" si="1">SUM(E27:E74)</f>
        <v>494991.5</v>
      </c>
      <c r="F26" s="34">
        <f t="shared" si="1"/>
        <v>419675.15933333331</v>
      </c>
      <c r="G26" s="34">
        <f t="shared" si="1"/>
        <v>0</v>
      </c>
      <c r="H26" s="34">
        <f t="shared" si="1"/>
        <v>0</v>
      </c>
      <c r="I26" s="34">
        <f t="shared" si="1"/>
        <v>0</v>
      </c>
      <c r="J26" s="34">
        <f t="shared" si="1"/>
        <v>1053119.1621818182</v>
      </c>
      <c r="K26" s="34">
        <f t="shared" si="1"/>
        <v>311677.26543999999</v>
      </c>
      <c r="L26" s="34">
        <f t="shared" si="1"/>
        <v>341352.72813090903</v>
      </c>
      <c r="M26" s="34">
        <f t="shared" si="1"/>
        <v>7181230.9726618174</v>
      </c>
      <c r="N26" s="34">
        <f t="shared" si="1"/>
        <v>2054099.27988</v>
      </c>
      <c r="O26" s="34">
        <f t="shared" si="1"/>
        <v>0</v>
      </c>
      <c r="P26" s="34">
        <f t="shared" si="1"/>
        <v>0</v>
      </c>
      <c r="Q26" s="34">
        <f t="shared" si="1"/>
        <v>569148.20933333342</v>
      </c>
      <c r="R26" s="34">
        <f t="shared" si="1"/>
        <v>346018.31903999997</v>
      </c>
      <c r="S26" s="34">
        <f t="shared" si="1"/>
        <v>334495.60693333333</v>
      </c>
      <c r="T26" s="34">
        <f t="shared" si="1"/>
        <v>679582.65237333335</v>
      </c>
      <c r="U26" s="34">
        <f t="shared" si="1"/>
        <v>516219.54181333329</v>
      </c>
      <c r="V26" s="34">
        <f t="shared" si="1"/>
        <v>0</v>
      </c>
      <c r="W26" s="34">
        <f t="shared" si="1"/>
        <v>0</v>
      </c>
      <c r="X26" s="34">
        <f t="shared" si="1"/>
        <v>348818.65237333329</v>
      </c>
      <c r="Y26" s="34">
        <f t="shared" si="1"/>
        <v>3496935.5418133335</v>
      </c>
      <c r="Z26" s="34">
        <f t="shared" si="1"/>
        <v>680047.17337333329</v>
      </c>
      <c r="AA26" s="34">
        <f t="shared" si="1"/>
        <v>1221451.9184436365</v>
      </c>
      <c r="AB26" s="34">
        <f t="shared" si="1"/>
        <v>962928.01818181807</v>
      </c>
      <c r="AC26" s="34">
        <f t="shared" si="1"/>
        <v>0</v>
      </c>
      <c r="AD26" s="34">
        <f t="shared" si="1"/>
        <v>694560</v>
      </c>
      <c r="AE26" s="34">
        <f t="shared" si="1"/>
        <v>330361.22813090909</v>
      </c>
      <c r="AF26" s="34">
        <f t="shared" si="1"/>
        <v>993113.03962181811</v>
      </c>
      <c r="AG26" s="34">
        <f t="shared" si="1"/>
        <v>752313.3504436363</v>
      </c>
      <c r="AH26" s="34">
        <f t="shared" si="1"/>
        <v>520613.03962181817</v>
      </c>
      <c r="AI26" s="34">
        <f t="shared" si="1"/>
        <v>267319.96636363631</v>
      </c>
      <c r="AJ26" s="34">
        <f t="shared" si="1"/>
        <v>0</v>
      </c>
      <c r="AK26" s="34">
        <f t="shared" ref="AK26:BM26" si="2">SUM(AK27:AK74)</f>
        <v>0</v>
      </c>
      <c r="AL26" s="34">
        <f t="shared" si="2"/>
        <v>2175544.22144</v>
      </c>
      <c r="AM26" s="34">
        <f t="shared" si="2"/>
        <v>382965.72058181814</v>
      </c>
      <c r="AN26" s="34">
        <f t="shared" si="2"/>
        <v>107956.33333333334</v>
      </c>
      <c r="AO26" s="34">
        <f t="shared" si="2"/>
        <v>216734.80996363636</v>
      </c>
      <c r="AP26" s="34">
        <f t="shared" si="2"/>
        <v>372004.80996363633</v>
      </c>
      <c r="AQ26" s="34">
        <f t="shared" si="2"/>
        <v>0</v>
      </c>
      <c r="AR26" s="34">
        <f t="shared" si="2"/>
        <v>0</v>
      </c>
      <c r="AS26" s="34">
        <f t="shared" si="2"/>
        <v>176734.80996363636</v>
      </c>
      <c r="AT26" s="34">
        <f t="shared" si="2"/>
        <v>176734.80996363636</v>
      </c>
      <c r="AU26" s="34">
        <f t="shared" si="2"/>
        <v>176734.80996363636</v>
      </c>
      <c r="AV26" s="34">
        <f t="shared" si="2"/>
        <v>0</v>
      </c>
      <c r="AW26" s="34">
        <f t="shared" si="2"/>
        <v>0</v>
      </c>
      <c r="AX26" s="34">
        <f t="shared" si="2"/>
        <v>0</v>
      </c>
      <c r="AY26" s="34">
        <f t="shared" si="2"/>
        <v>0</v>
      </c>
      <c r="AZ26" s="34">
        <f t="shared" si="2"/>
        <v>1600000</v>
      </c>
      <c r="BA26" s="34">
        <f t="shared" si="2"/>
        <v>0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746062.9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</row>
    <row r="27" spans="1:65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</row>
    <row r="28" spans="1:65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</row>
    <row r="29" spans="1:65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</row>
    <row r="30" spans="1:65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>
        <f>8399365/3</f>
        <v>2799788.3333333335</v>
      </c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</row>
    <row r="31" spans="1:65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90">
        <f>291375+137118</f>
        <v>428493</v>
      </c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</row>
    <row r="32" spans="1:65" s="1" customFormat="1" x14ac:dyDescent="0.2">
      <c r="A32" s="36" t="s">
        <v>7</v>
      </c>
      <c r="B32" s="23" t="s">
        <v>8</v>
      </c>
      <c r="C32" s="60"/>
      <c r="D32" s="24"/>
      <c r="E32" s="24">
        <v>350000</v>
      </c>
      <c r="F32" s="24"/>
      <c r="G32" s="24"/>
      <c r="H32" s="24"/>
      <c r="I32" s="24"/>
      <c r="J32" s="24"/>
      <c r="K32" s="24"/>
      <c r="L32" s="24"/>
      <c r="M32" s="24"/>
      <c r="N32" s="24">
        <v>480520</v>
      </c>
      <c r="O32" s="24"/>
      <c r="P32" s="24"/>
      <c r="Q32" s="24"/>
      <c r="R32" s="24"/>
      <c r="S32" s="24"/>
      <c r="T32" s="24">
        <v>350000</v>
      </c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</row>
    <row r="33" spans="1:65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>
        <v>271506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>
        <v>271506</v>
      </c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</row>
    <row r="34" spans="1:65" s="1" customFormat="1" x14ac:dyDescent="0.2">
      <c r="A34" s="36" t="s">
        <v>54</v>
      </c>
      <c r="B34" s="23"/>
      <c r="C34" s="60"/>
      <c r="D34" s="24"/>
      <c r="E34" s="24"/>
      <c r="F34" s="24">
        <f>100113.9/2</f>
        <v>50056.95</v>
      </c>
      <c r="G34" s="24"/>
      <c r="H34" s="24"/>
      <c r="I34" s="24"/>
      <c r="J34" s="24"/>
      <c r="K34" s="24">
        <v>50000</v>
      </c>
      <c r="L34" s="24"/>
      <c r="M34" s="24">
        <f>100113.9/2</f>
        <v>50056.95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</row>
    <row r="35" spans="1:65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>
        <v>200113.9</v>
      </c>
      <c r="AB35" s="24">
        <v>40000</v>
      </c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>
        <v>200113.9</v>
      </c>
      <c r="BH35" s="24"/>
      <c r="BI35" s="24"/>
      <c r="BJ35" s="24"/>
      <c r="BK35" s="24"/>
      <c r="BL35" s="24"/>
      <c r="BM35" s="24"/>
    </row>
    <row r="36" spans="1:65" s="1" customFormat="1" x14ac:dyDescent="0.2">
      <c r="A36" s="36" t="s">
        <v>53</v>
      </c>
      <c r="B36" s="23"/>
      <c r="C36" s="60"/>
      <c r="D36" s="24"/>
      <c r="E36" s="24">
        <f t="shared" ref="E36:L36" si="3">545949/6</f>
        <v>90991.5</v>
      </c>
      <c r="F36" s="24">
        <f t="shared" si="3"/>
        <v>90991.5</v>
      </c>
      <c r="H36" s="24"/>
      <c r="I36" s="24"/>
      <c r="J36" s="24">
        <f t="shared" si="3"/>
        <v>90991.5</v>
      </c>
      <c r="K36" s="24"/>
      <c r="L36" s="24">
        <f t="shared" si="3"/>
        <v>90991.5</v>
      </c>
      <c r="M36" s="24">
        <v>140000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>
        <v>545949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>
        <v>545949</v>
      </c>
      <c r="BH36" s="24"/>
      <c r="BI36" s="24"/>
      <c r="BJ36" s="24"/>
      <c r="BK36" s="24"/>
      <c r="BL36" s="24"/>
      <c r="BM36" s="24"/>
    </row>
    <row r="37" spans="1:65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</row>
    <row r="38" spans="1:65" s="71" customFormat="1" x14ac:dyDescent="0.2">
      <c r="A38" s="69" t="s">
        <v>14</v>
      </c>
      <c r="B38" s="25" t="s">
        <v>30</v>
      </c>
      <c r="C38" s="70"/>
      <c r="D38" s="24"/>
      <c r="E38" s="28"/>
      <c r="F38" s="28"/>
      <c r="G38" s="28"/>
      <c r="H38" s="28"/>
      <c r="I38" s="28"/>
      <c r="J38" s="28"/>
      <c r="K38" s="28"/>
      <c r="L38" s="28"/>
      <c r="M38" s="28"/>
      <c r="N38" s="100">
        <v>774474</v>
      </c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</row>
    <row r="39" spans="1:65" s="71" customFormat="1" x14ac:dyDescent="0.2">
      <c r="A39" s="69" t="s">
        <v>115</v>
      </c>
      <c r="B39" s="25" t="s">
        <v>116</v>
      </c>
      <c r="C39" s="70"/>
      <c r="D39" s="24"/>
      <c r="E39" s="24"/>
      <c r="F39" s="100">
        <f>312320/10</f>
        <v>31232</v>
      </c>
      <c r="G39" s="24"/>
      <c r="H39" s="24"/>
      <c r="I39" s="24"/>
      <c r="J39" s="24"/>
      <c r="K39" s="100">
        <f>312320/10</f>
        <v>31232</v>
      </c>
      <c r="L39" s="24"/>
      <c r="M39" s="24"/>
      <c r="N39" s="100">
        <f>312320/10</f>
        <v>31232</v>
      </c>
      <c r="O39" s="24"/>
      <c r="P39" s="24"/>
      <c r="Q39" s="108">
        <f>312320/10</f>
        <v>31232</v>
      </c>
      <c r="R39" s="24"/>
      <c r="S39" s="108">
        <f>312320/10</f>
        <v>31232</v>
      </c>
      <c r="T39" s="24"/>
      <c r="U39" s="108">
        <f>312320/10</f>
        <v>31232</v>
      </c>
      <c r="V39" s="24"/>
      <c r="W39" s="24"/>
      <c r="X39" s="108">
        <v>124838</v>
      </c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</row>
    <row r="40" spans="1:65" s="71" customFormat="1" x14ac:dyDescent="0.2">
      <c r="A40" s="69" t="s">
        <v>117</v>
      </c>
      <c r="B40" s="25" t="s">
        <v>119</v>
      </c>
      <c r="C40" s="70">
        <f>691000-25000-25000-45500-25000-45000</f>
        <v>525500</v>
      </c>
      <c r="D40" s="24"/>
      <c r="E40" s="24"/>
      <c r="F40" s="108">
        <v>25000</v>
      </c>
      <c r="H40" s="24"/>
      <c r="I40" s="24"/>
      <c r="J40" s="108">
        <f>25000+25000</f>
        <v>50000</v>
      </c>
      <c r="K40" s="24"/>
      <c r="L40" s="24"/>
      <c r="M40" s="108">
        <v>150000</v>
      </c>
      <c r="N40" s="108">
        <v>100000</v>
      </c>
      <c r="O40" s="24"/>
      <c r="P40" s="24"/>
      <c r="Q40" s="24"/>
      <c r="R40" s="108">
        <v>100000</v>
      </c>
      <c r="S40" s="108">
        <v>75000</v>
      </c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</row>
    <row r="41" spans="1:65" s="71" customFormat="1" x14ac:dyDescent="0.2">
      <c r="A41" s="69" t="s">
        <v>97</v>
      </c>
      <c r="B41" s="25" t="s">
        <v>137</v>
      </c>
      <c r="C41" s="70"/>
      <c r="D41" s="24"/>
      <c r="E41" s="24"/>
      <c r="G41" s="24"/>
      <c r="H41" s="24"/>
      <c r="I41" s="24"/>
      <c r="J41" s="108">
        <f>510600/2</f>
        <v>255300</v>
      </c>
      <c r="K41" s="24"/>
      <c r="L41" s="24"/>
      <c r="M41" s="24"/>
      <c r="N41" s="129">
        <f>510600/2</f>
        <v>255300</v>
      </c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100">
        <v>472500</v>
      </c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</row>
    <row r="42" spans="1:65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1375000-500000-175000-50000-25000-25000-25000-50000-25000-50000-25000-25000-30000-25000-30000-25000-25000</f>
        <v>265000</v>
      </c>
      <c r="D42" s="24"/>
      <c r="E42" s="129">
        <f>30000/2</f>
        <v>15000</v>
      </c>
      <c r="F42" s="24"/>
      <c r="H42" s="24"/>
      <c r="I42" s="24"/>
      <c r="K42" s="129">
        <f>95000/2</f>
        <v>47500</v>
      </c>
      <c r="L42" s="24"/>
      <c r="M42" s="129">
        <f>95000/2</f>
        <v>47500</v>
      </c>
      <c r="O42" s="24"/>
      <c r="P42" s="24"/>
      <c r="Q42" s="129">
        <f>30000/2</f>
        <v>15000</v>
      </c>
      <c r="R42" s="129">
        <v>40000</v>
      </c>
      <c r="S42" s="129">
        <v>25000</v>
      </c>
      <c r="T42" s="129">
        <v>25000</v>
      </c>
      <c r="U42" s="129">
        <v>50000</v>
      </c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</row>
    <row r="43" spans="1:65" s="71" customFormat="1" x14ac:dyDescent="0.2">
      <c r="A43" s="69" t="s">
        <v>15</v>
      </c>
      <c r="B43" s="25" t="s">
        <v>31</v>
      </c>
      <c r="C43" s="70">
        <f>2480914-516230-48700-50000-50000-50000-43000-42000-50000-55000</f>
        <v>1575984</v>
      </c>
      <c r="D43" s="24"/>
      <c r="E43" s="140">
        <v>30000</v>
      </c>
      <c r="F43" s="108">
        <f>(516230/10)/2</f>
        <v>25811.5</v>
      </c>
      <c r="H43" s="24"/>
      <c r="I43" s="24"/>
      <c r="J43" s="108">
        <f>516230/10+112</f>
        <v>51735</v>
      </c>
      <c r="K43" s="108">
        <f>(516230/10)/2</f>
        <v>25811.5</v>
      </c>
      <c r="L43" s="108">
        <f t="shared" ref="L43:AN43" si="4">516230/10</f>
        <v>51623</v>
      </c>
      <c r="M43" s="108">
        <f t="shared" si="4"/>
        <v>51623</v>
      </c>
      <c r="N43" s="108">
        <f>516230/10</f>
        <v>51623</v>
      </c>
      <c r="O43" s="24"/>
      <c r="P43" s="24"/>
      <c r="Q43" s="108">
        <f>516230/10</f>
        <v>51623</v>
      </c>
      <c r="R43" s="108">
        <f>516230/10+15224</f>
        <v>66847</v>
      </c>
      <c r="S43" s="108">
        <f t="shared" ref="S43" si="5">516230/10</f>
        <v>51623</v>
      </c>
      <c r="T43" s="108">
        <f t="shared" ref="T43" si="6">(515224/4)/3</f>
        <v>42935.333333333336</v>
      </c>
      <c r="U43" s="108">
        <f>516230/10</f>
        <v>51623</v>
      </c>
      <c r="V43" s="24"/>
      <c r="W43" s="24"/>
      <c r="Y43" s="108">
        <f t="shared" ref="Y43:AB43" si="7">516230/10</f>
        <v>51623</v>
      </c>
      <c r="Z43" s="108">
        <f t="shared" si="7"/>
        <v>51623</v>
      </c>
      <c r="AA43" s="108">
        <f t="shared" si="7"/>
        <v>51623</v>
      </c>
      <c r="AB43" s="108">
        <f t="shared" si="7"/>
        <v>51623</v>
      </c>
      <c r="AC43" s="24"/>
      <c r="AD43" s="24"/>
      <c r="AE43" s="108">
        <f t="shared" ref="AE43:AI43" si="8">516230/10</f>
        <v>51623</v>
      </c>
      <c r="AF43" s="108">
        <f t="shared" si="8"/>
        <v>51623</v>
      </c>
      <c r="AG43" s="108">
        <f t="shared" si="8"/>
        <v>51623</v>
      </c>
      <c r="AH43" s="108">
        <f t="shared" si="8"/>
        <v>51623</v>
      </c>
      <c r="AI43" s="108">
        <f t="shared" si="8"/>
        <v>51623</v>
      </c>
      <c r="AJ43" s="24"/>
      <c r="AK43" s="24"/>
      <c r="AL43" s="100">
        <v>516230</v>
      </c>
      <c r="AM43" s="108">
        <f>516230/10</f>
        <v>51623</v>
      </c>
      <c r="AN43" s="108">
        <f t="shared" si="4"/>
        <v>51623</v>
      </c>
      <c r="AO43" s="24"/>
      <c r="AP43" s="98">
        <f>515224/4+54464</f>
        <v>183270</v>
      </c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</row>
    <row r="44" spans="1:65" s="71" customFormat="1" x14ac:dyDescent="0.2">
      <c r="A44" s="69" t="s">
        <v>85</v>
      </c>
      <c r="B44" s="25" t="s">
        <v>47</v>
      </c>
      <c r="C44" s="70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100">
        <f>2997.5*A6</f>
        <v>222701.06099999999</v>
      </c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</row>
    <row r="45" spans="1:65" s="71" customFormat="1" x14ac:dyDescent="0.2">
      <c r="A45" s="69" t="s">
        <v>143</v>
      </c>
      <c r="B45" s="25" t="s">
        <v>45</v>
      </c>
      <c r="C45" s="24">
        <f>188496*A9</f>
        <v>2064709.7856000001</v>
      </c>
      <c r="D45" s="24"/>
      <c r="E45" s="24"/>
      <c r="F45" s="24"/>
      <c r="G45" s="28"/>
      <c r="H45" s="24"/>
      <c r="I45" s="24"/>
      <c r="K45" s="24"/>
      <c r="L45" s="108">
        <f t="shared" ref="L45:AE45" si="9">(188496*$A$9)/15</f>
        <v>137647.31904</v>
      </c>
      <c r="M45" s="108">
        <f t="shared" si="9"/>
        <v>137647.31904</v>
      </c>
      <c r="O45" s="24"/>
      <c r="P45" s="24"/>
      <c r="R45" s="108">
        <f t="shared" ref="R45:AF45" si="10">(188496*$A$9)/15</f>
        <v>137647.31904</v>
      </c>
      <c r="T45" s="108">
        <f t="shared" si="10"/>
        <v>137647.31904</v>
      </c>
      <c r="U45" s="108">
        <f t="shared" si="10"/>
        <v>137647.31904</v>
      </c>
      <c r="V45" s="24"/>
      <c r="W45" s="24"/>
      <c r="X45" s="108">
        <f>(188496*$A$9)/15</f>
        <v>137647.31904</v>
      </c>
      <c r="Y45" s="108">
        <f t="shared" ref="Y45:AA45" si="11">(188496*$A$9)/15</f>
        <v>137647.31904</v>
      </c>
      <c r="Z45" s="108">
        <f t="shared" si="11"/>
        <v>137647.31904</v>
      </c>
      <c r="AA45" s="108">
        <f t="shared" si="11"/>
        <v>137647.31904</v>
      </c>
      <c r="AB45" s="28"/>
      <c r="AC45" s="24"/>
      <c r="AD45" s="24"/>
      <c r="AE45" s="108">
        <f t="shared" si="9"/>
        <v>137647.31904</v>
      </c>
      <c r="AF45" s="108">
        <f t="shared" si="10"/>
        <v>137647.31904</v>
      </c>
      <c r="AG45" s="108">
        <f>((188496*$A$9)/15)*2</f>
        <v>275294.63808</v>
      </c>
      <c r="AH45" s="108">
        <f>(188496*$A$9)/15</f>
        <v>137647.31904</v>
      </c>
      <c r="AI45" s="24"/>
      <c r="AJ45" s="24"/>
      <c r="AK45" s="24"/>
      <c r="AL45" s="108">
        <f>(188496*$A$9)/15</f>
        <v>137647.31904</v>
      </c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</row>
    <row r="46" spans="1:65" s="71" customFormat="1" x14ac:dyDescent="0.2">
      <c r="A46" s="69" t="s">
        <v>120</v>
      </c>
      <c r="B46" s="25" t="s">
        <v>121</v>
      </c>
      <c r="C46" s="120">
        <f>507000+1014000-47000-56000-45000</f>
        <v>1373000</v>
      </c>
      <c r="D46" s="24"/>
      <c r="E46" s="24"/>
      <c r="F46" s="108">
        <f t="shared" ref="F46:U46" si="12">507000/9</f>
        <v>56333.333333333336</v>
      </c>
      <c r="G46" s="28"/>
      <c r="H46" s="24"/>
      <c r="I46" s="24"/>
      <c r="J46" s="108">
        <f t="shared" ref="J46:AM46" si="13">1014000/11</f>
        <v>92181.818181818177</v>
      </c>
      <c r="K46" s="24"/>
      <c r="M46" s="108">
        <f t="shared" si="13"/>
        <v>92181.818181818177</v>
      </c>
      <c r="O46" s="24"/>
      <c r="P46" s="24"/>
      <c r="Q46" s="108">
        <f>507000/9</f>
        <v>56333.333333333336</v>
      </c>
      <c r="R46" s="24"/>
      <c r="S46" s="108">
        <f t="shared" si="12"/>
        <v>56333.333333333336</v>
      </c>
      <c r="T46" s="24"/>
      <c r="U46" s="108">
        <f t="shared" si="12"/>
        <v>56333.333333333336</v>
      </c>
      <c r="V46" s="24"/>
      <c r="W46" s="24"/>
      <c r="X46" s="108">
        <f t="shared" ref="X46:AN46" si="14">507000/9</f>
        <v>56333.333333333336</v>
      </c>
      <c r="Z46" s="108">
        <f t="shared" si="14"/>
        <v>56333.333333333336</v>
      </c>
      <c r="AA46" s="108">
        <f>(1014000/11+88393.5*$A$9)/6</f>
        <v>176734.80996363636</v>
      </c>
      <c r="AB46" s="108">
        <f t="shared" ref="AB46:AF46" si="15">1014000/11</f>
        <v>92181.818181818177</v>
      </c>
      <c r="AC46" s="24"/>
      <c r="AD46" s="100">
        <v>682560</v>
      </c>
      <c r="AE46" s="108">
        <f>(1014000/11)/2</f>
        <v>46090.909090909088</v>
      </c>
      <c r="AF46" s="108">
        <f t="shared" si="15"/>
        <v>92181.818181818177</v>
      </c>
      <c r="AG46" s="108">
        <f>(1014000/11+88393.5*$A$9)/6</f>
        <v>176734.80996363636</v>
      </c>
      <c r="AH46" s="108">
        <f t="shared" si="13"/>
        <v>92181.818181818177</v>
      </c>
      <c r="AI46" s="108">
        <f>(1014000/11)*2+9333.33</f>
        <v>193696.96636363634</v>
      </c>
      <c r="AJ46" s="24"/>
      <c r="AK46" s="24"/>
      <c r="AL46" s="108">
        <v>991000</v>
      </c>
      <c r="AM46" s="108">
        <f t="shared" si="13"/>
        <v>92181.818181818177</v>
      </c>
      <c r="AN46" s="108">
        <f t="shared" si="14"/>
        <v>56333.333333333336</v>
      </c>
      <c r="AO46" s="108">
        <f>(1014000/11+88393.5*$A$9)/6</f>
        <v>176734.80996363636</v>
      </c>
      <c r="AP46" s="108">
        <f>(1014000/11+88393.5*$A$9)/6</f>
        <v>176734.80996363636</v>
      </c>
      <c r="AQ46" s="24"/>
      <c r="AR46" s="24"/>
      <c r="AS46" s="108">
        <f>(1014000/11+88393.5*$A$9)/6</f>
        <v>176734.80996363636</v>
      </c>
      <c r="AT46" s="108">
        <f>(1014000/11+88393.5*$A$9)/6</f>
        <v>176734.80996363636</v>
      </c>
      <c r="AU46" s="108">
        <f>(1014000/11+88393.5*$A$9)/6</f>
        <v>176734.80996363636</v>
      </c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</row>
    <row r="47" spans="1:65" s="73" customFormat="1" x14ac:dyDescent="0.2">
      <c r="A47" s="69" t="s">
        <v>22</v>
      </c>
      <c r="B47" s="25" t="s">
        <v>48</v>
      </c>
      <c r="C47" s="137"/>
      <c r="D47" s="72"/>
      <c r="F47" s="72"/>
      <c r="G47" s="72"/>
      <c r="H47" s="72"/>
      <c r="I47" s="72"/>
      <c r="J47" s="72"/>
      <c r="K47" s="160">
        <f t="shared" ref="K47:AA47" si="16">(52206*$A$9+2988*$A$6)/10</f>
        <v>79383.889439999999</v>
      </c>
      <c r="L47" s="108">
        <f>(1014000/11)/2</f>
        <v>46090.909090909088</v>
      </c>
      <c r="M47" s="160">
        <f t="shared" si="16"/>
        <v>79383.889439999999</v>
      </c>
      <c r="N47" s="160">
        <f>((52206*$A$9+2988*$A$6)/10)*2</f>
        <v>158767.77888</v>
      </c>
      <c r="O47" s="72"/>
      <c r="P47" s="72"/>
      <c r="R47" s="72"/>
      <c r="S47" s="160">
        <f>(52206*$A$9)/6</f>
        <v>95307.2736</v>
      </c>
      <c r="T47" s="72"/>
      <c r="U47" s="160">
        <f>(52206*$A$9+2988*$A$6)/10</f>
        <v>79383.889439999999</v>
      </c>
      <c r="V47" s="72"/>
      <c r="W47" s="72"/>
      <c r="X47" s="72"/>
      <c r="Y47" s="160">
        <f t="shared" ref="Y47" si="17">(52206*$A$9+2988*$A$6)/10</f>
        <v>79383.889439999999</v>
      </c>
      <c r="AA47" s="160">
        <f t="shared" si="16"/>
        <v>79383.889439999999</v>
      </c>
      <c r="AB47" s="166">
        <f>62000*$A$9</f>
        <v>679123.2</v>
      </c>
      <c r="AC47" s="72"/>
      <c r="AD47" s="72"/>
      <c r="AF47" s="160">
        <f>(109170*$A$9)/5</f>
        <v>239160.90239999996</v>
      </c>
      <c r="AG47" s="160">
        <f t="shared" ref="AG47:AH47" si="18">(109170*$A$9)/5</f>
        <v>239160.90239999996</v>
      </c>
      <c r="AH47" s="160">
        <f t="shared" si="18"/>
        <v>239160.90239999996</v>
      </c>
      <c r="AI47" s="72"/>
      <c r="AJ47" s="72"/>
      <c r="AK47" s="72"/>
      <c r="AL47" s="160">
        <f t="shared" ref="AL47:AM47" si="19">(109170*$A$9)/5</f>
        <v>239160.90239999996</v>
      </c>
      <c r="AM47" s="160">
        <f t="shared" si="19"/>
        <v>239160.90239999996</v>
      </c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</row>
    <row r="48" spans="1:65" s="73" customFormat="1" x14ac:dyDescent="0.2">
      <c r="A48" s="69" t="s">
        <v>108</v>
      </c>
      <c r="B48" s="25" t="s">
        <v>109</v>
      </c>
      <c r="C48" s="120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138">
        <f>50531.25/2</f>
        <v>25265.625</v>
      </c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</row>
    <row r="49" spans="1:65" s="71" customFormat="1" x14ac:dyDescent="0.2">
      <c r="A49" s="69" t="s">
        <v>36</v>
      </c>
      <c r="B49" s="25" t="s">
        <v>37</v>
      </c>
      <c r="C49" s="130"/>
      <c r="D49" s="24"/>
      <c r="E49" s="24"/>
      <c r="F49" s="24"/>
      <c r="G49" s="24"/>
      <c r="H49" s="24"/>
      <c r="I49" s="24"/>
      <c r="J49" s="24"/>
      <c r="K49" s="24"/>
      <c r="L49" s="24"/>
      <c r="M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</row>
    <row r="50" spans="1:65" s="71" customFormat="1" x14ac:dyDescent="0.2">
      <c r="A50" s="69" t="s">
        <v>86</v>
      </c>
      <c r="B50" s="25" t="s">
        <v>35</v>
      </c>
      <c r="C50" s="70"/>
      <c r="D50" s="77"/>
      <c r="E50" s="24"/>
      <c r="G50" s="24"/>
      <c r="H50" s="24"/>
      <c r="I50" s="24"/>
      <c r="J50" s="100">
        <f>490*A6</f>
        <v>36404.843999999997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100">
        <f>2850*A6</f>
        <v>211742.46</v>
      </c>
      <c r="AA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</row>
    <row r="51" spans="1:65" s="71" customFormat="1" x14ac:dyDescent="0.2">
      <c r="A51" s="69" t="s">
        <v>29</v>
      </c>
      <c r="B51" s="25" t="s">
        <v>43</v>
      </c>
      <c r="C51" s="70">
        <f>439750-19750-25000-25000-25000-20000-20000</f>
        <v>305000</v>
      </c>
      <c r="D51" s="24"/>
      <c r="E51" s="28"/>
      <c r="F51" s="24"/>
      <c r="H51" s="24"/>
      <c r="I51" s="24"/>
      <c r="K51" s="95">
        <v>25000</v>
      </c>
      <c r="L51" s="24"/>
      <c r="M51" s="95">
        <v>50000</v>
      </c>
      <c r="O51" s="24"/>
      <c r="P51" s="24"/>
      <c r="Q51" s="95">
        <v>35000</v>
      </c>
      <c r="R51" s="24"/>
      <c r="S51" s="24"/>
      <c r="T51" s="24"/>
      <c r="V51" s="24"/>
      <c r="W51" s="24"/>
      <c r="X51" s="24"/>
      <c r="Y51" s="24"/>
      <c r="Z51" s="24"/>
      <c r="AA51" s="24"/>
      <c r="AB51" s="95">
        <v>100000</v>
      </c>
      <c r="AC51" s="24"/>
      <c r="AD51" s="24"/>
      <c r="AE51" s="95">
        <v>95000</v>
      </c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</row>
    <row r="52" spans="1:65" s="71" customFormat="1" x14ac:dyDescent="0.2">
      <c r="A52" s="69" t="s">
        <v>141</v>
      </c>
      <c r="B52" s="25" t="s">
        <v>142</v>
      </c>
      <c r="C52" s="70"/>
      <c r="D52" s="24"/>
      <c r="E52" s="24"/>
      <c r="F52" s="24"/>
      <c r="G52" s="24"/>
      <c r="H52" s="24"/>
      <c r="I52" s="24"/>
      <c r="J52" s="24"/>
      <c r="K52" s="24"/>
      <c r="L52" s="24"/>
      <c r="M52" s="100">
        <v>55053.72</v>
      </c>
      <c r="N52" s="28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8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</row>
    <row r="53" spans="1:65" s="71" customFormat="1" x14ac:dyDescent="0.2">
      <c r="A53" s="69" t="s">
        <v>146</v>
      </c>
      <c r="B53" s="25" t="s">
        <v>147</v>
      </c>
      <c r="C53" s="70"/>
      <c r="D53" s="24"/>
      <c r="E53" s="24"/>
      <c r="F53" s="24"/>
      <c r="G53" s="24"/>
      <c r="H53" s="24"/>
      <c r="I53" s="24"/>
      <c r="J53" s="100">
        <v>90000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</row>
    <row r="54" spans="1:65" s="71" customFormat="1" x14ac:dyDescent="0.2">
      <c r="A54" s="69" t="s">
        <v>124</v>
      </c>
      <c r="B54" s="25" t="s">
        <v>125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100">
        <v>203210</v>
      </c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</row>
    <row r="55" spans="1:65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100">
        <v>1524</v>
      </c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</row>
    <row r="56" spans="1:65" s="71" customFormat="1" x14ac:dyDescent="0.2">
      <c r="A56" s="69" t="s">
        <v>90</v>
      </c>
      <c r="B56" s="25" t="s">
        <v>91</v>
      </c>
      <c r="C56" s="70">
        <f>912000+1012000-100000-100000-75000-75000-75000-75000-75000-75000-75000-75000-75000-75000</f>
        <v>974000</v>
      </c>
      <c r="D56" s="77"/>
      <c r="F56" s="129">
        <v>75000</v>
      </c>
      <c r="H56" s="24"/>
      <c r="I56" s="24"/>
      <c r="J56" s="129">
        <v>75000</v>
      </c>
      <c r="K56" s="24"/>
      <c r="L56" s="28"/>
      <c r="M56" s="129">
        <v>100000</v>
      </c>
      <c r="N56" s="129">
        <v>100000</v>
      </c>
      <c r="O56" s="24"/>
      <c r="P56" s="24"/>
      <c r="Q56" s="129">
        <v>100000</v>
      </c>
      <c r="R56" s="24"/>
      <c r="T56" s="129">
        <v>124000</v>
      </c>
      <c r="U56" s="129">
        <v>100000</v>
      </c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</row>
    <row r="57" spans="1:65" s="71" customFormat="1" x14ac:dyDescent="0.2">
      <c r="A57" s="69" t="s">
        <v>138</v>
      </c>
      <c r="B57" s="25" t="s">
        <v>136</v>
      </c>
      <c r="C57" s="70"/>
      <c r="D57" s="77"/>
      <c r="E57" s="24"/>
      <c r="F57" s="100">
        <f t="shared" ref="F57:Q57" si="20">(4260*$A$6)/6</f>
        <v>52749.875999999997</v>
      </c>
      <c r="H57" s="24"/>
      <c r="I57" s="24"/>
      <c r="J57" s="24"/>
      <c r="K57" s="100">
        <f t="shared" si="20"/>
        <v>52749.875999999997</v>
      </c>
      <c r="L57" s="24"/>
      <c r="M57" s="100">
        <f t="shared" si="20"/>
        <v>52749.875999999997</v>
      </c>
      <c r="N57" s="100">
        <f t="shared" si="20"/>
        <v>52749.875999999997</v>
      </c>
      <c r="O57" s="24"/>
      <c r="P57" s="24"/>
      <c r="Q57" s="100">
        <f t="shared" si="20"/>
        <v>52749.875999999997</v>
      </c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</row>
    <row r="58" spans="1:65" s="71" customFormat="1" x14ac:dyDescent="0.2">
      <c r="A58" s="69" t="s">
        <v>102</v>
      </c>
      <c r="B58" s="25" t="s">
        <v>103</v>
      </c>
      <c r="C58" s="70"/>
      <c r="D58" s="77"/>
      <c r="E58" s="100">
        <v>9000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</row>
    <row r="59" spans="1:65" s="71" customFormat="1" ht="12.75" customHeight="1" x14ac:dyDescent="0.2">
      <c r="A59" s="151" t="s">
        <v>139</v>
      </c>
      <c r="B59" s="152" t="s">
        <v>114</v>
      </c>
      <c r="C59" s="70"/>
      <c r="D59" s="77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</row>
    <row r="60" spans="1:65" s="71" customFormat="1" x14ac:dyDescent="0.2">
      <c r="A60" s="69" t="s">
        <v>128</v>
      </c>
      <c r="B60" s="25" t="s">
        <v>129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</row>
    <row r="61" spans="1:65" s="71" customFormat="1" x14ac:dyDescent="0.2">
      <c r="A61" s="69" t="s">
        <v>101</v>
      </c>
      <c r="B61" s="25" t="s">
        <v>130</v>
      </c>
      <c r="C61" s="70">
        <f>110000-25000-25000-10000</f>
        <v>50000</v>
      </c>
      <c r="D61" s="77"/>
      <c r="E61" s="24"/>
      <c r="F61" s="24"/>
      <c r="G61" s="24"/>
      <c r="H61" s="24"/>
      <c r="I61" s="24"/>
      <c r="J61" s="24"/>
      <c r="K61" s="24"/>
      <c r="L61" s="24"/>
      <c r="M61" s="108">
        <f>100000/4</f>
        <v>25000</v>
      </c>
      <c r="N61" s="108">
        <f>25000/2</f>
        <v>12500</v>
      </c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</row>
    <row r="62" spans="1:65" s="71" customFormat="1" x14ac:dyDescent="0.2">
      <c r="A62" s="69" t="s">
        <v>154</v>
      </c>
      <c r="B62" s="25" t="s">
        <v>153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</row>
    <row r="63" spans="1:65" s="71" customFormat="1" x14ac:dyDescent="0.2">
      <c r="A63" s="69" t="s">
        <v>38</v>
      </c>
      <c r="B63" s="25" t="s">
        <v>39</v>
      </c>
      <c r="C63" s="70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</row>
    <row r="64" spans="1:65" s="71" customFormat="1" x14ac:dyDescent="0.2">
      <c r="A64" s="69" t="s">
        <v>74</v>
      </c>
      <c r="B64" s="25" t="s">
        <v>131</v>
      </c>
      <c r="C64" s="70"/>
      <c r="D64" s="24"/>
      <c r="E64" s="24"/>
      <c r="F64" s="100">
        <v>12500</v>
      </c>
      <c r="H64" s="24"/>
      <c r="I64" s="24"/>
      <c r="J64" s="100">
        <f>80000/2</f>
        <v>40000</v>
      </c>
      <c r="K64" s="24"/>
      <c r="L64" s="100">
        <v>15000</v>
      </c>
      <c r="M64" s="24"/>
      <c r="N64" s="100">
        <v>11667</v>
      </c>
      <c r="O64" s="24"/>
      <c r="P64" s="24"/>
      <c r="Q64" s="100">
        <f>7500+16500</f>
        <v>24000</v>
      </c>
      <c r="R64" s="24"/>
      <c r="T64" s="24"/>
      <c r="U64" s="100">
        <v>10000</v>
      </c>
      <c r="V64" s="24"/>
      <c r="W64" s="24"/>
      <c r="X64" s="100">
        <v>30000</v>
      </c>
      <c r="Y64" s="24"/>
      <c r="Z64" s="24"/>
      <c r="AA64" s="100">
        <v>30000</v>
      </c>
      <c r="AB64" s="24"/>
      <c r="AC64" s="24"/>
      <c r="AD64" s="100">
        <v>12000</v>
      </c>
      <c r="AE64" s="24"/>
      <c r="AF64" s="24"/>
      <c r="AG64" s="100">
        <v>9500</v>
      </c>
      <c r="AH64" s="24"/>
      <c r="AI64" s="100">
        <v>22000</v>
      </c>
      <c r="AJ64" s="24"/>
      <c r="AK64" s="24"/>
      <c r="AL64" s="100">
        <v>20000</v>
      </c>
      <c r="AM64" s="24"/>
      <c r="AN64" s="24"/>
      <c r="AO64" s="143">
        <v>40000</v>
      </c>
      <c r="AP64" s="143">
        <v>12000</v>
      </c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</row>
    <row r="65" spans="1:65" s="71" customFormat="1" x14ac:dyDescent="0.2">
      <c r="A65" s="69" t="s">
        <v>74</v>
      </c>
      <c r="B65" s="25" t="s">
        <v>150</v>
      </c>
      <c r="C65" s="164">
        <v>3567700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</row>
    <row r="66" spans="1:65" s="73" customFormat="1" x14ac:dyDescent="0.2">
      <c r="A66" s="78"/>
      <c r="B66" s="79"/>
      <c r="C66" s="75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</row>
    <row r="67" spans="1:65" s="94" customFormat="1" ht="33.75" x14ac:dyDescent="0.2">
      <c r="A67" s="91" t="s">
        <v>60</v>
      </c>
      <c r="B67" s="92" t="s">
        <v>58</v>
      </c>
      <c r="C67" s="93">
        <v>248639.70012000017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3"/>
      <c r="BK67" s="93"/>
      <c r="BL67" s="93"/>
      <c r="BM67" s="93"/>
    </row>
    <row r="68" spans="1:65" s="5" customFormat="1" x14ac:dyDescent="0.2">
      <c r="A68" s="42"/>
      <c r="B68" s="12"/>
      <c r="C68" s="68"/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</row>
    <row r="69" spans="1:65" s="5" customFormat="1" x14ac:dyDescent="0.2">
      <c r="A69" s="36" t="s">
        <v>49</v>
      </c>
      <c r="B69" s="12"/>
      <c r="C69" s="13"/>
      <c r="D69" s="26"/>
      <c r="E69" s="13"/>
      <c r="F69" s="13"/>
      <c r="G69" s="13"/>
      <c r="H69" s="13"/>
      <c r="I69" s="13"/>
      <c r="J69" s="13"/>
      <c r="K69" s="13"/>
      <c r="L69" s="13"/>
      <c r="M69" s="13">
        <f>1400000+7400*A3</f>
        <v>2038406.88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</row>
    <row r="70" spans="1:65" s="5" customFormat="1" x14ac:dyDescent="0.2">
      <c r="A70" s="36" t="s">
        <v>57</v>
      </c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X70" s="13"/>
      <c r="AY70" s="13"/>
      <c r="AZ70" s="168">
        <v>1600000</v>
      </c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</row>
    <row r="71" spans="1:65" s="5" customFormat="1" x14ac:dyDescent="0.2">
      <c r="A71" s="36" t="s">
        <v>61</v>
      </c>
      <c r="B71" s="12"/>
      <c r="C71" s="13">
        <v>112000</v>
      </c>
      <c r="D71" s="26"/>
      <c r="E71" s="13"/>
      <c r="F71" s="13"/>
      <c r="G71" s="13"/>
      <c r="H71" s="13"/>
      <c r="I71" s="13"/>
      <c r="J71" s="13"/>
      <c r="K71" s="13"/>
      <c r="L71" s="13"/>
      <c r="M71" s="13">
        <f>4600*$A$3</f>
        <v>396847.51999999996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</row>
    <row r="72" spans="1:65" s="5" customFormat="1" x14ac:dyDescent="0.2">
      <c r="A72" s="42" t="s">
        <v>151</v>
      </c>
      <c r="B72" s="12"/>
      <c r="C72" s="68">
        <f>(10000*10)*A6</f>
        <v>7429559.9999999991</v>
      </c>
      <c r="D72" s="26"/>
      <c r="E72" s="13"/>
      <c r="F72" s="13"/>
      <c r="G72" s="13"/>
      <c r="H72" s="13"/>
      <c r="I72" s="13"/>
      <c r="J72" s="13"/>
      <c r="K72" s="13"/>
      <c r="L72" s="13"/>
      <c r="M72" s="126">
        <f>C72/2</f>
        <v>3714779.9999999995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</row>
    <row r="73" spans="1:65" s="5" customFormat="1" x14ac:dyDescent="0.2">
      <c r="A73" s="36" t="s">
        <v>72</v>
      </c>
      <c r="B73" s="27" t="s">
        <v>73</v>
      </c>
      <c r="C73" s="62">
        <v>3637079.2460000003</v>
      </c>
      <c r="D73" s="35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s="5" customFormat="1" x14ac:dyDescent="0.2">
      <c r="A74" s="42"/>
      <c r="B74" s="12"/>
      <c r="C74" s="61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</row>
    <row r="75" spans="1:65" s="84" customFormat="1" x14ac:dyDescent="0.2">
      <c r="A75" s="81" t="s">
        <v>66</v>
      </c>
      <c r="B75" s="82"/>
      <c r="C75" s="63"/>
      <c r="D75" s="83"/>
      <c r="E75" s="83">
        <f>$C$5+E16-E26</f>
        <v>5554092.2000000002</v>
      </c>
      <c r="F75" s="83">
        <f t="shared" ref="F75:X75" si="21">E75+F16-F26</f>
        <v>6134417.0406666668</v>
      </c>
      <c r="G75" s="83">
        <f t="shared" si="21"/>
        <v>6134417.0406666668</v>
      </c>
      <c r="H75" s="83">
        <f t="shared" si="21"/>
        <v>6134417.0406666668</v>
      </c>
      <c r="I75" s="83">
        <f t="shared" si="21"/>
        <v>6134417.0406666668</v>
      </c>
      <c r="J75" s="83">
        <f t="shared" si="21"/>
        <v>6581297.8784848489</v>
      </c>
      <c r="K75" s="83">
        <f t="shared" si="21"/>
        <v>6269620.6130448487</v>
      </c>
      <c r="L75" s="83">
        <f t="shared" si="21"/>
        <v>5928267.88491394</v>
      </c>
      <c r="M75" s="83">
        <f t="shared" si="21"/>
        <v>7036318.8930521216</v>
      </c>
      <c r="N75" s="83">
        <f t="shared" si="21"/>
        <v>4982219.6131721213</v>
      </c>
      <c r="O75" s="83">
        <f t="shared" si="21"/>
        <v>4982219.6131721213</v>
      </c>
      <c r="P75" s="83">
        <f t="shared" si="21"/>
        <v>4982219.6131721213</v>
      </c>
      <c r="Q75" s="83">
        <f t="shared" si="21"/>
        <v>4413071.4038387882</v>
      </c>
      <c r="R75" s="83">
        <f t="shared" si="21"/>
        <v>4067053.0847987882</v>
      </c>
      <c r="S75" s="83">
        <f t="shared" si="21"/>
        <v>3732557.4778654547</v>
      </c>
      <c r="T75" s="83">
        <f t="shared" si="21"/>
        <v>3052974.8254921213</v>
      </c>
      <c r="U75" s="83">
        <f t="shared" si="21"/>
        <v>2536755.2836787878</v>
      </c>
      <c r="V75" s="83">
        <f t="shared" si="21"/>
        <v>2536755.2836787878</v>
      </c>
      <c r="W75" s="83">
        <f t="shared" si="21"/>
        <v>2536755.2836787878</v>
      </c>
      <c r="X75" s="83">
        <f t="shared" si="21"/>
        <v>4187936.6313054543</v>
      </c>
      <c r="Y75" s="83">
        <f t="shared" ref="Y75:BM75" si="22">X75+Y16-Y26</f>
        <v>691001.08949212078</v>
      </c>
      <c r="Z75" s="83">
        <f t="shared" si="22"/>
        <v>10953.916118787485</v>
      </c>
      <c r="AA75" s="83">
        <f t="shared" si="22"/>
        <v>-1210498.0023248489</v>
      </c>
      <c r="AB75" s="83">
        <f t="shared" si="22"/>
        <v>-2173426.020506667</v>
      </c>
      <c r="AC75" s="83">
        <f t="shared" si="22"/>
        <v>-2173426.020506667</v>
      </c>
      <c r="AD75" s="83">
        <f t="shared" si="22"/>
        <v>-2867986.020506667</v>
      </c>
      <c r="AE75" s="83">
        <f t="shared" si="22"/>
        <v>-1198347.2486375761</v>
      </c>
      <c r="AF75" s="83">
        <f t="shared" si="22"/>
        <v>-2191460.2882593945</v>
      </c>
      <c r="AG75" s="83">
        <f t="shared" si="22"/>
        <v>-2943773.6387030305</v>
      </c>
      <c r="AH75" s="83">
        <f t="shared" si="22"/>
        <v>-3464386.6783248489</v>
      </c>
      <c r="AI75" s="83">
        <f t="shared" si="22"/>
        <v>-3731706.6446884852</v>
      </c>
      <c r="AJ75" s="83">
        <f t="shared" si="22"/>
        <v>-3731706.6446884852</v>
      </c>
      <c r="AK75" s="83">
        <f t="shared" si="22"/>
        <v>-3731706.6446884852</v>
      </c>
      <c r="AL75" s="83">
        <f t="shared" si="22"/>
        <v>-3907250.8661284852</v>
      </c>
      <c r="AM75" s="83">
        <f t="shared" si="22"/>
        <v>-4290216.5867103031</v>
      </c>
      <c r="AN75" s="83">
        <f t="shared" si="22"/>
        <v>-4398172.9200436361</v>
      </c>
      <c r="AO75" s="83">
        <f t="shared" si="22"/>
        <v>-4614907.7300072722</v>
      </c>
      <c r="AP75" s="83">
        <f t="shared" si="22"/>
        <v>-4986912.5399709083</v>
      </c>
      <c r="AQ75" s="83">
        <f t="shared" si="22"/>
        <v>-4986912.5399709083</v>
      </c>
      <c r="AR75" s="83">
        <f t="shared" si="22"/>
        <v>-4986912.5399709083</v>
      </c>
      <c r="AS75" s="83">
        <f t="shared" si="22"/>
        <v>-3163647.3499345449</v>
      </c>
      <c r="AT75" s="83">
        <f t="shared" si="22"/>
        <v>-3340382.1598981814</v>
      </c>
      <c r="AU75" s="83">
        <f t="shared" si="22"/>
        <v>-3517116.969861818</v>
      </c>
      <c r="AV75" s="83">
        <f t="shared" si="22"/>
        <v>-3517116.969861818</v>
      </c>
      <c r="AW75" s="83">
        <f t="shared" si="22"/>
        <v>-3517116.969861818</v>
      </c>
      <c r="AX75" s="83">
        <f t="shared" si="22"/>
        <v>-3517116.969861818</v>
      </c>
      <c r="AY75" s="83">
        <f t="shared" si="22"/>
        <v>-3517116.969861818</v>
      </c>
      <c r="AZ75" s="83">
        <f t="shared" si="22"/>
        <v>-786131.96986181801</v>
      </c>
      <c r="BA75" s="83">
        <f t="shared" si="22"/>
        <v>-786131.96986181801</v>
      </c>
      <c r="BB75" s="83">
        <f t="shared" si="22"/>
        <v>-786131.96986181801</v>
      </c>
      <c r="BC75" s="83">
        <f t="shared" si="22"/>
        <v>-786131.96986181801</v>
      </c>
      <c r="BD75" s="83">
        <f t="shared" si="22"/>
        <v>-786131.96986181801</v>
      </c>
      <c r="BE75" s="83">
        <f t="shared" si="22"/>
        <v>-786131.96986181801</v>
      </c>
      <c r="BF75" s="83">
        <f t="shared" si="22"/>
        <v>-786131.96986181801</v>
      </c>
      <c r="BG75" s="83">
        <f t="shared" si="22"/>
        <v>1539059.8501381818</v>
      </c>
      <c r="BH75" s="83">
        <f t="shared" si="22"/>
        <v>1539059.8501381818</v>
      </c>
      <c r="BI75" s="83">
        <f t="shared" si="22"/>
        <v>1539059.8501381818</v>
      </c>
      <c r="BJ75" s="83">
        <f t="shared" si="22"/>
        <v>1539059.8501381818</v>
      </c>
      <c r="BK75" s="83">
        <f t="shared" si="22"/>
        <v>1539059.8501381818</v>
      </c>
      <c r="BL75" s="83">
        <f t="shared" si="22"/>
        <v>1539059.8501381818</v>
      </c>
      <c r="BM75" s="83">
        <f t="shared" si="22"/>
        <v>1539059.8501381818</v>
      </c>
    </row>
    <row r="77" spans="1:65" s="5" customFormat="1" x14ac:dyDescent="0.2">
      <c r="A77" s="42"/>
      <c r="B77" s="12"/>
      <c r="C77" s="68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</row>
    <row r="78" spans="1:65" s="89" customFormat="1" x14ac:dyDescent="0.2">
      <c r="A78" s="85" t="s">
        <v>65</v>
      </c>
      <c r="B78" s="86"/>
      <c r="C78" s="87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</row>
    <row r="79" spans="1:65" s="5" customFormat="1" ht="22.5" x14ac:dyDescent="0.2">
      <c r="A79" s="36" t="s">
        <v>67</v>
      </c>
      <c r="B79" s="27" t="s">
        <v>68</v>
      </c>
      <c r="C79" s="68">
        <v>3221210.79</v>
      </c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</row>
    <row r="80" spans="1:65" s="5" customFormat="1" x14ac:dyDescent="0.2">
      <c r="A80" s="36" t="s">
        <v>69</v>
      </c>
      <c r="B80" s="27" t="s">
        <v>70</v>
      </c>
      <c r="C80" s="68">
        <v>9814338.4000000004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</row>
    <row r="81" spans="1:65" s="5" customFormat="1" x14ac:dyDescent="0.2">
      <c r="A81" s="36"/>
      <c r="B81" s="27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</row>
    <row r="82" spans="1:65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</row>
    <row r="84" spans="1:65" x14ac:dyDescent="0.25">
      <c r="B84" s="14"/>
    </row>
  </sheetData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87"/>
  <sheetViews>
    <sheetView workbookViewId="0">
      <selection activeCell="F20" sqref="F20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3.140625" style="3" customWidth="1"/>
    <col min="6" max="6" width="11.7109375" style="3" customWidth="1"/>
    <col min="7" max="7" width="12.5703125" style="3" customWidth="1"/>
    <col min="8" max="8" width="15.7109375" style="3" customWidth="1"/>
    <col min="9" max="9" width="12.7109375" style="3" customWidth="1"/>
    <col min="10" max="11" width="12.85546875" style="3" customWidth="1"/>
    <col min="12" max="13" width="11.85546875" style="3" customWidth="1"/>
    <col min="14" max="14" width="13" style="3" customWidth="1"/>
    <col min="15" max="15" width="12.28515625" style="3" customWidth="1"/>
    <col min="16" max="16" width="12.140625" style="3" customWidth="1"/>
    <col min="17" max="17" width="11.140625" style="3" customWidth="1"/>
    <col min="18" max="18" width="12.7109375" style="3" customWidth="1"/>
    <col min="19" max="19" width="11.140625" style="3" customWidth="1"/>
    <col min="20" max="20" width="11.7109375" style="3" customWidth="1"/>
    <col min="21" max="21" width="11.5703125" style="3" customWidth="1"/>
    <col min="22" max="23" width="10.85546875" style="3" customWidth="1"/>
    <col min="24" max="24" width="12.85546875" style="3" customWidth="1"/>
    <col min="25" max="25" width="12" style="3" customWidth="1"/>
    <col min="26" max="26" width="11.140625" style="3" customWidth="1"/>
    <col min="27" max="27" width="12.7109375" style="3" customWidth="1"/>
    <col min="28" max="28" width="11.42578125" style="3" customWidth="1"/>
    <col min="29" max="29" width="11.7109375" style="3" customWidth="1"/>
    <col min="30" max="30" width="10.5703125" style="3" customWidth="1"/>
    <col min="31" max="31" width="12" style="3" customWidth="1"/>
    <col min="32" max="32" width="11.140625" style="3" customWidth="1"/>
    <col min="33" max="33" width="10.42578125" style="3" customWidth="1"/>
    <col min="34" max="34" width="14" style="3" customWidth="1"/>
    <col min="35" max="35" width="10.42578125" style="3" customWidth="1"/>
    <col min="36" max="36" width="12.5703125" style="3" customWidth="1"/>
    <col min="37" max="37" width="13.28515625" style="3" customWidth="1"/>
    <col min="38" max="38" width="12.140625" style="3" customWidth="1"/>
    <col min="39" max="39" width="12.42578125" style="3" customWidth="1"/>
    <col min="40" max="40" width="12.28515625" style="3" customWidth="1"/>
    <col min="41" max="41" width="12.7109375" style="3" customWidth="1"/>
    <col min="42" max="42" width="11.28515625" style="3" customWidth="1"/>
    <col min="43" max="43" width="11.85546875" style="3" customWidth="1"/>
    <col min="44" max="44" width="12.28515625" style="3" customWidth="1"/>
    <col min="45" max="45" width="11.140625" style="3" customWidth="1"/>
    <col min="46" max="46" width="10.5703125" style="3" customWidth="1"/>
    <col min="47" max="47" width="10.85546875" style="3" customWidth="1"/>
    <col min="48" max="48" width="12" style="3" customWidth="1"/>
    <col min="49" max="49" width="13.140625" style="3" customWidth="1"/>
    <col min="50" max="50" width="11.140625" style="3" customWidth="1"/>
    <col min="51" max="51" width="12.5703125" style="3" customWidth="1"/>
    <col min="52" max="52" width="12.140625" style="3" customWidth="1"/>
    <col min="53" max="53" width="12.42578125" style="3" customWidth="1"/>
    <col min="54" max="54" width="12" style="3" customWidth="1"/>
    <col min="55" max="55" width="14.85546875" style="3" customWidth="1"/>
    <col min="56" max="56" width="11.5703125" style="3" customWidth="1"/>
    <col min="57" max="57" width="13.7109375" style="3" customWidth="1"/>
    <col min="58" max="58" width="12.42578125" style="3" customWidth="1"/>
    <col min="59" max="59" width="10.85546875" style="3" customWidth="1"/>
    <col min="60" max="60" width="12.140625" style="3" customWidth="1"/>
    <col min="61" max="61" width="11.85546875" style="3" customWidth="1"/>
    <col min="62" max="62" width="12.7109375" style="3" customWidth="1"/>
    <col min="63" max="63" width="12.42578125" style="3" customWidth="1"/>
    <col min="64" max="64" width="11.140625" style="3" customWidth="1"/>
    <col min="65" max="65" width="11.5703125" style="3" customWidth="1"/>
    <col min="66" max="66" width="12.28515625" style="3" customWidth="1"/>
    <col min="67" max="16384" width="9" style="3"/>
  </cols>
  <sheetData>
    <row r="1" spans="1:66" ht="12" thickBot="1" x14ac:dyDescent="0.3"/>
    <row r="2" spans="1:66" s="1" customFormat="1" x14ac:dyDescent="0.2">
      <c r="A2" s="43" t="s">
        <v>50</v>
      </c>
      <c r="B2" s="15" t="s">
        <v>27</v>
      </c>
      <c r="C2" s="50">
        <v>6854121.3700000001</v>
      </c>
    </row>
    <row r="3" spans="1:66" s="1" customFormat="1" ht="12" thickBot="1" x14ac:dyDescent="0.25">
      <c r="A3" s="44">
        <v>86.271199999999993</v>
      </c>
      <c r="B3" s="15" t="s">
        <v>28</v>
      </c>
      <c r="C3" s="50">
        <v>10778.95</v>
      </c>
    </row>
    <row r="4" spans="1:66" s="8" customFormat="1" ht="12" thickBot="1" x14ac:dyDescent="0.25">
      <c r="A4" s="45"/>
      <c r="B4" s="15" t="s">
        <v>25</v>
      </c>
      <c r="C4" s="51">
        <v>0</v>
      </c>
    </row>
    <row r="5" spans="1:66" s="6" customFormat="1" x14ac:dyDescent="0.2">
      <c r="A5" s="43" t="s">
        <v>51</v>
      </c>
      <c r="B5" s="49" t="s">
        <v>26</v>
      </c>
      <c r="C5" s="52">
        <f>SUM(C2:C4)</f>
        <v>6864900.3200000003</v>
      </c>
    </row>
    <row r="6" spans="1:66" s="6" customFormat="1" ht="12" thickBot="1" x14ac:dyDescent="0.25">
      <c r="A6" s="44">
        <v>74.295599999999993</v>
      </c>
      <c r="B6" s="16"/>
      <c r="C6" s="53"/>
      <c r="D6" s="17"/>
    </row>
    <row r="7" spans="1:66" s="6" customFormat="1" ht="12" thickBot="1" x14ac:dyDescent="0.25">
      <c r="A7" s="105" t="s">
        <v>51</v>
      </c>
      <c r="B7" s="18" t="s">
        <v>127</v>
      </c>
      <c r="C7" s="54">
        <f>SUM(16:16)</f>
        <v>18691521.700799998</v>
      </c>
    </row>
    <row r="8" spans="1:66" x14ac:dyDescent="0.25">
      <c r="A8" s="43" t="s">
        <v>52</v>
      </c>
      <c r="B8" s="18" t="s">
        <v>126</v>
      </c>
      <c r="C8" s="54">
        <f>SUM(26:26)</f>
        <v>53514029.847316884</v>
      </c>
    </row>
    <row r="9" spans="1:66" ht="12" thickBot="1" x14ac:dyDescent="0.3">
      <c r="A9" s="44">
        <v>10.9536</v>
      </c>
      <c r="B9" s="19" t="s">
        <v>64</v>
      </c>
      <c r="C9" s="55">
        <f>C5+C7-C8-C11</f>
        <v>-50085780.558236882</v>
      </c>
    </row>
    <row r="10" spans="1:66" x14ac:dyDescent="0.25">
      <c r="A10" s="99" t="s">
        <v>80</v>
      </c>
      <c r="B10" s="18" t="s">
        <v>23</v>
      </c>
      <c r="C10" s="56">
        <f>C16</f>
        <v>0</v>
      </c>
    </row>
    <row r="11" spans="1:66" x14ac:dyDescent="0.25">
      <c r="A11" s="101" t="s">
        <v>87</v>
      </c>
      <c r="B11" s="18" t="s">
        <v>24</v>
      </c>
      <c r="C11" s="54">
        <f>C26</f>
        <v>22128172.731719997</v>
      </c>
    </row>
    <row r="12" spans="1:66" x14ac:dyDescent="0.25">
      <c r="A12" s="107" t="s">
        <v>88</v>
      </c>
    </row>
    <row r="13" spans="1:66" x14ac:dyDescent="0.25">
      <c r="A13" s="38"/>
      <c r="B13" s="10"/>
      <c r="C13" s="57"/>
      <c r="D13" s="10"/>
    </row>
    <row r="14" spans="1:66" s="2" customFormat="1" x14ac:dyDescent="0.25">
      <c r="A14" s="64"/>
      <c r="B14" s="65"/>
      <c r="C14" s="58" t="s">
        <v>56</v>
      </c>
      <c r="D14" s="66"/>
      <c r="E14" s="66">
        <v>46182</v>
      </c>
      <c r="F14" s="66">
        <v>46183</v>
      </c>
      <c r="G14" s="66">
        <v>46184</v>
      </c>
      <c r="H14" s="66">
        <v>46185</v>
      </c>
      <c r="I14" s="66">
        <v>46186</v>
      </c>
      <c r="J14" s="66">
        <v>46187</v>
      </c>
      <c r="K14" s="66">
        <v>46188</v>
      </c>
      <c r="L14" s="66">
        <v>46189</v>
      </c>
      <c r="M14" s="66">
        <v>46190</v>
      </c>
      <c r="N14" s="66">
        <v>46191</v>
      </c>
      <c r="O14" s="66">
        <v>46192</v>
      </c>
      <c r="P14" s="66">
        <v>46193</v>
      </c>
      <c r="Q14" s="66">
        <v>46194</v>
      </c>
      <c r="R14" s="66">
        <v>46195</v>
      </c>
      <c r="S14" s="66">
        <v>46196</v>
      </c>
      <c r="T14" s="66">
        <v>46197</v>
      </c>
      <c r="U14" s="66">
        <v>46198</v>
      </c>
      <c r="V14" s="66">
        <v>46199</v>
      </c>
      <c r="W14" s="66">
        <v>46200</v>
      </c>
      <c r="X14" s="66">
        <v>46201</v>
      </c>
      <c r="Y14" s="66">
        <v>46202</v>
      </c>
      <c r="Z14" s="66">
        <v>46203</v>
      </c>
      <c r="AA14" s="66">
        <v>46204</v>
      </c>
      <c r="AB14" s="66">
        <v>46205</v>
      </c>
      <c r="AC14" s="66">
        <v>46206</v>
      </c>
      <c r="AD14" s="66">
        <v>46207</v>
      </c>
      <c r="AE14" s="66">
        <v>46208</v>
      </c>
      <c r="AF14" s="66">
        <v>46209</v>
      </c>
      <c r="AG14" s="66">
        <v>46210</v>
      </c>
      <c r="AH14" s="66">
        <v>46211</v>
      </c>
      <c r="AI14" s="66">
        <v>46212</v>
      </c>
      <c r="AJ14" s="66">
        <v>46213</v>
      </c>
      <c r="AK14" s="66">
        <v>46214</v>
      </c>
      <c r="AL14" s="66">
        <v>46215</v>
      </c>
      <c r="AM14" s="66">
        <v>46216</v>
      </c>
      <c r="AN14" s="66">
        <v>46217</v>
      </c>
      <c r="AO14" s="66">
        <v>46218</v>
      </c>
      <c r="AP14" s="66">
        <v>46219</v>
      </c>
      <c r="AQ14" s="66">
        <v>46220</v>
      </c>
      <c r="AR14" s="66">
        <v>46221</v>
      </c>
      <c r="AS14" s="66">
        <v>46222</v>
      </c>
      <c r="AT14" s="66">
        <v>46223</v>
      </c>
      <c r="AU14" s="66">
        <v>46224</v>
      </c>
      <c r="AV14" s="66">
        <v>46225</v>
      </c>
      <c r="AW14" s="66">
        <v>46226</v>
      </c>
      <c r="AX14" s="66">
        <v>46227</v>
      </c>
      <c r="AY14" s="66">
        <v>46228</v>
      </c>
      <c r="AZ14" s="66">
        <v>46229</v>
      </c>
      <c r="BA14" s="66">
        <v>46230</v>
      </c>
      <c r="BB14" s="66">
        <v>46231</v>
      </c>
      <c r="BC14" s="66">
        <v>46232</v>
      </c>
      <c r="BD14" s="66">
        <v>46233</v>
      </c>
      <c r="BE14" s="66">
        <v>46234</v>
      </c>
      <c r="BF14" s="66">
        <v>46235</v>
      </c>
      <c r="BG14" s="66">
        <v>46236</v>
      </c>
      <c r="BH14" s="66">
        <v>46237</v>
      </c>
      <c r="BI14" s="66">
        <v>46238</v>
      </c>
      <c r="BJ14" s="66">
        <v>46239</v>
      </c>
      <c r="BK14" s="66">
        <v>46240</v>
      </c>
      <c r="BL14" s="66">
        <v>46241</v>
      </c>
      <c r="BM14" s="66">
        <v>46242</v>
      </c>
      <c r="BN14" s="66">
        <v>46243</v>
      </c>
    </row>
    <row r="15" spans="1:66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</row>
    <row r="16" spans="1:66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N16" si="0">SUM(E17:E25)</f>
        <v>0</v>
      </c>
      <c r="F16" s="29">
        <f t="shared" si="0"/>
        <v>1000000</v>
      </c>
      <c r="G16" s="29">
        <f t="shared" si="0"/>
        <v>0</v>
      </c>
      <c r="H16" s="135">
        <f t="shared" si="0"/>
        <v>0</v>
      </c>
      <c r="I16" s="135">
        <f t="shared" si="0"/>
        <v>0</v>
      </c>
      <c r="J16" s="135">
        <f t="shared" si="0"/>
        <v>0</v>
      </c>
      <c r="K16" s="29">
        <f t="shared" si="0"/>
        <v>2000000</v>
      </c>
      <c r="L16" s="29">
        <f t="shared" si="0"/>
        <v>0</v>
      </c>
      <c r="M16" s="29">
        <f t="shared" si="0"/>
        <v>0</v>
      </c>
      <c r="N16" s="29">
        <f t="shared" si="0"/>
        <v>8289281.9807999991</v>
      </c>
      <c r="O16" s="29">
        <f t="shared" si="0"/>
        <v>0</v>
      </c>
      <c r="P16" s="135">
        <f t="shared" si="0"/>
        <v>0</v>
      </c>
      <c r="Q16" s="135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135">
        <f t="shared" si="0"/>
        <v>0</v>
      </c>
      <c r="X16" s="135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135">
        <f t="shared" si="0"/>
        <v>0</v>
      </c>
      <c r="AE16" s="135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135">
        <f t="shared" si="0"/>
        <v>0</v>
      </c>
      <c r="AL16" s="135">
        <f t="shared" si="0"/>
        <v>0</v>
      </c>
      <c r="AM16" s="29">
        <f t="shared" si="0"/>
        <v>0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29">
        <f t="shared" si="0"/>
        <v>0</v>
      </c>
      <c r="AR16" s="135">
        <f t="shared" si="0"/>
        <v>0</v>
      </c>
      <c r="AS16" s="135">
        <f t="shared" si="0"/>
        <v>0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29">
        <f t="shared" si="0"/>
        <v>4330985</v>
      </c>
      <c r="AY16" s="135">
        <f t="shared" si="0"/>
        <v>0</v>
      </c>
      <c r="AZ16" s="135">
        <f t="shared" si="0"/>
        <v>0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135">
        <f t="shared" si="0"/>
        <v>0</v>
      </c>
      <c r="BG16" s="135">
        <f t="shared" si="0"/>
        <v>0</v>
      </c>
      <c r="BH16" s="29">
        <f t="shared" si="0"/>
        <v>3071254.7199999997</v>
      </c>
      <c r="BI16" s="29">
        <f t="shared" si="0"/>
        <v>0</v>
      </c>
      <c r="BJ16" s="29">
        <f t="shared" si="0"/>
        <v>0</v>
      </c>
      <c r="BK16" s="29">
        <f t="shared" si="0"/>
        <v>0</v>
      </c>
      <c r="BL16" s="29">
        <f t="shared" si="0"/>
        <v>0</v>
      </c>
      <c r="BM16" s="135">
        <f t="shared" si="0"/>
        <v>0</v>
      </c>
      <c r="BN16" s="135">
        <f t="shared" si="0"/>
        <v>0</v>
      </c>
    </row>
    <row r="17" spans="1:66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</row>
    <row r="18" spans="1:66" s="80" customFormat="1" x14ac:dyDescent="0.25">
      <c r="A18" s="40" t="s">
        <v>9</v>
      </c>
      <c r="B18" s="21"/>
      <c r="C18" s="59"/>
      <c r="D18" s="30"/>
      <c r="E18" s="30"/>
      <c r="F18" s="30">
        <v>1000000</v>
      </c>
      <c r="G18" s="30"/>
      <c r="H18" s="30"/>
      <c r="I18" s="30"/>
      <c r="J18" s="30"/>
      <c r="K18" s="30">
        <v>2000000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</row>
    <row r="19" spans="1:66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</row>
    <row r="20" spans="1:66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>
        <v>4330985</v>
      </c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</row>
    <row r="21" spans="1:66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</row>
    <row r="22" spans="1:66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</row>
    <row r="23" spans="1:66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>
        <f>96084*A3</f>
        <v>8289281.9807999991</v>
      </c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</row>
    <row r="24" spans="1:66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Z24" s="30"/>
      <c r="AA24" s="30"/>
      <c r="AB24" s="30"/>
      <c r="AC24" s="30"/>
      <c r="AD24" s="30"/>
      <c r="AE24" s="30"/>
      <c r="AF24" s="30"/>
      <c r="AG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165">
        <f>35600*A3</f>
        <v>3071254.7199999997</v>
      </c>
      <c r="BI24" s="30"/>
      <c r="BJ24" s="30"/>
      <c r="BK24" s="30"/>
      <c r="BL24" s="30"/>
      <c r="BM24" s="30"/>
      <c r="BN24" s="30"/>
    </row>
    <row r="25" spans="1:66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</row>
    <row r="26" spans="1:66" s="4" customFormat="1" x14ac:dyDescent="0.2">
      <c r="A26" s="41" t="s">
        <v>1</v>
      </c>
      <c r="B26" s="22"/>
      <c r="C26" s="34">
        <f>SUM(C28:C76)</f>
        <v>22128172.731719997</v>
      </c>
      <c r="D26" s="34"/>
      <c r="E26" s="34">
        <f t="shared" ref="E26:BN26" si="1">SUM(E27:E77)</f>
        <v>750311.56493506487</v>
      </c>
      <c r="F26" s="34">
        <f t="shared" si="1"/>
        <v>485991.5</v>
      </c>
      <c r="G26" s="34">
        <f t="shared" si="1"/>
        <v>419675.15933333331</v>
      </c>
      <c r="H26" s="34">
        <f t="shared" si="1"/>
        <v>0</v>
      </c>
      <c r="I26" s="34">
        <f t="shared" si="1"/>
        <v>0</v>
      </c>
      <c r="J26" s="34">
        <f t="shared" si="1"/>
        <v>0</v>
      </c>
      <c r="K26" s="34">
        <f t="shared" si="1"/>
        <v>1053119.1621818182</v>
      </c>
      <c r="L26" s="34">
        <f t="shared" si="1"/>
        <v>311677.26543999999</v>
      </c>
      <c r="M26" s="34">
        <f t="shared" si="1"/>
        <v>341352.72813090903</v>
      </c>
      <c r="N26" s="34">
        <f t="shared" si="1"/>
        <v>7181230.9726618174</v>
      </c>
      <c r="O26" s="34">
        <f t="shared" si="1"/>
        <v>2054099.27988</v>
      </c>
      <c r="P26" s="34">
        <f t="shared" si="1"/>
        <v>0</v>
      </c>
      <c r="Q26" s="34">
        <f t="shared" si="1"/>
        <v>0</v>
      </c>
      <c r="R26" s="34">
        <f t="shared" si="1"/>
        <v>569148.20933333342</v>
      </c>
      <c r="S26" s="34">
        <f t="shared" si="1"/>
        <v>346018.31903999997</v>
      </c>
      <c r="T26" s="34">
        <f t="shared" si="1"/>
        <v>334495.60693333333</v>
      </c>
      <c r="U26" s="34">
        <f t="shared" si="1"/>
        <v>679582.65237333335</v>
      </c>
      <c r="V26" s="34">
        <f t="shared" si="1"/>
        <v>516219.54181333329</v>
      </c>
      <c r="W26" s="34">
        <f t="shared" si="1"/>
        <v>0</v>
      </c>
      <c r="X26" s="34">
        <f t="shared" si="1"/>
        <v>0</v>
      </c>
      <c r="Y26" s="34">
        <f t="shared" si="1"/>
        <v>348818.65237333329</v>
      </c>
      <c r="Z26" s="34">
        <f t="shared" si="1"/>
        <v>3496935.5418133335</v>
      </c>
      <c r="AA26" s="34">
        <f t="shared" si="1"/>
        <v>730047.17337333329</v>
      </c>
      <c r="AB26" s="34">
        <f t="shared" si="1"/>
        <v>1221451.9184436365</v>
      </c>
      <c r="AC26" s="34">
        <f t="shared" si="1"/>
        <v>962928.01818181807</v>
      </c>
      <c r="AD26" s="34">
        <f t="shared" si="1"/>
        <v>0</v>
      </c>
      <c r="AE26" s="34">
        <f t="shared" si="1"/>
        <v>694560</v>
      </c>
      <c r="AF26" s="34">
        <f t="shared" si="1"/>
        <v>235361.22813090909</v>
      </c>
      <c r="AG26" s="34">
        <f t="shared" si="1"/>
        <v>993113.03962181811</v>
      </c>
      <c r="AH26" s="34">
        <f t="shared" si="1"/>
        <v>752313.3504436363</v>
      </c>
      <c r="AI26" s="34">
        <f t="shared" si="1"/>
        <v>520613.03962181817</v>
      </c>
      <c r="AJ26" s="34">
        <f t="shared" si="1"/>
        <v>267319.96636363631</v>
      </c>
      <c r="AK26" s="34">
        <f t="shared" si="1"/>
        <v>0</v>
      </c>
      <c r="AL26" s="34">
        <f t="shared" si="1"/>
        <v>0</v>
      </c>
      <c r="AM26" s="34">
        <f t="shared" si="1"/>
        <v>2175544.22144</v>
      </c>
      <c r="AN26" s="34">
        <f t="shared" si="1"/>
        <v>382965.72058181814</v>
      </c>
      <c r="AO26" s="34">
        <f t="shared" si="1"/>
        <v>107956.33333333334</v>
      </c>
      <c r="AP26" s="34">
        <f t="shared" si="1"/>
        <v>216734.80996363636</v>
      </c>
      <c r="AQ26" s="34">
        <f t="shared" si="1"/>
        <v>360004.80996363633</v>
      </c>
      <c r="AR26" s="34">
        <f t="shared" si="1"/>
        <v>0</v>
      </c>
      <c r="AS26" s="34">
        <f t="shared" si="1"/>
        <v>0</v>
      </c>
      <c r="AT26" s="34">
        <f t="shared" si="1"/>
        <v>176734.80996363636</v>
      </c>
      <c r="AU26" s="34">
        <f t="shared" si="1"/>
        <v>176734.80996363636</v>
      </c>
      <c r="AV26" s="34">
        <f t="shared" si="1"/>
        <v>176734.80996363636</v>
      </c>
      <c r="AW26" s="34">
        <f t="shared" si="1"/>
        <v>0</v>
      </c>
      <c r="AX26" s="34">
        <f t="shared" si="1"/>
        <v>1600000</v>
      </c>
      <c r="AY26" s="34">
        <f t="shared" si="1"/>
        <v>0</v>
      </c>
      <c r="AZ26" s="34">
        <f t="shared" si="1"/>
        <v>0</v>
      </c>
      <c r="BA26" s="34">
        <f t="shared" si="1"/>
        <v>0</v>
      </c>
      <c r="BB26" s="34">
        <f t="shared" si="1"/>
        <v>0</v>
      </c>
      <c r="BC26" s="34">
        <f t="shared" si="1"/>
        <v>0</v>
      </c>
      <c r="BD26" s="34">
        <f t="shared" si="1"/>
        <v>0</v>
      </c>
      <c r="BE26" s="34">
        <f t="shared" si="1"/>
        <v>0</v>
      </c>
      <c r="BF26" s="34">
        <f t="shared" si="1"/>
        <v>0</v>
      </c>
      <c r="BG26" s="34">
        <f t="shared" si="1"/>
        <v>0</v>
      </c>
      <c r="BH26" s="34">
        <f t="shared" si="1"/>
        <v>746062.9</v>
      </c>
      <c r="BI26" s="34">
        <f t="shared" si="1"/>
        <v>0</v>
      </c>
      <c r="BJ26" s="34">
        <f t="shared" si="1"/>
        <v>0</v>
      </c>
      <c r="BK26" s="34">
        <f t="shared" si="1"/>
        <v>0</v>
      </c>
      <c r="BL26" s="34">
        <f t="shared" si="1"/>
        <v>0</v>
      </c>
      <c r="BM26" s="34">
        <f t="shared" si="1"/>
        <v>0</v>
      </c>
      <c r="BN26" s="34">
        <f t="shared" si="1"/>
        <v>0</v>
      </c>
    </row>
    <row r="27" spans="1:66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</row>
    <row r="28" spans="1:66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</row>
    <row r="29" spans="1:66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</row>
    <row r="30" spans="1:66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>
        <f>8399365/3</f>
        <v>2799788.3333333335</v>
      </c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</row>
    <row r="31" spans="1:66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90">
        <f>291375+137118</f>
        <v>428493</v>
      </c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</row>
    <row r="32" spans="1:66" s="1" customFormat="1" x14ac:dyDescent="0.2">
      <c r="A32" s="36" t="s">
        <v>7</v>
      </c>
      <c r="B32" s="23" t="s">
        <v>8</v>
      </c>
      <c r="C32" s="60"/>
      <c r="D32" s="24"/>
      <c r="E32" s="24">
        <f>488746/0.77</f>
        <v>634735.06493506487</v>
      </c>
      <c r="F32" s="24">
        <v>350000</v>
      </c>
      <c r="G32" s="24"/>
      <c r="H32" s="24"/>
      <c r="I32" s="24"/>
      <c r="J32" s="24"/>
      <c r="K32" s="24"/>
      <c r="L32" s="24"/>
      <c r="M32" s="24"/>
      <c r="N32" s="24"/>
      <c r="O32" s="24">
        <v>480520</v>
      </c>
      <c r="P32" s="24"/>
      <c r="Q32" s="24"/>
      <c r="R32" s="24"/>
      <c r="S32" s="24"/>
      <c r="T32" s="24"/>
      <c r="U32" s="24">
        <v>350000</v>
      </c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</row>
    <row r="33" spans="1:66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>
        <v>271506</v>
      </c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>
        <v>271506</v>
      </c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</row>
    <row r="34" spans="1:66" s="1" customFormat="1" x14ac:dyDescent="0.2">
      <c r="A34" s="36" t="s">
        <v>54</v>
      </c>
      <c r="B34" s="23"/>
      <c r="C34" s="60"/>
      <c r="D34" s="24"/>
      <c r="E34" s="24"/>
      <c r="F34" s="24"/>
      <c r="G34" s="24">
        <f>100113.9/2</f>
        <v>50056.95</v>
      </c>
      <c r="H34" s="24"/>
      <c r="I34" s="24"/>
      <c r="J34" s="24"/>
      <c r="K34" s="24"/>
      <c r="L34" s="24">
        <v>50000</v>
      </c>
      <c r="M34" s="24"/>
      <c r="N34" s="24">
        <f>100113.9/2</f>
        <v>50056.95</v>
      </c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</row>
    <row r="35" spans="1:66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>
        <v>200113.9</v>
      </c>
      <c r="AC35" s="24">
        <v>40000</v>
      </c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>
        <v>200113.9</v>
      </c>
      <c r="BI35" s="24"/>
      <c r="BJ35" s="24"/>
      <c r="BK35" s="24"/>
      <c r="BL35" s="24"/>
      <c r="BM35" s="24"/>
      <c r="BN35" s="24"/>
    </row>
    <row r="36" spans="1:66" s="1" customFormat="1" x14ac:dyDescent="0.2">
      <c r="A36" s="36" t="s">
        <v>53</v>
      </c>
      <c r="B36" s="23"/>
      <c r="C36" s="60"/>
      <c r="D36" s="24"/>
      <c r="E36" s="24"/>
      <c r="F36" s="24">
        <f t="shared" ref="F36:M36" si="2">545949/6</f>
        <v>90991.5</v>
      </c>
      <c r="G36" s="24">
        <f t="shared" si="2"/>
        <v>90991.5</v>
      </c>
      <c r="I36" s="24"/>
      <c r="J36" s="24"/>
      <c r="K36" s="24">
        <f t="shared" si="2"/>
        <v>90991.5</v>
      </c>
      <c r="L36" s="24"/>
      <c r="M36" s="24">
        <f t="shared" si="2"/>
        <v>90991.5</v>
      </c>
      <c r="N36" s="24">
        <v>140000</v>
      </c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>
        <v>545949</v>
      </c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>
        <v>545949</v>
      </c>
      <c r="BI36" s="24"/>
      <c r="BJ36" s="24"/>
      <c r="BK36" s="24"/>
      <c r="BL36" s="24"/>
      <c r="BM36" s="24"/>
      <c r="BN36" s="24"/>
    </row>
    <row r="37" spans="1:66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</row>
    <row r="38" spans="1:66" s="71" customFormat="1" x14ac:dyDescent="0.2">
      <c r="A38" s="69" t="s">
        <v>14</v>
      </c>
      <c r="B38" s="25" t="s">
        <v>30</v>
      </c>
      <c r="C38" s="70"/>
      <c r="D38" s="24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100">
        <v>774474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</row>
    <row r="39" spans="1:66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100">
        <f>312320/10</f>
        <v>31232</v>
      </c>
      <c r="H39" s="24"/>
      <c r="I39" s="24"/>
      <c r="J39" s="24"/>
      <c r="K39" s="24"/>
      <c r="L39" s="100">
        <f>312320/10</f>
        <v>31232</v>
      </c>
      <c r="M39" s="24"/>
      <c r="N39" s="24"/>
      <c r="O39" s="100">
        <f>312320/10</f>
        <v>31232</v>
      </c>
      <c r="P39" s="24"/>
      <c r="Q39" s="24"/>
      <c r="R39" s="108">
        <f>312320/10</f>
        <v>31232</v>
      </c>
      <c r="S39" s="24"/>
      <c r="T39" s="108">
        <f>312320/10</f>
        <v>31232</v>
      </c>
      <c r="U39" s="24"/>
      <c r="V39" s="108">
        <f>312320/10</f>
        <v>31232</v>
      </c>
      <c r="W39" s="24"/>
      <c r="X39" s="24"/>
      <c r="Y39" s="108">
        <v>124838</v>
      </c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</row>
    <row r="40" spans="1:66" s="71" customFormat="1" x14ac:dyDescent="0.2">
      <c r="A40" s="69" t="s">
        <v>117</v>
      </c>
      <c r="B40" s="25" t="s">
        <v>119</v>
      </c>
      <c r="C40" s="70">
        <f>691000-25000-25000-45500-25000-45000</f>
        <v>525500</v>
      </c>
      <c r="D40" s="24"/>
      <c r="E40" s="108">
        <v>25000</v>
      </c>
      <c r="F40" s="24"/>
      <c r="G40" s="108">
        <v>25000</v>
      </c>
      <c r="I40" s="24"/>
      <c r="J40" s="24"/>
      <c r="K40" s="108">
        <f>25000+25000</f>
        <v>50000</v>
      </c>
      <c r="L40" s="24"/>
      <c r="M40" s="24"/>
      <c r="N40" s="108">
        <v>150000</v>
      </c>
      <c r="O40" s="108">
        <v>100000</v>
      </c>
      <c r="P40" s="24"/>
      <c r="Q40" s="24"/>
      <c r="R40" s="24"/>
      <c r="S40" s="108">
        <v>100000</v>
      </c>
      <c r="T40" s="108">
        <v>75000</v>
      </c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</row>
    <row r="41" spans="1:66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H41" s="24"/>
      <c r="I41" s="24"/>
      <c r="J41" s="24"/>
      <c r="K41" s="108">
        <f>510600/2</f>
        <v>255300</v>
      </c>
      <c r="L41" s="24"/>
      <c r="M41" s="24"/>
      <c r="N41" s="24"/>
      <c r="O41" s="129">
        <f>510600/2</f>
        <v>255300</v>
      </c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100">
        <v>472500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</row>
    <row r="42" spans="1:66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1375000-500000-175000-50000-25000-25000-25000-50000-25000-50000-25000-25000-30000-25000-30000-25000-25000</f>
        <v>265000</v>
      </c>
      <c r="D42" s="24"/>
      <c r="E42" s="24"/>
      <c r="F42" s="129">
        <f>30000/2</f>
        <v>15000</v>
      </c>
      <c r="G42" s="24"/>
      <c r="I42" s="24"/>
      <c r="J42" s="24"/>
      <c r="L42" s="129">
        <f>95000/2</f>
        <v>47500</v>
      </c>
      <c r="M42" s="24"/>
      <c r="N42" s="129">
        <f>95000/2</f>
        <v>47500</v>
      </c>
      <c r="P42" s="24"/>
      <c r="Q42" s="24"/>
      <c r="R42" s="129">
        <f>30000/2</f>
        <v>15000</v>
      </c>
      <c r="S42" s="129">
        <v>40000</v>
      </c>
      <c r="T42" s="129">
        <v>25000</v>
      </c>
      <c r="U42" s="129">
        <v>25000</v>
      </c>
      <c r="V42" s="129">
        <v>50000</v>
      </c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</row>
    <row r="43" spans="1:66" s="71" customFormat="1" x14ac:dyDescent="0.2">
      <c r="A43" s="69" t="s">
        <v>15</v>
      </c>
      <c r="B43" s="25" t="s">
        <v>31</v>
      </c>
      <c r="C43" s="70">
        <f>2480914-516230-48700-50000-50000-50000-43000-42000-50000-55000</f>
        <v>1575984</v>
      </c>
      <c r="D43" s="24"/>
      <c r="E43" s="24"/>
      <c r="F43" s="140">
        <v>30000</v>
      </c>
      <c r="G43" s="108">
        <f>(516230/10)/2</f>
        <v>25811.5</v>
      </c>
      <c r="I43" s="24"/>
      <c r="J43" s="24"/>
      <c r="K43" s="108">
        <f>516230/10+112</f>
        <v>51735</v>
      </c>
      <c r="L43" s="108">
        <f>(516230/10)/2</f>
        <v>25811.5</v>
      </c>
      <c r="M43" s="108">
        <f t="shared" ref="M43:AO43" si="3">516230/10</f>
        <v>51623</v>
      </c>
      <c r="N43" s="108">
        <f t="shared" si="3"/>
        <v>51623</v>
      </c>
      <c r="O43" s="108">
        <f>516230/10</f>
        <v>51623</v>
      </c>
      <c r="P43" s="24"/>
      <c r="Q43" s="24"/>
      <c r="R43" s="108">
        <f>516230/10</f>
        <v>51623</v>
      </c>
      <c r="S43" s="108">
        <f>516230/10+15224</f>
        <v>66847</v>
      </c>
      <c r="T43" s="108">
        <f t="shared" ref="T43" si="4">516230/10</f>
        <v>51623</v>
      </c>
      <c r="U43" s="108">
        <f t="shared" ref="U43" si="5">(515224/4)/3</f>
        <v>42935.333333333336</v>
      </c>
      <c r="V43" s="108">
        <f>516230/10</f>
        <v>51623</v>
      </c>
      <c r="W43" s="24"/>
      <c r="X43" s="24"/>
      <c r="Z43" s="108">
        <f t="shared" ref="Z43:AC43" si="6">516230/10</f>
        <v>51623</v>
      </c>
      <c r="AA43" s="108">
        <f t="shared" si="6"/>
        <v>51623</v>
      </c>
      <c r="AB43" s="108">
        <f t="shared" si="6"/>
        <v>51623</v>
      </c>
      <c r="AC43" s="108">
        <f t="shared" si="6"/>
        <v>51623</v>
      </c>
      <c r="AD43" s="24"/>
      <c r="AE43" s="24"/>
      <c r="AF43" s="108">
        <f t="shared" ref="AF43:AJ43" si="7">516230/10</f>
        <v>51623</v>
      </c>
      <c r="AG43" s="108">
        <f t="shared" si="7"/>
        <v>51623</v>
      </c>
      <c r="AH43" s="108">
        <f t="shared" si="7"/>
        <v>51623</v>
      </c>
      <c r="AI43" s="108">
        <f t="shared" si="7"/>
        <v>51623</v>
      </c>
      <c r="AJ43" s="108">
        <f t="shared" si="7"/>
        <v>51623</v>
      </c>
      <c r="AK43" s="24"/>
      <c r="AL43" s="24"/>
      <c r="AM43" s="100">
        <v>516230</v>
      </c>
      <c r="AN43" s="108">
        <f>516230/10</f>
        <v>51623</v>
      </c>
      <c r="AO43" s="108">
        <f t="shared" si="3"/>
        <v>51623</v>
      </c>
      <c r="AP43" s="24"/>
      <c r="AQ43" s="98">
        <f>515224/4+54464</f>
        <v>183270</v>
      </c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</row>
    <row r="44" spans="1:66" s="71" customFormat="1" x14ac:dyDescent="0.2">
      <c r="A44" s="69" t="s">
        <v>85</v>
      </c>
      <c r="B44" s="25" t="s">
        <v>47</v>
      </c>
      <c r="C44" s="70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100">
        <f>2997.5*A6</f>
        <v>222701.06099999999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</row>
    <row r="45" spans="1:66" s="71" customFormat="1" x14ac:dyDescent="0.2">
      <c r="A45" s="69" t="s">
        <v>143</v>
      </c>
      <c r="B45" s="25" t="s">
        <v>45</v>
      </c>
      <c r="C45" s="24">
        <f>188496*A9</f>
        <v>2064709.7856000001</v>
      </c>
      <c r="D45" s="24"/>
      <c r="E45" s="24"/>
      <c r="F45" s="24"/>
      <c r="G45" s="24"/>
      <c r="H45" s="28"/>
      <c r="I45" s="24"/>
      <c r="J45" s="24"/>
      <c r="L45" s="24"/>
      <c r="M45" s="108">
        <f t="shared" ref="M45:AF45" si="8">(188496*$A$9)/15</f>
        <v>137647.31904</v>
      </c>
      <c r="N45" s="108">
        <f t="shared" si="8"/>
        <v>137647.31904</v>
      </c>
      <c r="P45" s="24"/>
      <c r="Q45" s="24"/>
      <c r="S45" s="108">
        <f t="shared" ref="S45:AG45" si="9">(188496*$A$9)/15</f>
        <v>137647.31904</v>
      </c>
      <c r="U45" s="108">
        <f t="shared" si="9"/>
        <v>137647.31904</v>
      </c>
      <c r="V45" s="108">
        <f t="shared" si="9"/>
        <v>137647.31904</v>
      </c>
      <c r="W45" s="24"/>
      <c r="X45" s="24"/>
      <c r="Y45" s="108">
        <f>(188496*$A$9)/15</f>
        <v>137647.31904</v>
      </c>
      <c r="Z45" s="108">
        <f t="shared" ref="Z45:AB45" si="10">(188496*$A$9)/15</f>
        <v>137647.31904</v>
      </c>
      <c r="AA45" s="108">
        <f t="shared" si="10"/>
        <v>137647.31904</v>
      </c>
      <c r="AB45" s="108">
        <f t="shared" si="10"/>
        <v>137647.31904</v>
      </c>
      <c r="AC45" s="28"/>
      <c r="AD45" s="24"/>
      <c r="AE45" s="24"/>
      <c r="AF45" s="108">
        <f t="shared" si="8"/>
        <v>137647.31904</v>
      </c>
      <c r="AG45" s="108">
        <f t="shared" si="9"/>
        <v>137647.31904</v>
      </c>
      <c r="AH45" s="108">
        <f>((188496*$A$9)/15)*2</f>
        <v>275294.63808</v>
      </c>
      <c r="AI45" s="108">
        <f>(188496*$A$9)/15</f>
        <v>137647.31904</v>
      </c>
      <c r="AJ45" s="24"/>
      <c r="AK45" s="24"/>
      <c r="AL45" s="24"/>
      <c r="AM45" s="108">
        <f>(188496*$A$9)/15</f>
        <v>137647.31904</v>
      </c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</row>
    <row r="46" spans="1:66" s="71" customFormat="1" x14ac:dyDescent="0.2">
      <c r="A46" s="69" t="s">
        <v>120</v>
      </c>
      <c r="B46" s="25" t="s">
        <v>121</v>
      </c>
      <c r="C46" s="120">
        <f>507000+1014000-47000-56000-45000</f>
        <v>1373000</v>
      </c>
      <c r="D46" s="24"/>
      <c r="E46" s="108">
        <v>45000</v>
      </c>
      <c r="F46" s="24"/>
      <c r="G46" s="108">
        <f t="shared" ref="G46:V46" si="11">507000/9</f>
        <v>56333.333333333336</v>
      </c>
      <c r="H46" s="28"/>
      <c r="I46" s="24"/>
      <c r="J46" s="24"/>
      <c r="K46" s="108">
        <f t="shared" ref="K46:AN46" si="12">1014000/11</f>
        <v>92181.818181818177</v>
      </c>
      <c r="L46" s="24"/>
      <c r="N46" s="108">
        <f t="shared" si="12"/>
        <v>92181.818181818177</v>
      </c>
      <c r="P46" s="24"/>
      <c r="Q46" s="24"/>
      <c r="R46" s="108">
        <f>507000/9</f>
        <v>56333.333333333336</v>
      </c>
      <c r="S46" s="24"/>
      <c r="T46" s="108">
        <f t="shared" si="11"/>
        <v>56333.333333333336</v>
      </c>
      <c r="U46" s="24"/>
      <c r="V46" s="108">
        <f t="shared" si="11"/>
        <v>56333.333333333336</v>
      </c>
      <c r="W46" s="24"/>
      <c r="X46" s="24"/>
      <c r="Y46" s="108">
        <f t="shared" ref="Y46:AO46" si="13">507000/9</f>
        <v>56333.333333333336</v>
      </c>
      <c r="AA46" s="108">
        <f t="shared" si="13"/>
        <v>56333.333333333336</v>
      </c>
      <c r="AB46" s="108">
        <f>(1014000/11+88393.5*$A$9)/6</f>
        <v>176734.80996363636</v>
      </c>
      <c r="AC46" s="108">
        <f t="shared" ref="AC46:AG46" si="14">1014000/11</f>
        <v>92181.818181818177</v>
      </c>
      <c r="AD46" s="24"/>
      <c r="AE46" s="100">
        <v>682560</v>
      </c>
      <c r="AF46" s="108">
        <f>(1014000/11)/2</f>
        <v>46090.909090909088</v>
      </c>
      <c r="AG46" s="108">
        <f t="shared" si="14"/>
        <v>92181.818181818177</v>
      </c>
      <c r="AH46" s="108">
        <f>(1014000/11+88393.5*$A$9)/6</f>
        <v>176734.80996363636</v>
      </c>
      <c r="AI46" s="108">
        <f t="shared" si="12"/>
        <v>92181.818181818177</v>
      </c>
      <c r="AJ46" s="108">
        <f>(1014000/11)*2+9333.33</f>
        <v>193696.96636363634</v>
      </c>
      <c r="AK46" s="24"/>
      <c r="AL46" s="24"/>
      <c r="AM46" s="108">
        <v>991000</v>
      </c>
      <c r="AN46" s="108">
        <f t="shared" si="12"/>
        <v>92181.818181818177</v>
      </c>
      <c r="AO46" s="108">
        <f t="shared" si="13"/>
        <v>56333.333333333336</v>
      </c>
      <c r="AP46" s="108">
        <f>(1014000/11+88393.5*$A$9)/6</f>
        <v>176734.80996363636</v>
      </c>
      <c r="AQ46" s="108">
        <f>(1014000/11+88393.5*$A$9)/6</f>
        <v>176734.80996363636</v>
      </c>
      <c r="AR46" s="24"/>
      <c r="AS46" s="24"/>
      <c r="AT46" s="108">
        <f>(1014000/11+88393.5*$A$9)/6</f>
        <v>176734.80996363636</v>
      </c>
      <c r="AU46" s="108">
        <f>(1014000/11+88393.5*$A$9)/6</f>
        <v>176734.80996363636</v>
      </c>
      <c r="AV46" s="108">
        <f>(1014000/11+88393.5*$A$9)/6</f>
        <v>176734.80996363636</v>
      </c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</row>
    <row r="47" spans="1:66" s="73" customFormat="1" x14ac:dyDescent="0.2">
      <c r="A47" s="69" t="s">
        <v>22</v>
      </c>
      <c r="B47" s="25" t="s">
        <v>48</v>
      </c>
      <c r="C47" s="137"/>
      <c r="D47" s="72"/>
      <c r="E47" s="72"/>
      <c r="G47" s="72"/>
      <c r="H47" s="72"/>
      <c r="I47" s="72"/>
      <c r="J47" s="72"/>
      <c r="K47" s="72"/>
      <c r="L47" s="160">
        <f t="shared" ref="L47:AB47" si="15">(52206*$A$9+2988*$A$6)/10</f>
        <v>79383.889439999999</v>
      </c>
      <c r="M47" s="108">
        <f>(1014000/11)/2</f>
        <v>46090.909090909088</v>
      </c>
      <c r="N47" s="160">
        <f t="shared" si="15"/>
        <v>79383.889439999999</v>
      </c>
      <c r="O47" s="160">
        <f>((52206*$A$9+2988*$A$6)/10)*2</f>
        <v>158767.77888</v>
      </c>
      <c r="P47" s="72"/>
      <c r="Q47" s="72"/>
      <c r="S47" s="72"/>
      <c r="T47" s="160">
        <f>(52206*$A$9)/6</f>
        <v>95307.2736</v>
      </c>
      <c r="U47" s="72"/>
      <c r="V47" s="160">
        <f>(52206*$A$9+2988*$A$6)/10</f>
        <v>79383.889439999999</v>
      </c>
      <c r="W47" s="72"/>
      <c r="X47" s="72"/>
      <c r="Y47" s="72"/>
      <c r="Z47" s="160">
        <f t="shared" ref="Z47" si="16">(52206*$A$9+2988*$A$6)/10</f>
        <v>79383.889439999999</v>
      </c>
      <c r="AB47" s="160">
        <f t="shared" si="15"/>
        <v>79383.889439999999</v>
      </c>
      <c r="AC47" s="166">
        <f>62000*$A$9</f>
        <v>679123.2</v>
      </c>
      <c r="AD47" s="72"/>
      <c r="AE47" s="72"/>
      <c r="AG47" s="160">
        <f>(109170*$A$9)/5</f>
        <v>239160.90239999996</v>
      </c>
      <c r="AH47" s="160">
        <f t="shared" ref="AH47:AI47" si="17">(109170*$A$9)/5</f>
        <v>239160.90239999996</v>
      </c>
      <c r="AI47" s="160">
        <f t="shared" si="17"/>
        <v>239160.90239999996</v>
      </c>
      <c r="AJ47" s="72"/>
      <c r="AK47" s="72"/>
      <c r="AL47" s="72"/>
      <c r="AM47" s="160">
        <f t="shared" ref="AM47:AN47" si="18">(109170*$A$9)/5</f>
        <v>239160.90239999996</v>
      </c>
      <c r="AN47" s="160">
        <f t="shared" si="18"/>
        <v>239160.90239999996</v>
      </c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</row>
    <row r="48" spans="1:66" s="73" customFormat="1" x14ac:dyDescent="0.2">
      <c r="A48" s="69" t="s">
        <v>108</v>
      </c>
      <c r="B48" s="25" t="s">
        <v>109</v>
      </c>
      <c r="C48" s="120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138">
        <f>50531.25/2</f>
        <v>25265.625</v>
      </c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</row>
    <row r="49" spans="1:66" s="71" customFormat="1" x14ac:dyDescent="0.2">
      <c r="A49" s="69" t="s">
        <v>36</v>
      </c>
      <c r="B49" s="25" t="s">
        <v>37</v>
      </c>
      <c r="C49" s="130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</row>
    <row r="50" spans="1:66" s="71" customFormat="1" x14ac:dyDescent="0.2">
      <c r="A50" s="69" t="s">
        <v>86</v>
      </c>
      <c r="B50" s="25" t="s">
        <v>35</v>
      </c>
      <c r="C50" s="70"/>
      <c r="D50" s="77"/>
      <c r="E50" s="24"/>
      <c r="F50" s="24"/>
      <c r="H50" s="24"/>
      <c r="I50" s="24"/>
      <c r="J50" s="24"/>
      <c r="K50" s="100">
        <f>490*A6</f>
        <v>36404.843999999997</v>
      </c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100">
        <f>2850*A6</f>
        <v>211742.46</v>
      </c>
      <c r="AB50" s="24"/>
      <c r="AC50" s="95">
        <v>100000</v>
      </c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</row>
    <row r="51" spans="1:66" s="71" customFormat="1" x14ac:dyDescent="0.2">
      <c r="A51" s="69" t="s">
        <v>29</v>
      </c>
      <c r="B51" s="25" t="s">
        <v>43</v>
      </c>
      <c r="C51" s="70">
        <f>439750-19750-25000-25000-25000-20000-20000</f>
        <v>305000</v>
      </c>
      <c r="D51" s="24"/>
      <c r="E51" s="24"/>
      <c r="F51" s="28"/>
      <c r="G51" s="24"/>
      <c r="I51" s="24"/>
      <c r="J51" s="24"/>
      <c r="L51" s="95">
        <v>25000</v>
      </c>
      <c r="M51" s="24"/>
      <c r="N51" s="95">
        <v>50000</v>
      </c>
      <c r="P51" s="24"/>
      <c r="Q51" s="24"/>
      <c r="R51" s="95">
        <v>35000</v>
      </c>
      <c r="S51" s="24"/>
      <c r="T51" s="24"/>
      <c r="U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</row>
    <row r="52" spans="1:66" s="71" customFormat="1" x14ac:dyDescent="0.2">
      <c r="A52" s="69" t="s">
        <v>141</v>
      </c>
      <c r="B52" s="25" t="s">
        <v>142</v>
      </c>
      <c r="C52" s="70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100">
        <v>55053.72</v>
      </c>
      <c r="O52" s="28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95">
        <v>50000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</row>
    <row r="53" spans="1:66" s="71" customFormat="1" x14ac:dyDescent="0.2">
      <c r="A53" s="69" t="s">
        <v>146</v>
      </c>
      <c r="B53" s="25" t="s">
        <v>147</v>
      </c>
      <c r="C53" s="70"/>
      <c r="D53" s="24"/>
      <c r="E53" s="24"/>
      <c r="F53" s="24"/>
      <c r="G53" s="24"/>
      <c r="H53" s="24"/>
      <c r="I53" s="24"/>
      <c r="J53" s="24"/>
      <c r="K53" s="100">
        <v>90000</v>
      </c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</row>
    <row r="54" spans="1:66" s="71" customFormat="1" x14ac:dyDescent="0.2">
      <c r="A54" s="69" t="s">
        <v>149</v>
      </c>
      <c r="B54" s="25" t="s">
        <v>148</v>
      </c>
      <c r="C54" s="70"/>
      <c r="D54" s="24"/>
      <c r="E54" s="24"/>
      <c r="F54" s="24"/>
      <c r="G54" s="24"/>
      <c r="H54" s="24"/>
      <c r="I54" s="24"/>
      <c r="J54" s="24"/>
      <c r="K54" s="28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</row>
    <row r="55" spans="1:66" s="71" customFormat="1" x14ac:dyDescent="0.2">
      <c r="A55" s="69" t="s">
        <v>124</v>
      </c>
      <c r="B55" s="25" t="s">
        <v>125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100">
        <v>203210</v>
      </c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</row>
    <row r="56" spans="1:66" s="71" customFormat="1" x14ac:dyDescent="0.2">
      <c r="A56" s="69" t="s">
        <v>40</v>
      </c>
      <c r="B56" s="25" t="s">
        <v>44</v>
      </c>
      <c r="C56" s="7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100">
        <v>1524</v>
      </c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</row>
    <row r="57" spans="1:66" s="71" customFormat="1" x14ac:dyDescent="0.2">
      <c r="A57" s="69" t="s">
        <v>90</v>
      </c>
      <c r="B57" s="25" t="s">
        <v>91</v>
      </c>
      <c r="C57" s="70">
        <f>912000+1012000-100000-100000-75000-75000-75000-75000-75000-75000-75000-75000-75000-75000</f>
        <v>974000</v>
      </c>
      <c r="D57" s="77"/>
      <c r="E57" s="24"/>
      <c r="G57" s="129">
        <v>75000</v>
      </c>
      <c r="I57" s="24"/>
      <c r="J57" s="24"/>
      <c r="K57" s="129">
        <v>75000</v>
      </c>
      <c r="L57" s="24"/>
      <c r="M57" s="28"/>
      <c r="N57" s="129">
        <v>100000</v>
      </c>
      <c r="O57" s="129">
        <v>100000</v>
      </c>
      <c r="P57" s="24"/>
      <c r="Q57" s="24"/>
      <c r="R57" s="129">
        <v>100000</v>
      </c>
      <c r="S57" s="24"/>
      <c r="U57" s="129">
        <v>124000</v>
      </c>
      <c r="V57" s="129">
        <v>100000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</row>
    <row r="58" spans="1:66" s="71" customFormat="1" x14ac:dyDescent="0.2">
      <c r="A58" s="69" t="s">
        <v>144</v>
      </c>
      <c r="B58" s="25" t="s">
        <v>145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</row>
    <row r="59" spans="1:66" s="71" customFormat="1" x14ac:dyDescent="0.2">
      <c r="A59" s="69" t="s">
        <v>138</v>
      </c>
      <c r="B59" s="25" t="s">
        <v>136</v>
      </c>
      <c r="C59" s="70"/>
      <c r="D59" s="77"/>
      <c r="F59" s="24"/>
      <c r="G59" s="100">
        <f t="shared" ref="G59:R59" si="19">(4260*$A$6)/6</f>
        <v>52749.875999999997</v>
      </c>
      <c r="I59" s="24"/>
      <c r="J59" s="24"/>
      <c r="K59" s="24"/>
      <c r="L59" s="100">
        <f t="shared" si="19"/>
        <v>52749.875999999997</v>
      </c>
      <c r="M59" s="24"/>
      <c r="N59" s="100">
        <f t="shared" si="19"/>
        <v>52749.875999999997</v>
      </c>
      <c r="O59" s="100">
        <f t="shared" si="19"/>
        <v>52749.875999999997</v>
      </c>
      <c r="P59" s="24"/>
      <c r="Q59" s="24"/>
      <c r="R59" s="100">
        <f t="shared" si="19"/>
        <v>52749.875999999997</v>
      </c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</row>
    <row r="60" spans="1:66" s="71" customFormat="1" x14ac:dyDescent="0.2">
      <c r="A60" s="69" t="s">
        <v>102</v>
      </c>
      <c r="B60" s="25" t="s">
        <v>103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</row>
    <row r="61" spans="1:66" s="71" customFormat="1" ht="12.75" customHeight="1" x14ac:dyDescent="0.2">
      <c r="A61" s="151" t="s">
        <v>139</v>
      </c>
      <c r="B61" s="152" t="s">
        <v>114</v>
      </c>
      <c r="C61" s="70"/>
      <c r="D61" s="77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</row>
    <row r="62" spans="1:66" s="71" customFormat="1" x14ac:dyDescent="0.2">
      <c r="A62" s="69" t="s">
        <v>155</v>
      </c>
      <c r="B62" s="25" t="s">
        <v>152</v>
      </c>
      <c r="C62" s="70"/>
      <c r="D62" s="77"/>
      <c r="E62" s="100">
        <v>30764.5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</row>
    <row r="63" spans="1:66" s="71" customFormat="1" x14ac:dyDescent="0.2">
      <c r="A63" s="69" t="s">
        <v>128</v>
      </c>
      <c r="B63" s="25" t="s">
        <v>129</v>
      </c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</row>
    <row r="64" spans="1:66" s="71" customFormat="1" x14ac:dyDescent="0.2">
      <c r="A64" s="69" t="s">
        <v>101</v>
      </c>
      <c r="B64" s="25" t="s">
        <v>130</v>
      </c>
      <c r="C64" s="70">
        <f>110000-25000-25000-10000</f>
        <v>50000</v>
      </c>
      <c r="D64" s="77"/>
      <c r="E64" s="108">
        <f>25000/2</f>
        <v>12500</v>
      </c>
      <c r="F64" s="24"/>
      <c r="G64" s="24"/>
      <c r="H64" s="24"/>
      <c r="I64" s="24"/>
      <c r="J64" s="24"/>
      <c r="K64" s="24"/>
      <c r="L64" s="24"/>
      <c r="M64" s="24"/>
      <c r="N64" s="108">
        <f>100000/4</f>
        <v>25000</v>
      </c>
      <c r="O64" s="108">
        <f>25000/2</f>
        <v>12500</v>
      </c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</row>
    <row r="65" spans="1:66" s="71" customFormat="1" x14ac:dyDescent="0.2">
      <c r="A65" s="69" t="s">
        <v>154</v>
      </c>
      <c r="B65" s="25" t="s">
        <v>153</v>
      </c>
      <c r="C65" s="70"/>
      <c r="D65" s="77"/>
      <c r="E65" s="100">
        <v>2312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</row>
    <row r="66" spans="1:66" s="71" customFormat="1" x14ac:dyDescent="0.2">
      <c r="A66" s="69" t="s">
        <v>38</v>
      </c>
      <c r="B66" s="25" t="s">
        <v>39</v>
      </c>
      <c r="C66" s="70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</row>
    <row r="67" spans="1:66" s="71" customFormat="1" x14ac:dyDescent="0.2">
      <c r="A67" s="69" t="s">
        <v>74</v>
      </c>
      <c r="B67" s="25" t="s">
        <v>131</v>
      </c>
      <c r="C67" s="70"/>
      <c r="D67" s="24"/>
      <c r="F67" s="24"/>
      <c r="G67" s="100">
        <v>12500</v>
      </c>
      <c r="I67" s="24"/>
      <c r="J67" s="24"/>
      <c r="K67" s="100">
        <f>80000/2</f>
        <v>40000</v>
      </c>
      <c r="L67" s="24"/>
      <c r="M67" s="100">
        <v>15000</v>
      </c>
      <c r="N67" s="24"/>
      <c r="O67" s="100">
        <v>11667</v>
      </c>
      <c r="P67" s="24"/>
      <c r="Q67" s="24"/>
      <c r="R67" s="100">
        <f>7500+16500</f>
        <v>24000</v>
      </c>
      <c r="S67" s="24"/>
      <c r="U67" s="24"/>
      <c r="V67" s="100">
        <v>10000</v>
      </c>
      <c r="W67" s="24"/>
      <c r="X67" s="24"/>
      <c r="Y67" s="100">
        <v>30000</v>
      </c>
      <c r="Z67" s="24"/>
      <c r="AA67" s="24"/>
      <c r="AB67" s="100">
        <v>30000</v>
      </c>
      <c r="AC67" s="24"/>
      <c r="AD67" s="24"/>
      <c r="AE67" s="100">
        <v>12000</v>
      </c>
      <c r="AF67" s="24"/>
      <c r="AG67" s="24"/>
      <c r="AH67" s="100">
        <v>9500</v>
      </c>
      <c r="AI67" s="24"/>
      <c r="AJ67" s="100">
        <v>22000</v>
      </c>
      <c r="AK67" s="24"/>
      <c r="AL67" s="24"/>
      <c r="AM67" s="100">
        <v>20000</v>
      </c>
      <c r="AN67" s="24"/>
      <c r="AO67" s="24"/>
      <c r="AP67" s="143">
        <v>40000</v>
      </c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</row>
    <row r="68" spans="1:66" s="71" customFormat="1" x14ac:dyDescent="0.2">
      <c r="A68" s="69" t="s">
        <v>74</v>
      </c>
      <c r="B68" s="25" t="s">
        <v>150</v>
      </c>
      <c r="C68" s="164">
        <v>3567700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</row>
    <row r="69" spans="1:66" s="73" customFormat="1" x14ac:dyDescent="0.2">
      <c r="A69" s="78"/>
      <c r="B69" s="79"/>
      <c r="C69" s="75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</row>
    <row r="70" spans="1:66" s="94" customFormat="1" ht="33.75" x14ac:dyDescent="0.2">
      <c r="A70" s="91" t="s">
        <v>60</v>
      </c>
      <c r="B70" s="92" t="s">
        <v>58</v>
      </c>
      <c r="C70" s="93">
        <v>248639.70012000017</v>
      </c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3"/>
      <c r="BK70" s="93"/>
      <c r="BL70" s="93"/>
      <c r="BM70" s="93"/>
      <c r="BN70" s="93"/>
    </row>
    <row r="71" spans="1:66" s="5" customFormat="1" x14ac:dyDescent="0.2">
      <c r="A71" s="42"/>
      <c r="B71" s="12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</row>
    <row r="72" spans="1:66" s="5" customFormat="1" x14ac:dyDescent="0.2">
      <c r="A72" s="36" t="s">
        <v>49</v>
      </c>
      <c r="B72" s="12"/>
      <c r="C72" s="13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>
        <f>1400000+7400*A3</f>
        <v>2038406.88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</row>
    <row r="73" spans="1:66" s="5" customFormat="1" x14ac:dyDescent="0.2">
      <c r="A73" s="36" t="s">
        <v>57</v>
      </c>
      <c r="B73" s="12"/>
      <c r="C73" s="68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68">
        <v>1600000</v>
      </c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</row>
    <row r="74" spans="1:66" s="5" customFormat="1" x14ac:dyDescent="0.2">
      <c r="A74" s="36" t="s">
        <v>61</v>
      </c>
      <c r="B74" s="12"/>
      <c r="C74" s="13">
        <v>112000</v>
      </c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>
        <f>4600*$A$3</f>
        <v>396847.51999999996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</row>
    <row r="75" spans="1:66" s="5" customFormat="1" x14ac:dyDescent="0.2">
      <c r="A75" s="42" t="s">
        <v>151</v>
      </c>
      <c r="B75" s="12"/>
      <c r="C75" s="68">
        <f>(10000*10)*A6</f>
        <v>7429559.9999999991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26">
        <f>C75/2</f>
        <v>3714779.9999999995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</row>
    <row r="76" spans="1:66" s="5" customFormat="1" x14ac:dyDescent="0.2">
      <c r="A76" s="36" t="s">
        <v>72</v>
      </c>
      <c r="B76" s="27" t="s">
        <v>73</v>
      </c>
      <c r="C76" s="62">
        <v>3637079.2460000003</v>
      </c>
      <c r="D76" s="35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</row>
    <row r="77" spans="1:66" s="5" customFormat="1" x14ac:dyDescent="0.2">
      <c r="A77" s="42"/>
      <c r="B77" s="12"/>
      <c r="C77" s="61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</row>
    <row r="78" spans="1:66" s="84" customFormat="1" x14ac:dyDescent="0.2">
      <c r="A78" s="81" t="s">
        <v>66</v>
      </c>
      <c r="B78" s="82"/>
      <c r="C78" s="63"/>
      <c r="D78" s="83"/>
      <c r="E78" s="83">
        <f>$C$5+E16-E26</f>
        <v>6114588.7550649354</v>
      </c>
      <c r="F78" s="83">
        <f t="shared" ref="F78:BN78" si="20">E78+F16-F26</f>
        <v>6628597.2550649354</v>
      </c>
      <c r="G78" s="83">
        <f t="shared" si="20"/>
        <v>6208922.0957316021</v>
      </c>
      <c r="H78" s="83">
        <f t="shared" si="20"/>
        <v>6208922.0957316021</v>
      </c>
      <c r="I78" s="83">
        <f t="shared" si="20"/>
        <v>6208922.0957316021</v>
      </c>
      <c r="J78" s="83">
        <f t="shared" si="20"/>
        <v>6208922.0957316021</v>
      </c>
      <c r="K78" s="83">
        <f t="shared" si="20"/>
        <v>7155802.9335497841</v>
      </c>
      <c r="L78" s="83">
        <f t="shared" si="20"/>
        <v>6844125.6681097839</v>
      </c>
      <c r="M78" s="83">
        <f t="shared" si="20"/>
        <v>6502772.9399788752</v>
      </c>
      <c r="N78" s="83">
        <f t="shared" si="20"/>
        <v>7610823.9481170569</v>
      </c>
      <c r="O78" s="83">
        <f t="shared" si="20"/>
        <v>5556724.6682370566</v>
      </c>
      <c r="P78" s="83">
        <f t="shared" si="20"/>
        <v>5556724.6682370566</v>
      </c>
      <c r="Q78" s="83">
        <f t="shared" si="20"/>
        <v>5556724.6682370566</v>
      </c>
      <c r="R78" s="83">
        <f t="shared" si="20"/>
        <v>4987576.4589037234</v>
      </c>
      <c r="S78" s="83">
        <f t="shared" si="20"/>
        <v>4641558.1398637239</v>
      </c>
      <c r="T78" s="83">
        <f t="shared" si="20"/>
        <v>4307062.5329303909</v>
      </c>
      <c r="U78" s="83">
        <f t="shared" si="20"/>
        <v>3627479.8805570574</v>
      </c>
      <c r="V78" s="83">
        <f t="shared" si="20"/>
        <v>3111260.3387437239</v>
      </c>
      <c r="W78" s="83">
        <f t="shared" si="20"/>
        <v>3111260.3387437239</v>
      </c>
      <c r="X78" s="83">
        <f t="shared" si="20"/>
        <v>3111260.3387437239</v>
      </c>
      <c r="Y78" s="83">
        <f t="shared" si="20"/>
        <v>2762441.6863703905</v>
      </c>
      <c r="Z78" s="83">
        <f t="shared" si="20"/>
        <v>-734493.85544294305</v>
      </c>
      <c r="AA78" s="83">
        <f t="shared" si="20"/>
        <v>-1464541.0288162762</v>
      </c>
      <c r="AB78" s="83">
        <f t="shared" si="20"/>
        <v>-2685992.9472599127</v>
      </c>
      <c r="AC78" s="83">
        <f t="shared" si="20"/>
        <v>-3648920.9654417308</v>
      </c>
      <c r="AD78" s="83">
        <f t="shared" si="20"/>
        <v>-3648920.9654417308</v>
      </c>
      <c r="AE78" s="83">
        <f t="shared" si="20"/>
        <v>-4343480.9654417308</v>
      </c>
      <c r="AF78" s="83">
        <f t="shared" si="20"/>
        <v>-4578842.1935726395</v>
      </c>
      <c r="AG78" s="83">
        <f t="shared" si="20"/>
        <v>-5571955.2331944574</v>
      </c>
      <c r="AH78" s="83">
        <f t="shared" si="20"/>
        <v>-6324268.5836380934</v>
      </c>
      <c r="AI78" s="83">
        <f t="shared" si="20"/>
        <v>-6844881.6232599113</v>
      </c>
      <c r="AJ78" s="83">
        <f t="shared" si="20"/>
        <v>-7112201.5896235481</v>
      </c>
      <c r="AK78" s="83">
        <f t="shared" si="20"/>
        <v>-7112201.5896235481</v>
      </c>
      <c r="AL78" s="83">
        <f t="shared" si="20"/>
        <v>-7112201.5896235481</v>
      </c>
      <c r="AM78" s="83">
        <f t="shared" si="20"/>
        <v>-9287745.8110635486</v>
      </c>
      <c r="AN78" s="83">
        <f t="shared" si="20"/>
        <v>-9670711.5316453669</v>
      </c>
      <c r="AO78" s="83">
        <f t="shared" si="20"/>
        <v>-9778667.8649787009</v>
      </c>
      <c r="AP78" s="83">
        <f t="shared" si="20"/>
        <v>-9995402.674942337</v>
      </c>
      <c r="AQ78" s="83">
        <f t="shared" si="20"/>
        <v>-10355407.484905973</v>
      </c>
      <c r="AR78" s="83">
        <f t="shared" si="20"/>
        <v>-10355407.484905973</v>
      </c>
      <c r="AS78" s="83">
        <f t="shared" si="20"/>
        <v>-10355407.484905973</v>
      </c>
      <c r="AT78" s="83">
        <f t="shared" si="20"/>
        <v>-10532142.294869609</v>
      </c>
      <c r="AU78" s="83">
        <f t="shared" si="20"/>
        <v>-10708877.104833245</v>
      </c>
      <c r="AV78" s="83">
        <f t="shared" si="20"/>
        <v>-10885611.914796881</v>
      </c>
      <c r="AW78" s="83">
        <f t="shared" si="20"/>
        <v>-10885611.914796881</v>
      </c>
      <c r="AX78" s="83">
        <f t="shared" si="20"/>
        <v>-8154626.9147968814</v>
      </c>
      <c r="AY78" s="83">
        <f t="shared" si="20"/>
        <v>-8154626.9147968814</v>
      </c>
      <c r="AZ78" s="83">
        <f t="shared" si="20"/>
        <v>-8154626.9147968814</v>
      </c>
      <c r="BA78" s="83">
        <f t="shared" si="20"/>
        <v>-8154626.9147968814</v>
      </c>
      <c r="BB78" s="83">
        <f t="shared" si="20"/>
        <v>-8154626.9147968814</v>
      </c>
      <c r="BC78" s="83">
        <f t="shared" si="20"/>
        <v>-8154626.9147968814</v>
      </c>
      <c r="BD78" s="83">
        <f t="shared" si="20"/>
        <v>-8154626.9147968814</v>
      </c>
      <c r="BE78" s="83">
        <f t="shared" si="20"/>
        <v>-8154626.9147968814</v>
      </c>
      <c r="BF78" s="83">
        <f t="shared" si="20"/>
        <v>-8154626.9147968814</v>
      </c>
      <c r="BG78" s="83">
        <f t="shared" si="20"/>
        <v>-8154626.9147968814</v>
      </c>
      <c r="BH78" s="83">
        <f t="shared" si="20"/>
        <v>-5829435.094796882</v>
      </c>
      <c r="BI78" s="83">
        <f t="shared" si="20"/>
        <v>-5829435.094796882</v>
      </c>
      <c r="BJ78" s="83">
        <f t="shared" si="20"/>
        <v>-5829435.094796882</v>
      </c>
      <c r="BK78" s="83">
        <f t="shared" si="20"/>
        <v>-5829435.094796882</v>
      </c>
      <c r="BL78" s="83">
        <f t="shared" si="20"/>
        <v>-5829435.094796882</v>
      </c>
      <c r="BM78" s="83">
        <f t="shared" si="20"/>
        <v>-5829435.094796882</v>
      </c>
      <c r="BN78" s="83">
        <f t="shared" si="20"/>
        <v>-5829435.094796882</v>
      </c>
    </row>
    <row r="80" spans="1:66" s="5" customFormat="1" x14ac:dyDescent="0.2">
      <c r="A80" s="42"/>
      <c r="B80" s="12"/>
      <c r="C80" s="68"/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</row>
    <row r="81" spans="1:66" s="89" customFormat="1" x14ac:dyDescent="0.2">
      <c r="A81" s="85" t="s">
        <v>65</v>
      </c>
      <c r="B81" s="86"/>
      <c r="C81" s="87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</row>
    <row r="82" spans="1:66" s="5" customFormat="1" ht="22.5" x14ac:dyDescent="0.2">
      <c r="A82" s="36" t="s">
        <v>67</v>
      </c>
      <c r="B82" s="27" t="s">
        <v>68</v>
      </c>
      <c r="C82" s="68">
        <v>3221210.79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</row>
    <row r="83" spans="1:66" s="5" customFormat="1" x14ac:dyDescent="0.2">
      <c r="A83" s="36" t="s">
        <v>69</v>
      </c>
      <c r="B83" s="27" t="s">
        <v>70</v>
      </c>
      <c r="C83" s="68">
        <v>9814338.4000000004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</row>
    <row r="84" spans="1:66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</row>
    <row r="85" spans="1:66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</row>
    <row r="87" spans="1:66" x14ac:dyDescent="0.25">
      <c r="B87" s="14"/>
    </row>
  </sheetData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87"/>
  <sheetViews>
    <sheetView workbookViewId="0">
      <selection activeCell="H29" sqref="H29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1.85546875" style="3" customWidth="1"/>
    <col min="6" max="6" width="13.140625" style="3" customWidth="1"/>
    <col min="7" max="7" width="11.7109375" style="3" customWidth="1"/>
    <col min="8" max="8" width="12.5703125" style="3" customWidth="1"/>
    <col min="9" max="9" width="15.7109375" style="3" customWidth="1"/>
    <col min="10" max="10" width="12.7109375" style="3" customWidth="1"/>
    <col min="11" max="12" width="12.85546875" style="3" customWidth="1"/>
    <col min="13" max="14" width="11.85546875" style="3" customWidth="1"/>
    <col min="15" max="15" width="13" style="3" customWidth="1"/>
    <col min="16" max="16" width="12.28515625" style="3" customWidth="1"/>
    <col min="17" max="17" width="12.140625" style="3" customWidth="1"/>
    <col min="18" max="18" width="11.140625" style="3" customWidth="1"/>
    <col min="19" max="19" width="12.7109375" style="3" customWidth="1"/>
    <col min="20" max="20" width="11.140625" style="3" customWidth="1"/>
    <col min="21" max="21" width="11.7109375" style="3" customWidth="1"/>
    <col min="22" max="22" width="11.5703125" style="3" customWidth="1"/>
    <col min="23" max="24" width="10.85546875" style="3" customWidth="1"/>
    <col min="25" max="25" width="12.85546875" style="3" customWidth="1"/>
    <col min="26" max="26" width="12" style="3" customWidth="1"/>
    <col min="27" max="27" width="11.140625" style="3" customWidth="1"/>
    <col min="28" max="28" width="12.7109375" style="3" customWidth="1"/>
    <col min="29" max="29" width="11.42578125" style="3" customWidth="1"/>
    <col min="30" max="30" width="11.7109375" style="3" customWidth="1"/>
    <col min="31" max="31" width="10.5703125" style="3" customWidth="1"/>
    <col min="32" max="32" width="12" style="3" customWidth="1"/>
    <col min="33" max="33" width="11.140625" style="3" customWidth="1"/>
    <col min="34" max="34" width="10.42578125" style="3" customWidth="1"/>
    <col min="35" max="35" width="14" style="3" customWidth="1"/>
    <col min="36" max="36" width="10.42578125" style="3" customWidth="1"/>
    <col min="37" max="37" width="12.5703125" style="3" customWidth="1"/>
    <col min="38" max="38" width="13.28515625" style="3" customWidth="1"/>
    <col min="39" max="39" width="12.140625" style="3" customWidth="1"/>
    <col min="40" max="40" width="12.42578125" style="3" customWidth="1"/>
    <col min="41" max="41" width="12.28515625" style="3" customWidth="1"/>
    <col min="42" max="42" width="12.7109375" style="3" customWidth="1"/>
    <col min="43" max="43" width="11.28515625" style="3" customWidth="1"/>
    <col min="44" max="44" width="11.85546875" style="3" customWidth="1"/>
    <col min="45" max="45" width="12.28515625" style="3" customWidth="1"/>
    <col min="46" max="46" width="11.140625" style="3" customWidth="1"/>
    <col min="47" max="47" width="10.5703125" style="3" customWidth="1"/>
    <col min="48" max="48" width="10.85546875" style="3" customWidth="1"/>
    <col min="49" max="49" width="12" style="3" customWidth="1"/>
    <col min="50" max="50" width="13.140625" style="3" customWidth="1"/>
    <col min="51" max="51" width="11.140625" style="3" customWidth="1"/>
    <col min="52" max="52" width="12.5703125" style="3" customWidth="1"/>
    <col min="53" max="53" width="12.140625" style="3" customWidth="1"/>
    <col min="54" max="54" width="12.42578125" style="3" customWidth="1"/>
    <col min="55" max="55" width="12" style="3" customWidth="1"/>
    <col min="56" max="56" width="14.85546875" style="3" customWidth="1"/>
    <col min="57" max="57" width="11.5703125" style="3" customWidth="1"/>
    <col min="58" max="58" width="13.7109375" style="3" customWidth="1"/>
    <col min="59" max="59" width="12.42578125" style="3" customWidth="1"/>
    <col min="60" max="60" width="10.85546875" style="3" customWidth="1"/>
    <col min="61" max="61" width="12.140625" style="3" customWidth="1"/>
    <col min="62" max="62" width="11.85546875" style="3" customWidth="1"/>
    <col min="63" max="63" width="12.7109375" style="3" customWidth="1"/>
    <col min="64" max="64" width="12.42578125" style="3" customWidth="1"/>
    <col min="65" max="65" width="11.140625" style="3" customWidth="1"/>
    <col min="66" max="66" width="11.5703125" style="3" customWidth="1"/>
    <col min="67" max="67" width="12.28515625" style="3" customWidth="1"/>
    <col min="68" max="16384" width="9" style="3"/>
  </cols>
  <sheetData>
    <row r="1" spans="1:67" ht="12" thickBot="1" x14ac:dyDescent="0.3"/>
    <row r="2" spans="1:67" s="1" customFormat="1" x14ac:dyDescent="0.2">
      <c r="A2" s="43" t="s">
        <v>50</v>
      </c>
      <c r="B2" s="15" t="s">
        <v>27</v>
      </c>
      <c r="C2" s="50">
        <v>7260878.5</v>
      </c>
    </row>
    <row r="3" spans="1:67" s="1" customFormat="1" ht="12" thickBot="1" x14ac:dyDescent="0.25">
      <c r="A3" s="44">
        <v>86.271199999999993</v>
      </c>
      <c r="B3" s="15" t="s">
        <v>28</v>
      </c>
      <c r="C3" s="50">
        <v>10778.95</v>
      </c>
    </row>
    <row r="4" spans="1:67" s="8" customFormat="1" ht="12" thickBot="1" x14ac:dyDescent="0.25">
      <c r="A4" s="45"/>
      <c r="B4" s="15" t="s">
        <v>25</v>
      </c>
      <c r="C4" s="51">
        <v>0</v>
      </c>
    </row>
    <row r="5" spans="1:67" s="6" customFormat="1" x14ac:dyDescent="0.2">
      <c r="A5" s="43" t="s">
        <v>51</v>
      </c>
      <c r="B5" s="49" t="s">
        <v>26</v>
      </c>
      <c r="C5" s="52">
        <f>SUM(C2:C4)</f>
        <v>7271657.4500000002</v>
      </c>
    </row>
    <row r="6" spans="1:67" s="6" customFormat="1" ht="12" thickBot="1" x14ac:dyDescent="0.25">
      <c r="A6" s="44">
        <v>74.295599999999993</v>
      </c>
      <c r="B6" s="16"/>
      <c r="C6" s="53"/>
      <c r="D6" s="17"/>
    </row>
    <row r="7" spans="1:67" s="6" customFormat="1" ht="12" thickBot="1" x14ac:dyDescent="0.25">
      <c r="A7" s="105" t="s">
        <v>51</v>
      </c>
      <c r="B7" s="18" t="s">
        <v>127</v>
      </c>
      <c r="C7" s="54">
        <f>SUM(16:16)</f>
        <v>18691521.700799998</v>
      </c>
    </row>
    <row r="8" spans="1:67" x14ac:dyDescent="0.25">
      <c r="A8" s="43" t="s">
        <v>52</v>
      </c>
      <c r="B8" s="18" t="s">
        <v>126</v>
      </c>
      <c r="C8" s="54">
        <f>SUM(26:26)</f>
        <v>54336551.381407797</v>
      </c>
    </row>
    <row r="9" spans="1:67" ht="12" thickBot="1" x14ac:dyDescent="0.3">
      <c r="A9" s="44">
        <v>10.9536</v>
      </c>
      <c r="B9" s="19" t="s">
        <v>64</v>
      </c>
      <c r="C9" s="55">
        <f>C5+C7-C8-C11</f>
        <v>-51461044.962327793</v>
      </c>
    </row>
    <row r="10" spans="1:67" x14ac:dyDescent="0.25">
      <c r="A10" s="99" t="s">
        <v>80</v>
      </c>
      <c r="B10" s="18" t="s">
        <v>23</v>
      </c>
      <c r="C10" s="56">
        <f>C16</f>
        <v>0</v>
      </c>
    </row>
    <row r="11" spans="1:67" x14ac:dyDescent="0.25">
      <c r="A11" s="101" t="s">
        <v>87</v>
      </c>
      <c r="B11" s="18" t="s">
        <v>24</v>
      </c>
      <c r="C11" s="54">
        <f>C26</f>
        <v>23087672.731719997</v>
      </c>
    </row>
    <row r="12" spans="1:67" x14ac:dyDescent="0.25">
      <c r="A12" s="107" t="s">
        <v>88</v>
      </c>
    </row>
    <row r="13" spans="1:67" x14ac:dyDescent="0.25">
      <c r="A13" s="38"/>
      <c r="B13" s="10"/>
      <c r="C13" s="57"/>
      <c r="D13" s="10"/>
    </row>
    <row r="14" spans="1:67" s="2" customFormat="1" x14ac:dyDescent="0.25">
      <c r="A14" s="64"/>
      <c r="B14" s="65"/>
      <c r="C14" s="58" t="s">
        <v>56</v>
      </c>
      <c r="D14" s="66"/>
      <c r="E14" s="66">
        <v>46181</v>
      </c>
      <c r="F14" s="66">
        <v>46182</v>
      </c>
      <c r="G14" s="66">
        <v>46183</v>
      </c>
      <c r="H14" s="66">
        <v>46184</v>
      </c>
      <c r="I14" s="66">
        <v>46185</v>
      </c>
      <c r="J14" s="66">
        <v>46186</v>
      </c>
      <c r="K14" s="66">
        <v>46187</v>
      </c>
      <c r="L14" s="66">
        <v>46188</v>
      </c>
      <c r="M14" s="66">
        <v>46189</v>
      </c>
      <c r="N14" s="66">
        <v>46190</v>
      </c>
      <c r="O14" s="66">
        <v>46191</v>
      </c>
      <c r="P14" s="66">
        <v>46192</v>
      </c>
      <c r="Q14" s="66">
        <v>46193</v>
      </c>
      <c r="R14" s="66">
        <v>46194</v>
      </c>
      <c r="S14" s="66">
        <v>46195</v>
      </c>
      <c r="T14" s="66">
        <v>46196</v>
      </c>
      <c r="U14" s="66">
        <v>46197</v>
      </c>
      <c r="V14" s="66">
        <v>46198</v>
      </c>
      <c r="W14" s="66">
        <v>46199</v>
      </c>
      <c r="X14" s="66">
        <v>46200</v>
      </c>
      <c r="Y14" s="66">
        <v>46201</v>
      </c>
      <c r="Z14" s="66">
        <v>46202</v>
      </c>
      <c r="AA14" s="66">
        <v>46203</v>
      </c>
      <c r="AB14" s="66">
        <v>46204</v>
      </c>
      <c r="AC14" s="66">
        <v>46205</v>
      </c>
      <c r="AD14" s="66">
        <v>46206</v>
      </c>
      <c r="AE14" s="66">
        <v>46207</v>
      </c>
      <c r="AF14" s="66">
        <v>46208</v>
      </c>
      <c r="AG14" s="66">
        <v>46209</v>
      </c>
      <c r="AH14" s="66">
        <v>46210</v>
      </c>
      <c r="AI14" s="66">
        <v>46211</v>
      </c>
      <c r="AJ14" s="66">
        <v>46212</v>
      </c>
      <c r="AK14" s="66">
        <v>46213</v>
      </c>
      <c r="AL14" s="66">
        <v>46214</v>
      </c>
      <c r="AM14" s="66">
        <v>46215</v>
      </c>
      <c r="AN14" s="66">
        <v>46216</v>
      </c>
      <c r="AO14" s="66">
        <v>46217</v>
      </c>
      <c r="AP14" s="66">
        <v>46218</v>
      </c>
      <c r="AQ14" s="66">
        <v>46219</v>
      </c>
      <c r="AR14" s="66">
        <v>46220</v>
      </c>
      <c r="AS14" s="66">
        <v>46221</v>
      </c>
      <c r="AT14" s="66">
        <v>46222</v>
      </c>
      <c r="AU14" s="66">
        <v>46223</v>
      </c>
      <c r="AV14" s="66">
        <v>46224</v>
      </c>
      <c r="AW14" s="66">
        <v>46225</v>
      </c>
      <c r="AX14" s="66">
        <v>46226</v>
      </c>
      <c r="AY14" s="66">
        <v>46227</v>
      </c>
      <c r="AZ14" s="66">
        <v>46228</v>
      </c>
      <c r="BA14" s="66">
        <v>46229</v>
      </c>
      <c r="BB14" s="66">
        <v>46230</v>
      </c>
      <c r="BC14" s="66">
        <v>46231</v>
      </c>
      <c r="BD14" s="66">
        <v>46232</v>
      </c>
      <c r="BE14" s="66">
        <v>46233</v>
      </c>
      <c r="BF14" s="66">
        <v>46234</v>
      </c>
      <c r="BG14" s="66">
        <v>46235</v>
      </c>
      <c r="BH14" s="66">
        <v>46236</v>
      </c>
      <c r="BI14" s="66">
        <v>46237</v>
      </c>
      <c r="BJ14" s="66">
        <v>46238</v>
      </c>
      <c r="BK14" s="66">
        <v>46239</v>
      </c>
      <c r="BL14" s="66">
        <v>46240</v>
      </c>
      <c r="BM14" s="66">
        <v>46241</v>
      </c>
      <c r="BN14" s="66">
        <v>46242</v>
      </c>
      <c r="BO14" s="66">
        <v>46243</v>
      </c>
    </row>
    <row r="15" spans="1:67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</row>
    <row r="16" spans="1:67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M16" si="0">SUM(E17:E25)</f>
        <v>0</v>
      </c>
      <c r="F16" s="29">
        <f t="shared" si="0"/>
        <v>0</v>
      </c>
      <c r="G16" s="29">
        <f t="shared" si="0"/>
        <v>1000000</v>
      </c>
      <c r="H16" s="29">
        <f t="shared" si="0"/>
        <v>0</v>
      </c>
      <c r="I16" s="135">
        <f t="shared" si="0"/>
        <v>0</v>
      </c>
      <c r="J16" s="135">
        <f t="shared" si="0"/>
        <v>0</v>
      </c>
      <c r="K16" s="135">
        <f t="shared" si="0"/>
        <v>0</v>
      </c>
      <c r="L16" s="29">
        <f t="shared" si="0"/>
        <v>2000000</v>
      </c>
      <c r="M16" s="29">
        <f t="shared" si="0"/>
        <v>0</v>
      </c>
      <c r="N16" s="29">
        <f t="shared" si="0"/>
        <v>0</v>
      </c>
      <c r="O16" s="29">
        <f t="shared" si="0"/>
        <v>8289281.9807999991</v>
      </c>
      <c r="P16" s="29">
        <f t="shared" si="0"/>
        <v>0</v>
      </c>
      <c r="Q16" s="135">
        <f t="shared" si="0"/>
        <v>0</v>
      </c>
      <c r="R16" s="135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135">
        <f t="shared" si="0"/>
        <v>0</v>
      </c>
      <c r="Y16" s="135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135">
        <f t="shared" si="0"/>
        <v>0</v>
      </c>
      <c r="AF16" s="135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29">
        <f t="shared" si="0"/>
        <v>0</v>
      </c>
      <c r="AL16" s="135">
        <f t="shared" si="0"/>
        <v>0</v>
      </c>
      <c r="AM16" s="135">
        <f t="shared" si="0"/>
        <v>0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29">
        <f t="shared" si="0"/>
        <v>0</v>
      </c>
      <c r="AR16" s="29">
        <f t="shared" si="0"/>
        <v>0</v>
      </c>
      <c r="AS16" s="135">
        <f t="shared" si="0"/>
        <v>0</v>
      </c>
      <c r="AT16" s="135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29">
        <f t="shared" si="0"/>
        <v>4330985</v>
      </c>
      <c r="AZ16" s="135">
        <f t="shared" si="0"/>
        <v>0</v>
      </c>
      <c r="BA16" s="135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29">
        <f t="shared" si="0"/>
        <v>0</v>
      </c>
      <c r="BG16" s="135">
        <f t="shared" si="0"/>
        <v>0</v>
      </c>
      <c r="BH16" s="135">
        <f t="shared" si="0"/>
        <v>0</v>
      </c>
      <c r="BI16" s="29">
        <f t="shared" si="0"/>
        <v>3071254.7199999997</v>
      </c>
      <c r="BJ16" s="29">
        <f t="shared" si="0"/>
        <v>0</v>
      </c>
      <c r="BK16" s="29">
        <f t="shared" si="0"/>
        <v>0</v>
      </c>
      <c r="BL16" s="29">
        <f t="shared" si="0"/>
        <v>0</v>
      </c>
      <c r="BM16" s="29">
        <f t="shared" si="0"/>
        <v>0</v>
      </c>
      <c r="BN16" s="135">
        <f t="shared" ref="BN16:BO16" si="1">SUM(BN17:BN25)</f>
        <v>0</v>
      </c>
      <c r="BO16" s="135">
        <f t="shared" si="1"/>
        <v>0</v>
      </c>
    </row>
    <row r="17" spans="1:67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</row>
    <row r="18" spans="1:67" s="80" customFormat="1" x14ac:dyDescent="0.25">
      <c r="A18" s="40" t="s">
        <v>9</v>
      </c>
      <c r="B18" s="21"/>
      <c r="C18" s="59"/>
      <c r="D18" s="30"/>
      <c r="E18" s="30"/>
      <c r="F18" s="30"/>
      <c r="G18" s="30">
        <v>1000000</v>
      </c>
      <c r="H18" s="30"/>
      <c r="I18" s="30"/>
      <c r="J18" s="30"/>
      <c r="K18" s="30"/>
      <c r="L18" s="30">
        <v>2000000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</row>
    <row r="19" spans="1:67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</row>
    <row r="20" spans="1:67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>
        <v>4330985</v>
      </c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</row>
    <row r="21" spans="1:67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</row>
    <row r="22" spans="1:67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</row>
    <row r="23" spans="1:67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>
        <f>96084*A3</f>
        <v>8289281.9807999991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</row>
    <row r="24" spans="1:67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AA24" s="30"/>
      <c r="AB24" s="30"/>
      <c r="AC24" s="30"/>
      <c r="AD24" s="30"/>
      <c r="AE24" s="30"/>
      <c r="AF24" s="30"/>
      <c r="AG24" s="30"/>
      <c r="AH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165">
        <f>35600*A3</f>
        <v>3071254.7199999997</v>
      </c>
      <c r="BJ24" s="30"/>
      <c r="BK24" s="30"/>
      <c r="BL24" s="30"/>
      <c r="BM24" s="30"/>
      <c r="BN24" s="30"/>
      <c r="BO24" s="30"/>
    </row>
    <row r="25" spans="1:67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</row>
    <row r="26" spans="1:67" s="4" customFormat="1" x14ac:dyDescent="0.2">
      <c r="A26" s="41" t="s">
        <v>1</v>
      </c>
      <c r="B26" s="22"/>
      <c r="C26" s="34">
        <f>SUM(C28:C76)</f>
        <v>23087672.731719997</v>
      </c>
      <c r="D26" s="34"/>
      <c r="E26" s="34">
        <f t="shared" ref="E26:BM26" si="2">SUM(E27:E77)</f>
        <v>406757.125</v>
      </c>
      <c r="F26" s="34">
        <f t="shared" si="2"/>
        <v>819845.85002597398</v>
      </c>
      <c r="G26" s="34">
        <f t="shared" si="2"/>
        <v>480991.5</v>
      </c>
      <c r="H26" s="34">
        <f t="shared" si="2"/>
        <v>419675.15933333331</v>
      </c>
      <c r="I26" s="34">
        <f t="shared" si="2"/>
        <v>0</v>
      </c>
      <c r="J26" s="34">
        <f t="shared" si="2"/>
        <v>0</v>
      </c>
      <c r="K26" s="34">
        <f t="shared" si="2"/>
        <v>0</v>
      </c>
      <c r="L26" s="34">
        <f t="shared" si="2"/>
        <v>1103119.1621818182</v>
      </c>
      <c r="M26" s="34">
        <f t="shared" si="2"/>
        <v>311677.26543999999</v>
      </c>
      <c r="N26" s="34">
        <f t="shared" si="2"/>
        <v>341352.72813090903</v>
      </c>
      <c r="O26" s="34">
        <f t="shared" si="2"/>
        <v>7156230.9726618174</v>
      </c>
      <c r="P26" s="34">
        <f t="shared" si="2"/>
        <v>1573579.27988</v>
      </c>
      <c r="Q26" s="34">
        <f t="shared" si="2"/>
        <v>0</v>
      </c>
      <c r="R26" s="34">
        <f t="shared" si="2"/>
        <v>0</v>
      </c>
      <c r="S26" s="34">
        <f t="shared" si="2"/>
        <v>450835.65237333335</v>
      </c>
      <c r="T26" s="34">
        <f t="shared" si="2"/>
        <v>346018.31903999997</v>
      </c>
      <c r="U26" s="34">
        <f t="shared" si="2"/>
        <v>374495.60693333333</v>
      </c>
      <c r="V26" s="34">
        <f t="shared" si="2"/>
        <v>329582.65237333335</v>
      </c>
      <c r="W26" s="34">
        <f t="shared" si="2"/>
        <v>516219.54181333329</v>
      </c>
      <c r="X26" s="34">
        <f t="shared" si="2"/>
        <v>0</v>
      </c>
      <c r="Y26" s="34">
        <f t="shared" si="2"/>
        <v>0</v>
      </c>
      <c r="Z26" s="34">
        <f t="shared" si="2"/>
        <v>648818.65237333323</v>
      </c>
      <c r="AA26" s="34">
        <f t="shared" si="2"/>
        <v>3496935.5418133335</v>
      </c>
      <c r="AB26" s="34">
        <f t="shared" si="2"/>
        <v>680047.17337333329</v>
      </c>
      <c r="AC26" s="34">
        <f t="shared" si="2"/>
        <v>1221451.9184436365</v>
      </c>
      <c r="AD26" s="34">
        <f t="shared" si="2"/>
        <v>962928.01818181807</v>
      </c>
      <c r="AE26" s="34">
        <f t="shared" si="2"/>
        <v>0</v>
      </c>
      <c r="AF26" s="34">
        <f t="shared" si="2"/>
        <v>694560</v>
      </c>
      <c r="AG26" s="34">
        <f t="shared" si="2"/>
        <v>235361.22813090909</v>
      </c>
      <c r="AH26" s="34">
        <f t="shared" si="2"/>
        <v>993113.03962181811</v>
      </c>
      <c r="AI26" s="34">
        <f t="shared" si="2"/>
        <v>955523.3504436363</v>
      </c>
      <c r="AJ26" s="34">
        <f t="shared" si="2"/>
        <v>520613.03962181817</v>
      </c>
      <c r="AK26" s="34">
        <f t="shared" si="2"/>
        <v>267319.96636363631</v>
      </c>
      <c r="AL26" s="34">
        <f t="shared" si="2"/>
        <v>0</v>
      </c>
      <c r="AM26" s="34">
        <f t="shared" si="2"/>
        <v>0</v>
      </c>
      <c r="AN26" s="34">
        <f t="shared" si="2"/>
        <v>2037896.9024</v>
      </c>
      <c r="AO26" s="34">
        <f t="shared" si="2"/>
        <v>382965.72058181814</v>
      </c>
      <c r="AP26" s="34">
        <f t="shared" si="2"/>
        <v>107956.33333333334</v>
      </c>
      <c r="AQ26" s="34">
        <f t="shared" si="2"/>
        <v>176734.80996363636</v>
      </c>
      <c r="AR26" s="34">
        <f t="shared" si="2"/>
        <v>360004.80996363633</v>
      </c>
      <c r="AS26" s="34">
        <f t="shared" si="2"/>
        <v>0</v>
      </c>
      <c r="AT26" s="34">
        <f t="shared" si="2"/>
        <v>0</v>
      </c>
      <c r="AU26" s="34">
        <f t="shared" si="2"/>
        <v>176734.80996363636</v>
      </c>
      <c r="AV26" s="34">
        <f t="shared" si="2"/>
        <v>176734.80996363636</v>
      </c>
      <c r="AW26" s="34">
        <f t="shared" si="2"/>
        <v>176734.80996363636</v>
      </c>
      <c r="AX26" s="34">
        <f t="shared" si="2"/>
        <v>0</v>
      </c>
      <c r="AY26" s="34">
        <f t="shared" si="2"/>
        <v>1600000</v>
      </c>
      <c r="AZ26" s="34">
        <f t="shared" si="2"/>
        <v>0</v>
      </c>
      <c r="BA26" s="34">
        <f t="shared" si="2"/>
        <v>0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746062.9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ref="BN26:BO26" si="3">SUM(BN27:BN77)</f>
        <v>0</v>
      </c>
      <c r="BO26" s="34">
        <f t="shared" si="3"/>
        <v>0</v>
      </c>
    </row>
    <row r="27" spans="1:67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</row>
    <row r="28" spans="1:67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</row>
    <row r="29" spans="1:67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</row>
    <row r="30" spans="1:67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>
        <f>8399365/3</f>
        <v>2799788.3333333335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</row>
    <row r="31" spans="1:67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90">
        <f>291375+137118</f>
        <v>428493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</row>
    <row r="32" spans="1:67" s="1" customFormat="1" x14ac:dyDescent="0.2">
      <c r="A32" s="36" t="s">
        <v>7</v>
      </c>
      <c r="B32" s="23" t="s">
        <v>8</v>
      </c>
      <c r="C32" s="60"/>
      <c r="D32" s="24"/>
      <c r="F32" s="24">
        <f>488746/0.77</f>
        <v>634735.06493506487</v>
      </c>
      <c r="G32" s="24">
        <v>350000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</row>
    <row r="33" spans="1:67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>
        <v>271506</v>
      </c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>
        <v>271506</v>
      </c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</row>
    <row r="34" spans="1:67" s="1" customFormat="1" x14ac:dyDescent="0.2">
      <c r="A34" s="36" t="s">
        <v>54</v>
      </c>
      <c r="B34" s="23"/>
      <c r="C34" s="60"/>
      <c r="D34" s="24"/>
      <c r="E34" s="24">
        <v>50000</v>
      </c>
      <c r="F34" s="24"/>
      <c r="G34" s="24"/>
      <c r="H34" s="24">
        <f>100113.9/2</f>
        <v>50056.95</v>
      </c>
      <c r="I34" s="24"/>
      <c r="J34" s="24"/>
      <c r="K34" s="24"/>
      <c r="L34" s="24"/>
      <c r="M34" s="24">
        <v>50000</v>
      </c>
      <c r="N34" s="24"/>
      <c r="O34" s="24">
        <f>100113.9/2</f>
        <v>50056.95</v>
      </c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</row>
    <row r="35" spans="1:67" s="1" customFormat="1" x14ac:dyDescent="0.2">
      <c r="A35" s="36" t="s">
        <v>71</v>
      </c>
      <c r="B35" s="23"/>
      <c r="C35" s="60"/>
      <c r="D35" s="24"/>
      <c r="F35" s="24"/>
      <c r="G35" s="24"/>
      <c r="H35" s="24"/>
      <c r="I35" s="24"/>
      <c r="J35" s="24"/>
      <c r="K35" s="24"/>
      <c r="L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>
        <v>200113.9</v>
      </c>
      <c r="AD35" s="24">
        <v>40000</v>
      </c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>
        <v>200113.9</v>
      </c>
      <c r="BJ35" s="24"/>
      <c r="BK35" s="24"/>
      <c r="BL35" s="24"/>
      <c r="BM35" s="24"/>
      <c r="BN35" s="24"/>
      <c r="BO35" s="24"/>
    </row>
    <row r="36" spans="1:67" s="1" customFormat="1" x14ac:dyDescent="0.2">
      <c r="A36" s="36" t="s">
        <v>53</v>
      </c>
      <c r="B36" s="23"/>
      <c r="C36" s="60"/>
      <c r="D36" s="24"/>
      <c r="E36" s="24">
        <f t="shared" ref="E36:N36" si="4">545949/6</f>
        <v>90991.5</v>
      </c>
      <c r="F36" s="24"/>
      <c r="G36" s="24">
        <f t="shared" si="4"/>
        <v>90991.5</v>
      </c>
      <c r="H36" s="24">
        <f t="shared" si="4"/>
        <v>90991.5</v>
      </c>
      <c r="J36" s="24"/>
      <c r="K36" s="24"/>
      <c r="L36" s="24">
        <f t="shared" si="4"/>
        <v>90991.5</v>
      </c>
      <c r="M36" s="24"/>
      <c r="N36" s="24">
        <f t="shared" si="4"/>
        <v>90991.5</v>
      </c>
      <c r="O36" s="24">
        <v>140000</v>
      </c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>
        <v>545949</v>
      </c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>
        <v>545949</v>
      </c>
      <c r="BJ36" s="24"/>
      <c r="BK36" s="24"/>
      <c r="BL36" s="24"/>
      <c r="BM36" s="24"/>
      <c r="BN36" s="24"/>
      <c r="BO36" s="24"/>
    </row>
    <row r="37" spans="1:67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</row>
    <row r="38" spans="1:67" s="71" customFormat="1" x14ac:dyDescent="0.2">
      <c r="A38" s="69" t="s">
        <v>14</v>
      </c>
      <c r="B38" s="25" t="s">
        <v>30</v>
      </c>
      <c r="C38" s="70"/>
      <c r="D38" s="24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100">
        <v>774474</v>
      </c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</row>
    <row r="39" spans="1:67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24"/>
      <c r="H39" s="100">
        <f>312320/10</f>
        <v>31232</v>
      </c>
      <c r="I39" s="24"/>
      <c r="J39" s="24"/>
      <c r="K39" s="24"/>
      <c r="L39" s="24"/>
      <c r="M39" s="100">
        <f>312320/10</f>
        <v>31232</v>
      </c>
      <c r="N39" s="24"/>
      <c r="O39" s="24"/>
      <c r="P39" s="100">
        <f>312320/10</f>
        <v>31232</v>
      </c>
      <c r="Q39" s="24"/>
      <c r="R39" s="24"/>
      <c r="S39" s="108">
        <f>312320/10</f>
        <v>31232</v>
      </c>
      <c r="T39" s="24"/>
      <c r="U39" s="108">
        <f>312320/10</f>
        <v>31232</v>
      </c>
      <c r="V39" s="24"/>
      <c r="W39" s="108">
        <f>312320/10</f>
        <v>31232</v>
      </c>
      <c r="X39" s="24"/>
      <c r="Y39" s="24"/>
      <c r="Z39" s="108">
        <v>124838</v>
      </c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</row>
    <row r="40" spans="1:67" s="71" customFormat="1" x14ac:dyDescent="0.2">
      <c r="A40" s="69" t="s">
        <v>117</v>
      </c>
      <c r="B40" s="25" t="s">
        <v>119</v>
      </c>
      <c r="C40" s="70">
        <f>691000-25000-25000-45500-25000</f>
        <v>570500</v>
      </c>
      <c r="D40" s="24"/>
      <c r="E40" s="108">
        <f>91000/2</f>
        <v>45500</v>
      </c>
      <c r="F40" s="108">
        <v>25000</v>
      </c>
      <c r="G40" s="24"/>
      <c r="H40" s="108">
        <v>25000</v>
      </c>
      <c r="J40" s="24"/>
      <c r="K40" s="24"/>
      <c r="L40" s="108">
        <f>25000+25000</f>
        <v>50000</v>
      </c>
      <c r="M40" s="24"/>
      <c r="N40" s="24"/>
      <c r="O40" s="108">
        <v>150000</v>
      </c>
      <c r="P40" s="108">
        <v>100000</v>
      </c>
      <c r="Q40" s="24"/>
      <c r="R40" s="24"/>
      <c r="S40" s="24"/>
      <c r="T40" s="108">
        <v>100000</v>
      </c>
      <c r="U40" s="108">
        <v>75000</v>
      </c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</row>
    <row r="41" spans="1:67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I41" s="24"/>
      <c r="J41" s="24"/>
      <c r="K41" s="24"/>
      <c r="L41" s="108">
        <f>510600/2</f>
        <v>255300</v>
      </c>
      <c r="M41" s="24"/>
      <c r="N41" s="24"/>
      <c r="O41" s="24"/>
      <c r="P41" s="129">
        <f>510600/2</f>
        <v>255300</v>
      </c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100">
        <v>472500</v>
      </c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</row>
    <row r="42" spans="1:67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1375000-500000-175000-50000-25000-25000-25000-50000-25000-50000-25000-25000-30000-25000-30000-25000</f>
        <v>290000</v>
      </c>
      <c r="D42" s="24"/>
      <c r="E42" s="129">
        <v>25000</v>
      </c>
      <c r="G42" s="129">
        <f>30000/2</f>
        <v>15000</v>
      </c>
      <c r="H42" s="24"/>
      <c r="J42" s="24"/>
      <c r="K42" s="24"/>
      <c r="M42" s="129">
        <f>95000/2</f>
        <v>47500</v>
      </c>
      <c r="N42" s="24"/>
      <c r="O42" s="129">
        <f>95000/2</f>
        <v>47500</v>
      </c>
      <c r="Q42" s="24"/>
      <c r="R42" s="24"/>
      <c r="S42" s="129">
        <f>30000/2</f>
        <v>15000</v>
      </c>
      <c r="T42" s="129">
        <v>40000</v>
      </c>
      <c r="U42" s="129">
        <v>25000</v>
      </c>
      <c r="V42" s="129">
        <v>25000</v>
      </c>
      <c r="W42" s="129">
        <v>50000</v>
      </c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</row>
    <row r="43" spans="1:67" s="71" customFormat="1" x14ac:dyDescent="0.2">
      <c r="A43" s="69" t="s">
        <v>15</v>
      </c>
      <c r="B43" s="25" t="s">
        <v>31</v>
      </c>
      <c r="C43" s="70">
        <f>2480914-516230-48700-50000-50000-50000-43000-42000-50000</f>
        <v>1630984</v>
      </c>
      <c r="D43" s="24"/>
      <c r="E43" s="108">
        <v>55000</v>
      </c>
      <c r="F43" s="140">
        <f t="shared" ref="F43" si="5">195080/4</f>
        <v>48770</v>
      </c>
      <c r="H43" s="108">
        <f>(516230/10)/2</f>
        <v>25811.5</v>
      </c>
      <c r="J43" s="24"/>
      <c r="K43" s="24"/>
      <c r="L43" s="108">
        <f>516230/10+112</f>
        <v>51735</v>
      </c>
      <c r="M43" s="108">
        <f>(516230/10)/2</f>
        <v>25811.5</v>
      </c>
      <c r="N43" s="108">
        <f t="shared" ref="N43:AP43" si="6">516230/10</f>
        <v>51623</v>
      </c>
      <c r="O43" s="108">
        <f t="shared" si="6"/>
        <v>51623</v>
      </c>
      <c r="P43" s="108">
        <f>516230/10</f>
        <v>51623</v>
      </c>
      <c r="Q43" s="24"/>
      <c r="R43" s="24"/>
      <c r="S43" s="108">
        <f>516230/10</f>
        <v>51623</v>
      </c>
      <c r="T43" s="108">
        <f>516230/10+15224</f>
        <v>66847</v>
      </c>
      <c r="U43" s="108">
        <f t="shared" ref="U43" si="7">516230/10</f>
        <v>51623</v>
      </c>
      <c r="V43" s="108">
        <f t="shared" ref="V43" si="8">(515224/4)/3</f>
        <v>42935.333333333336</v>
      </c>
      <c r="W43" s="108">
        <f>516230/10</f>
        <v>51623</v>
      </c>
      <c r="X43" s="24"/>
      <c r="Y43" s="24"/>
      <c r="AA43" s="108">
        <f t="shared" ref="AA43:AD43" si="9">516230/10</f>
        <v>51623</v>
      </c>
      <c r="AB43" s="108">
        <f t="shared" si="9"/>
        <v>51623</v>
      </c>
      <c r="AC43" s="108">
        <f t="shared" si="9"/>
        <v>51623</v>
      </c>
      <c r="AD43" s="108">
        <f t="shared" si="9"/>
        <v>51623</v>
      </c>
      <c r="AE43" s="24"/>
      <c r="AF43" s="24"/>
      <c r="AG43" s="108">
        <f t="shared" ref="AG43:AK43" si="10">516230/10</f>
        <v>51623</v>
      </c>
      <c r="AH43" s="108">
        <f t="shared" si="10"/>
        <v>51623</v>
      </c>
      <c r="AI43" s="108">
        <f t="shared" si="10"/>
        <v>51623</v>
      </c>
      <c r="AJ43" s="108">
        <f t="shared" si="10"/>
        <v>51623</v>
      </c>
      <c r="AK43" s="108">
        <f t="shared" si="10"/>
        <v>51623</v>
      </c>
      <c r="AL43" s="24"/>
      <c r="AM43" s="24"/>
      <c r="AN43" s="100">
        <v>516230</v>
      </c>
      <c r="AO43" s="108">
        <f>516230/10</f>
        <v>51623</v>
      </c>
      <c r="AP43" s="108">
        <f t="shared" si="6"/>
        <v>51623</v>
      </c>
      <c r="AQ43" s="24"/>
      <c r="AR43" s="98">
        <f>515224/4+54464</f>
        <v>183270</v>
      </c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</row>
    <row r="44" spans="1:67" s="71" customFormat="1" x14ac:dyDescent="0.2">
      <c r="A44" s="69" t="s">
        <v>85</v>
      </c>
      <c r="B44" s="25" t="s">
        <v>47</v>
      </c>
      <c r="C44" s="70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100">
        <f>2997.5*A6</f>
        <v>222701.06099999999</v>
      </c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</row>
    <row r="45" spans="1:67" s="71" customFormat="1" x14ac:dyDescent="0.2">
      <c r="A45" s="69" t="s">
        <v>143</v>
      </c>
      <c r="B45" s="25" t="s">
        <v>45</v>
      </c>
      <c r="C45" s="24">
        <f>188496*A9</f>
        <v>2064709.7856000001</v>
      </c>
      <c r="D45" s="24"/>
      <c r="E45" s="24"/>
      <c r="F45" s="24"/>
      <c r="G45" s="24"/>
      <c r="H45" s="24"/>
      <c r="I45" s="28"/>
      <c r="J45" s="24"/>
      <c r="K45" s="24"/>
      <c r="M45" s="24"/>
      <c r="N45" s="108">
        <f t="shared" ref="N45:AG45" si="11">(188496*$A$9)/15</f>
        <v>137647.31904</v>
      </c>
      <c r="O45" s="108">
        <f t="shared" si="11"/>
        <v>137647.31904</v>
      </c>
      <c r="Q45" s="24"/>
      <c r="R45" s="24"/>
      <c r="S45" s="108">
        <f>(188496*$A$9)/15</f>
        <v>137647.31904</v>
      </c>
      <c r="T45" s="108">
        <f t="shared" ref="T45:AH45" si="12">(188496*$A$9)/15</f>
        <v>137647.31904</v>
      </c>
      <c r="V45" s="108">
        <f t="shared" si="12"/>
        <v>137647.31904</v>
      </c>
      <c r="W45" s="108">
        <f t="shared" si="12"/>
        <v>137647.31904</v>
      </c>
      <c r="X45" s="24"/>
      <c r="Y45" s="24"/>
      <c r="Z45" s="108">
        <f>(188496*$A$9)/15</f>
        <v>137647.31904</v>
      </c>
      <c r="AA45" s="108">
        <f t="shared" ref="AA45:AC45" si="13">(188496*$A$9)/15</f>
        <v>137647.31904</v>
      </c>
      <c r="AB45" s="108">
        <f t="shared" si="13"/>
        <v>137647.31904</v>
      </c>
      <c r="AC45" s="108">
        <f t="shared" si="13"/>
        <v>137647.31904</v>
      </c>
      <c r="AD45" s="28"/>
      <c r="AE45" s="24"/>
      <c r="AF45" s="24"/>
      <c r="AG45" s="108">
        <f t="shared" si="11"/>
        <v>137647.31904</v>
      </c>
      <c r="AH45" s="108">
        <f t="shared" si="12"/>
        <v>137647.31904</v>
      </c>
      <c r="AI45" s="108">
        <f>((188496*$A$9)/15)*2</f>
        <v>275294.63808</v>
      </c>
      <c r="AJ45" s="108">
        <f>(188496*$A$9)/15</f>
        <v>137647.31904</v>
      </c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</row>
    <row r="46" spans="1:67" s="71" customFormat="1" x14ac:dyDescent="0.2">
      <c r="A46" s="69" t="s">
        <v>120</v>
      </c>
      <c r="B46" s="25" t="s">
        <v>121</v>
      </c>
      <c r="C46" s="120">
        <f>507000+1014000-47000-56000-45000</f>
        <v>1373000</v>
      </c>
      <c r="D46" s="24"/>
      <c r="E46" s="24"/>
      <c r="F46" s="108">
        <f>(1014000/11)/2</f>
        <v>46090.909090909088</v>
      </c>
      <c r="G46" s="24"/>
      <c r="H46" s="108">
        <f t="shared" ref="H46:W46" si="14">507000/9</f>
        <v>56333.333333333336</v>
      </c>
      <c r="I46" s="28"/>
      <c r="J46" s="24"/>
      <c r="K46" s="24"/>
      <c r="L46" s="108">
        <f t="shared" ref="L46:AO46" si="15">1014000/11</f>
        <v>92181.818181818177</v>
      </c>
      <c r="M46" s="24"/>
      <c r="O46" s="108">
        <f t="shared" si="15"/>
        <v>92181.818181818177</v>
      </c>
      <c r="Q46" s="24"/>
      <c r="R46" s="24"/>
      <c r="S46" s="108">
        <f>507000/9</f>
        <v>56333.333333333336</v>
      </c>
      <c r="T46" s="24"/>
      <c r="U46" s="108">
        <f t="shared" si="14"/>
        <v>56333.333333333336</v>
      </c>
      <c r="V46" s="24"/>
      <c r="W46" s="108">
        <f t="shared" si="14"/>
        <v>56333.333333333336</v>
      </c>
      <c r="X46" s="24"/>
      <c r="Y46" s="24"/>
      <c r="Z46" s="108">
        <f t="shared" ref="Z46:AP46" si="16">507000/9</f>
        <v>56333.333333333336</v>
      </c>
      <c r="AB46" s="108">
        <f t="shared" si="16"/>
        <v>56333.333333333336</v>
      </c>
      <c r="AC46" s="108">
        <f>(1014000/11+88393.5*$A$9)/6</f>
        <v>176734.80996363636</v>
      </c>
      <c r="AD46" s="108">
        <f t="shared" ref="AD46:AH46" si="17">1014000/11</f>
        <v>92181.818181818177</v>
      </c>
      <c r="AE46" s="24"/>
      <c r="AF46" s="100">
        <v>682560</v>
      </c>
      <c r="AG46" s="108">
        <f>(1014000/11)/2</f>
        <v>46090.909090909088</v>
      </c>
      <c r="AH46" s="108">
        <f t="shared" si="17"/>
        <v>92181.818181818177</v>
      </c>
      <c r="AI46" s="108">
        <f>(1014000/11+88393.5*$A$9)/6</f>
        <v>176734.80996363636</v>
      </c>
      <c r="AJ46" s="108">
        <f t="shared" si="15"/>
        <v>92181.818181818177</v>
      </c>
      <c r="AK46" s="108">
        <f>(1014000/11)*2+9333.33</f>
        <v>193696.96636363634</v>
      </c>
      <c r="AL46" s="24"/>
      <c r="AM46" s="24"/>
      <c r="AN46" s="108">
        <v>991000</v>
      </c>
      <c r="AO46" s="108">
        <f t="shared" si="15"/>
        <v>92181.818181818177</v>
      </c>
      <c r="AP46" s="108">
        <f t="shared" si="16"/>
        <v>56333.333333333336</v>
      </c>
      <c r="AQ46" s="108">
        <f>(1014000/11+88393.5*$A$9)/6</f>
        <v>176734.80996363636</v>
      </c>
      <c r="AR46" s="108">
        <f>(1014000/11+88393.5*$A$9)/6</f>
        <v>176734.80996363636</v>
      </c>
      <c r="AS46" s="24"/>
      <c r="AT46" s="24"/>
      <c r="AU46" s="108">
        <f>(1014000/11+88393.5*$A$9)/6</f>
        <v>176734.80996363636</v>
      </c>
      <c r="AV46" s="108">
        <f>(1014000/11+88393.5*$A$9)/6</f>
        <v>176734.80996363636</v>
      </c>
      <c r="AW46" s="108">
        <f>(1014000/11+88393.5*$A$9)/6</f>
        <v>176734.80996363636</v>
      </c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</row>
    <row r="47" spans="1:67" s="73" customFormat="1" x14ac:dyDescent="0.2">
      <c r="A47" s="69" t="s">
        <v>22</v>
      </c>
      <c r="B47" s="25" t="s">
        <v>48</v>
      </c>
      <c r="C47" s="137"/>
      <c r="D47" s="72"/>
      <c r="E47" s="24"/>
      <c r="F47" s="72"/>
      <c r="H47" s="72"/>
      <c r="I47" s="72"/>
      <c r="J47" s="72"/>
      <c r="K47" s="72"/>
      <c r="L47" s="72"/>
      <c r="M47" s="160">
        <f t="shared" ref="M47:AC47" si="18">(52206*$A$9+2988*$A$6)/10</f>
        <v>79383.889439999999</v>
      </c>
      <c r="N47" s="108">
        <f>(1014000/11)/2</f>
        <v>46090.909090909088</v>
      </c>
      <c r="O47" s="160">
        <f t="shared" si="18"/>
        <v>79383.889439999999</v>
      </c>
      <c r="P47" s="160">
        <f>((52206*$A$9+2988*$A$6)/10)*2</f>
        <v>158767.77888</v>
      </c>
      <c r="Q47" s="72"/>
      <c r="R47" s="72"/>
      <c r="T47" s="72"/>
      <c r="U47" s="160">
        <f>(52206*$A$9)/6</f>
        <v>95307.2736</v>
      </c>
      <c r="V47" s="72"/>
      <c r="W47" s="160">
        <f>(52206*$A$9+2988*$A$6)/10</f>
        <v>79383.889439999999</v>
      </c>
      <c r="X47" s="72"/>
      <c r="Y47" s="72"/>
      <c r="Z47" s="72"/>
      <c r="AA47" s="160">
        <f t="shared" ref="AA47" si="19">(52206*$A$9+2988*$A$6)/10</f>
        <v>79383.889439999999</v>
      </c>
      <c r="AC47" s="160">
        <f t="shared" si="18"/>
        <v>79383.889439999999</v>
      </c>
      <c r="AD47" s="166">
        <f>62000*$A$9</f>
        <v>679123.2</v>
      </c>
      <c r="AE47" s="72"/>
      <c r="AF47" s="72"/>
      <c r="AH47" s="160">
        <f>(109170*$A$9)/5</f>
        <v>239160.90239999996</v>
      </c>
      <c r="AI47" s="160">
        <f t="shared" ref="AI47:AJ47" si="20">(109170*$A$9)/5</f>
        <v>239160.90239999996</v>
      </c>
      <c r="AJ47" s="160">
        <f t="shared" si="20"/>
        <v>239160.90239999996</v>
      </c>
      <c r="AK47" s="72"/>
      <c r="AL47" s="72"/>
      <c r="AM47" s="72"/>
      <c r="AN47" s="160">
        <f t="shared" ref="AN47:AO47" si="21">(109170*$A$9)/5</f>
        <v>239160.90239999996</v>
      </c>
      <c r="AO47" s="160">
        <f t="shared" si="21"/>
        <v>239160.90239999996</v>
      </c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</row>
    <row r="48" spans="1:67" s="73" customFormat="1" x14ac:dyDescent="0.2">
      <c r="A48" s="69" t="s">
        <v>108</v>
      </c>
      <c r="B48" s="25" t="s">
        <v>109</v>
      </c>
      <c r="C48" s="120"/>
      <c r="D48" s="72"/>
      <c r="E48" s="138">
        <f>50531.25/2</f>
        <v>25265.625</v>
      </c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138">
        <f>50531.25/2</f>
        <v>25265.625</v>
      </c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</row>
    <row r="49" spans="1:67" s="71" customFormat="1" x14ac:dyDescent="0.2">
      <c r="A49" s="69" t="s">
        <v>36</v>
      </c>
      <c r="B49" s="25" t="s">
        <v>37</v>
      </c>
      <c r="C49" s="130"/>
      <c r="D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</row>
    <row r="50" spans="1:67" s="71" customFormat="1" x14ac:dyDescent="0.2">
      <c r="A50" s="69" t="s">
        <v>86</v>
      </c>
      <c r="B50" s="25" t="s">
        <v>35</v>
      </c>
      <c r="C50" s="70"/>
      <c r="D50" s="77"/>
      <c r="E50" s="24"/>
      <c r="F50" s="24"/>
      <c r="G50" s="24"/>
      <c r="I50" s="24"/>
      <c r="J50" s="24"/>
      <c r="K50" s="24"/>
      <c r="L50" s="100">
        <f>490*A6</f>
        <v>36404.843999999997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100">
        <f>2850*A6</f>
        <v>211742.46</v>
      </c>
      <c r="AC50" s="24"/>
      <c r="AD50" s="95">
        <v>100000</v>
      </c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</row>
    <row r="51" spans="1:67" s="71" customFormat="1" x14ac:dyDescent="0.2">
      <c r="A51" s="69" t="s">
        <v>29</v>
      </c>
      <c r="B51" s="25" t="s">
        <v>43</v>
      </c>
      <c r="C51" s="70">
        <f>439750-19750-25000-25000-25000-20000</f>
        <v>325000</v>
      </c>
      <c r="D51" s="24"/>
      <c r="E51" s="95">
        <v>20000</v>
      </c>
      <c r="F51" s="24"/>
      <c r="G51" s="95">
        <v>25000</v>
      </c>
      <c r="H51" s="24"/>
      <c r="J51" s="24"/>
      <c r="K51" s="24"/>
      <c r="L51" s="95">
        <v>50000</v>
      </c>
      <c r="M51" s="95">
        <v>25000</v>
      </c>
      <c r="N51" s="24"/>
      <c r="O51" s="95">
        <v>25000</v>
      </c>
      <c r="Q51" s="24"/>
      <c r="R51" s="24"/>
      <c r="S51" s="95">
        <v>35000</v>
      </c>
      <c r="T51" s="24"/>
      <c r="U51" s="24"/>
      <c r="V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</row>
    <row r="52" spans="1:67" s="71" customFormat="1" x14ac:dyDescent="0.2">
      <c r="A52" s="69" t="s">
        <v>141</v>
      </c>
      <c r="B52" s="25" t="s">
        <v>142</v>
      </c>
      <c r="C52" s="70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100">
        <v>55053.72</v>
      </c>
      <c r="P52" s="28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</row>
    <row r="53" spans="1:67" s="71" customFormat="1" x14ac:dyDescent="0.2">
      <c r="A53" s="69" t="s">
        <v>146</v>
      </c>
      <c r="B53" s="25" t="s">
        <v>147</v>
      </c>
      <c r="C53" s="70"/>
      <c r="D53" s="24"/>
      <c r="E53" s="24"/>
      <c r="F53" s="24"/>
      <c r="G53" s="24"/>
      <c r="H53" s="24"/>
      <c r="I53" s="24"/>
      <c r="J53" s="24"/>
      <c r="K53" s="24"/>
      <c r="L53" s="100">
        <v>90000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</row>
    <row r="54" spans="1:67" s="71" customFormat="1" x14ac:dyDescent="0.2">
      <c r="A54" s="69" t="s">
        <v>149</v>
      </c>
      <c r="B54" s="25" t="s">
        <v>148</v>
      </c>
      <c r="C54" s="70"/>
      <c r="D54" s="24"/>
      <c r="E54" s="24"/>
      <c r="F54" s="24"/>
      <c r="G54" s="24"/>
      <c r="H54" s="24"/>
      <c r="I54" s="24"/>
      <c r="J54" s="24"/>
      <c r="K54" s="24"/>
      <c r="L54" s="28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</row>
    <row r="55" spans="1:67" s="71" customFormat="1" x14ac:dyDescent="0.2">
      <c r="A55" s="69" t="s">
        <v>124</v>
      </c>
      <c r="B55" s="25" t="s">
        <v>125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T55" s="24"/>
      <c r="U55" s="24"/>
      <c r="V55" s="24"/>
      <c r="W55" s="24"/>
      <c r="X55" s="24"/>
      <c r="Y55" s="24"/>
      <c r="Z55" s="24"/>
      <c r="AA55" s="24"/>
      <c r="AC55" s="24"/>
      <c r="AD55" s="24"/>
      <c r="AE55" s="24"/>
      <c r="AF55" s="24"/>
      <c r="AG55" s="24"/>
      <c r="AH55" s="24"/>
      <c r="AI55" s="100">
        <v>203210</v>
      </c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</row>
    <row r="56" spans="1:67" s="71" customFormat="1" x14ac:dyDescent="0.2">
      <c r="A56" s="69" t="s">
        <v>40</v>
      </c>
      <c r="B56" s="25" t="s">
        <v>44</v>
      </c>
      <c r="C56" s="7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100">
        <v>1524</v>
      </c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</row>
    <row r="57" spans="1:67" s="71" customFormat="1" x14ac:dyDescent="0.2">
      <c r="A57" s="69" t="s">
        <v>90</v>
      </c>
      <c r="B57" s="25" t="s">
        <v>91</v>
      </c>
      <c r="C57" s="70">
        <f>912000+1012000-100000-100000-75000-75000-75000-75000-75000-75000-75000-75000-75000</f>
        <v>1049000</v>
      </c>
      <c r="D57" s="77"/>
      <c r="E57" s="129">
        <v>75000</v>
      </c>
      <c r="F57" s="24"/>
      <c r="H57" s="129">
        <v>75000</v>
      </c>
      <c r="J57" s="24"/>
      <c r="K57" s="24"/>
      <c r="L57" s="129">
        <v>75000</v>
      </c>
      <c r="M57" s="24"/>
      <c r="N57" s="28"/>
      <c r="O57" s="129">
        <v>100000</v>
      </c>
      <c r="P57" s="129">
        <v>100000</v>
      </c>
      <c r="Q57" s="24"/>
      <c r="R57" s="24"/>
      <c r="S57" s="129">
        <v>100000</v>
      </c>
      <c r="T57" s="24"/>
      <c r="V57" s="129">
        <v>124000</v>
      </c>
      <c r="W57" s="129">
        <v>100000</v>
      </c>
      <c r="X57" s="24"/>
      <c r="Y57" s="24"/>
      <c r="Z57" s="129">
        <v>300000</v>
      </c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</row>
    <row r="58" spans="1:67" s="71" customFormat="1" x14ac:dyDescent="0.2">
      <c r="A58" s="69" t="s">
        <v>144</v>
      </c>
      <c r="B58" s="25" t="s">
        <v>145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</row>
    <row r="59" spans="1:67" s="71" customFormat="1" x14ac:dyDescent="0.2">
      <c r="A59" s="69" t="s">
        <v>138</v>
      </c>
      <c r="B59" s="25" t="s">
        <v>136</v>
      </c>
      <c r="C59" s="70"/>
      <c r="D59" s="77"/>
      <c r="F59" s="100">
        <f t="shared" ref="F59:P59" si="22">(4260*$A$6)/6</f>
        <v>52749.875999999997</v>
      </c>
      <c r="H59" s="100">
        <f t="shared" si="22"/>
        <v>52749.875999999997</v>
      </c>
      <c r="J59" s="24"/>
      <c r="K59" s="24"/>
      <c r="L59" s="24"/>
      <c r="M59" s="100">
        <f t="shared" si="22"/>
        <v>52749.875999999997</v>
      </c>
      <c r="N59" s="24"/>
      <c r="O59" s="100">
        <f t="shared" si="22"/>
        <v>52749.875999999997</v>
      </c>
      <c r="P59" s="100">
        <f t="shared" si="22"/>
        <v>52749.875999999997</v>
      </c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</row>
    <row r="60" spans="1:67" s="71" customFormat="1" x14ac:dyDescent="0.2">
      <c r="A60" s="69" t="s">
        <v>102</v>
      </c>
      <c r="B60" s="25" t="s">
        <v>103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</row>
    <row r="61" spans="1:67" s="71" customFormat="1" ht="12.75" customHeight="1" x14ac:dyDescent="0.2">
      <c r="A61" s="151" t="s">
        <v>139</v>
      </c>
      <c r="B61" s="152" t="s">
        <v>114</v>
      </c>
      <c r="C61" s="70">
        <f>1732500-693000-200000-100000</f>
        <v>739500</v>
      </c>
      <c r="D61" s="77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</row>
    <row r="62" spans="1:67" s="71" customFormat="1" x14ac:dyDescent="0.2">
      <c r="A62" s="69" t="s">
        <v>34</v>
      </c>
      <c r="B62" s="25" t="s">
        <v>45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</row>
    <row r="63" spans="1:67" s="71" customFormat="1" x14ac:dyDescent="0.2">
      <c r="A63" s="69" t="s">
        <v>128</v>
      </c>
      <c r="B63" s="25" t="s">
        <v>129</v>
      </c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</row>
    <row r="64" spans="1:67" s="71" customFormat="1" x14ac:dyDescent="0.2">
      <c r="A64" s="69" t="s">
        <v>101</v>
      </c>
      <c r="B64" s="25" t="s">
        <v>130</v>
      </c>
      <c r="C64" s="70">
        <f>110000-25000-25000-10000</f>
        <v>50000</v>
      </c>
      <c r="D64" s="77"/>
      <c r="E64" s="24"/>
      <c r="F64" s="108">
        <f>25000/2</f>
        <v>12500</v>
      </c>
      <c r="G64" s="24"/>
      <c r="H64" s="24"/>
      <c r="I64" s="24"/>
      <c r="J64" s="24"/>
      <c r="K64" s="24"/>
      <c r="L64" s="24"/>
      <c r="M64" s="24"/>
      <c r="N64" s="24"/>
      <c r="O64" s="108">
        <f>100000/4</f>
        <v>25000</v>
      </c>
      <c r="P64" s="108">
        <f>25000/2</f>
        <v>12500</v>
      </c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</row>
    <row r="65" spans="1:67" s="71" customFormat="1" x14ac:dyDescent="0.2">
      <c r="A65" s="69" t="s">
        <v>134</v>
      </c>
      <c r="B65" s="25" t="s">
        <v>135</v>
      </c>
      <c r="C65" s="70"/>
      <c r="D65" s="77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</row>
    <row r="66" spans="1:67" s="71" customFormat="1" x14ac:dyDescent="0.2">
      <c r="A66" s="69" t="s">
        <v>38</v>
      </c>
      <c r="B66" s="25" t="s">
        <v>39</v>
      </c>
      <c r="C66" s="70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</row>
    <row r="67" spans="1:67" s="71" customFormat="1" x14ac:dyDescent="0.2">
      <c r="A67" s="69" t="s">
        <v>74</v>
      </c>
      <c r="B67" s="25" t="s">
        <v>131</v>
      </c>
      <c r="C67" s="70"/>
      <c r="D67" s="24"/>
      <c r="E67" s="100">
        <v>20000</v>
      </c>
      <c r="G67" s="24"/>
      <c r="H67" s="100">
        <v>12500</v>
      </c>
      <c r="J67" s="24"/>
      <c r="K67" s="24"/>
      <c r="L67" s="100">
        <f>80000/2</f>
        <v>40000</v>
      </c>
      <c r="M67" s="24"/>
      <c r="N67" s="100">
        <v>15000</v>
      </c>
      <c r="O67" s="24"/>
      <c r="P67" s="100">
        <v>11667</v>
      </c>
      <c r="Q67" s="24"/>
      <c r="R67" s="24"/>
      <c r="S67" s="100">
        <f>7500+16500</f>
        <v>24000</v>
      </c>
      <c r="T67" s="24"/>
      <c r="U67" s="143">
        <v>40000</v>
      </c>
      <c r="V67" s="24"/>
      <c r="W67" s="100">
        <v>10000</v>
      </c>
      <c r="X67" s="24"/>
      <c r="Y67" s="24"/>
      <c r="Z67" s="100">
        <v>30000</v>
      </c>
      <c r="AA67" s="24"/>
      <c r="AB67" s="24"/>
      <c r="AC67" s="100">
        <v>30000</v>
      </c>
      <c r="AD67" s="24"/>
      <c r="AE67" s="24"/>
      <c r="AF67" s="100">
        <v>12000</v>
      </c>
      <c r="AG67" s="24"/>
      <c r="AH67" s="24"/>
      <c r="AI67" s="100">
        <v>9500</v>
      </c>
      <c r="AJ67" s="24"/>
      <c r="AK67" s="100">
        <v>22000</v>
      </c>
      <c r="AL67" s="24"/>
      <c r="AM67" s="24"/>
      <c r="AN67" s="100">
        <v>20000</v>
      </c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</row>
    <row r="68" spans="1:67" s="71" customFormat="1" x14ac:dyDescent="0.2">
      <c r="A68" s="69" t="s">
        <v>74</v>
      </c>
      <c r="B68" s="25" t="s">
        <v>150</v>
      </c>
      <c r="C68" s="164">
        <v>3567700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</row>
    <row r="69" spans="1:67" s="73" customFormat="1" x14ac:dyDescent="0.2">
      <c r="A69" s="78"/>
      <c r="B69" s="79"/>
      <c r="C69" s="75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</row>
    <row r="70" spans="1:67" s="94" customFormat="1" ht="33.75" x14ac:dyDescent="0.2">
      <c r="A70" s="91" t="s">
        <v>60</v>
      </c>
      <c r="B70" s="92" t="s">
        <v>58</v>
      </c>
      <c r="C70" s="93">
        <v>248639.70012000017</v>
      </c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3"/>
      <c r="BK70" s="93"/>
      <c r="BL70" s="93"/>
      <c r="BM70" s="93"/>
      <c r="BN70" s="93"/>
      <c r="BO70" s="93"/>
    </row>
    <row r="71" spans="1:67" s="5" customFormat="1" x14ac:dyDescent="0.2">
      <c r="A71" s="42"/>
      <c r="B71" s="12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</row>
    <row r="72" spans="1:67" s="5" customFormat="1" x14ac:dyDescent="0.2">
      <c r="A72" s="36" t="s">
        <v>49</v>
      </c>
      <c r="B72" s="12"/>
      <c r="C72" s="13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>
        <f>1400000+7400*A3</f>
        <v>2038406.88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</row>
    <row r="73" spans="1:67" s="5" customFormat="1" x14ac:dyDescent="0.2">
      <c r="A73" s="36" t="s">
        <v>57</v>
      </c>
      <c r="B73" s="12"/>
      <c r="C73" s="68"/>
      <c r="D73" s="26"/>
      <c r="E73" s="139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68">
        <v>1600000</v>
      </c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</row>
    <row r="74" spans="1:67" s="5" customFormat="1" x14ac:dyDescent="0.2">
      <c r="A74" s="36" t="s">
        <v>61</v>
      </c>
      <c r="B74" s="12"/>
      <c r="C74" s="13">
        <v>112000</v>
      </c>
      <c r="D74" s="26"/>
      <c r="E74" s="139"/>
      <c r="F74" s="13"/>
      <c r="G74" s="13"/>
      <c r="H74" s="13"/>
      <c r="I74" s="13"/>
      <c r="J74" s="13"/>
      <c r="K74" s="13"/>
      <c r="L74" s="13"/>
      <c r="M74" s="13"/>
      <c r="N74" s="13"/>
      <c r="O74" s="13">
        <f>4600*$A$3</f>
        <v>396847.51999999996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</row>
    <row r="75" spans="1:67" s="5" customFormat="1" x14ac:dyDescent="0.2">
      <c r="A75" s="42" t="s">
        <v>151</v>
      </c>
      <c r="B75" s="12"/>
      <c r="C75" s="68">
        <f>(10000*10)*A6</f>
        <v>7429559.9999999991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26">
        <f>C75/2</f>
        <v>3714779.9999999995</v>
      </c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</row>
    <row r="76" spans="1:67" s="5" customFormat="1" x14ac:dyDescent="0.2">
      <c r="A76" s="36" t="s">
        <v>72</v>
      </c>
      <c r="B76" s="27" t="s">
        <v>73</v>
      </c>
      <c r="C76" s="62">
        <v>3637079.2460000003</v>
      </c>
      <c r="D76" s="35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</row>
    <row r="77" spans="1:67" s="5" customFormat="1" x14ac:dyDescent="0.2">
      <c r="A77" s="42"/>
      <c r="B77" s="12"/>
      <c r="C77" s="61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</row>
    <row r="78" spans="1:67" s="84" customFormat="1" x14ac:dyDescent="0.2">
      <c r="A78" s="81" t="s">
        <v>66</v>
      </c>
      <c r="B78" s="82"/>
      <c r="C78" s="63"/>
      <c r="D78" s="83"/>
      <c r="E78" s="83">
        <f>$C$5+E16-E26</f>
        <v>6864900.3250000002</v>
      </c>
      <c r="F78" s="83">
        <f t="shared" ref="F78:BN78" si="23">E78+F16-F26</f>
        <v>6045054.474974026</v>
      </c>
      <c r="G78" s="83">
        <f t="shared" si="23"/>
        <v>6564062.974974026</v>
      </c>
      <c r="H78" s="83">
        <f t="shared" si="23"/>
        <v>6144387.8156406926</v>
      </c>
      <c r="I78" s="83">
        <f t="shared" si="23"/>
        <v>6144387.8156406926</v>
      </c>
      <c r="J78" s="83">
        <f t="shared" si="23"/>
        <v>6144387.8156406926</v>
      </c>
      <c r="K78" s="83">
        <f t="shared" si="23"/>
        <v>6144387.8156406926</v>
      </c>
      <c r="L78" s="83">
        <f t="shared" si="23"/>
        <v>7041268.6534588747</v>
      </c>
      <c r="M78" s="83">
        <f t="shared" si="23"/>
        <v>6729591.3880188745</v>
      </c>
      <c r="N78" s="83">
        <f t="shared" si="23"/>
        <v>6388238.6598879658</v>
      </c>
      <c r="O78" s="83">
        <f t="shared" si="23"/>
        <v>7521289.6680261474</v>
      </c>
      <c r="P78" s="83">
        <f t="shared" si="23"/>
        <v>5947710.3881461471</v>
      </c>
      <c r="Q78" s="83">
        <f t="shared" si="23"/>
        <v>5947710.3881461471</v>
      </c>
      <c r="R78" s="83">
        <f t="shared" si="23"/>
        <v>5947710.3881461471</v>
      </c>
      <c r="S78" s="83">
        <f t="shared" si="23"/>
        <v>5496874.7357728137</v>
      </c>
      <c r="T78" s="83">
        <f t="shared" si="23"/>
        <v>5150856.4167328142</v>
      </c>
      <c r="U78" s="83">
        <f t="shared" si="23"/>
        <v>4776360.8097994812</v>
      </c>
      <c r="V78" s="83">
        <f t="shared" si="23"/>
        <v>4446778.1574261477</v>
      </c>
      <c r="W78" s="83">
        <f t="shared" si="23"/>
        <v>3930558.6156128142</v>
      </c>
      <c r="X78" s="83">
        <f t="shared" si="23"/>
        <v>3930558.6156128142</v>
      </c>
      <c r="Y78" s="83">
        <f t="shared" si="23"/>
        <v>3930558.6156128142</v>
      </c>
      <c r="Z78" s="83">
        <f t="shared" si="23"/>
        <v>3281739.9632394807</v>
      </c>
      <c r="AA78" s="83">
        <f t="shared" si="23"/>
        <v>-215195.57857385278</v>
      </c>
      <c r="AB78" s="83">
        <f t="shared" si="23"/>
        <v>-895242.75194718607</v>
      </c>
      <c r="AC78" s="83">
        <f t="shared" si="23"/>
        <v>-2116694.6703908225</v>
      </c>
      <c r="AD78" s="83">
        <f t="shared" si="23"/>
        <v>-3079622.6885726405</v>
      </c>
      <c r="AE78" s="83">
        <f t="shared" si="23"/>
        <v>-3079622.6885726405</v>
      </c>
      <c r="AF78" s="83">
        <f t="shared" si="23"/>
        <v>-3774182.6885726405</v>
      </c>
      <c r="AG78" s="83">
        <f t="shared" si="23"/>
        <v>-4009543.9167035497</v>
      </c>
      <c r="AH78" s="83">
        <f t="shared" si="23"/>
        <v>-5002656.956325368</v>
      </c>
      <c r="AI78" s="83">
        <f t="shared" si="23"/>
        <v>-5958180.3067690041</v>
      </c>
      <c r="AJ78" s="83">
        <f t="shared" si="23"/>
        <v>-6478793.346390822</v>
      </c>
      <c r="AK78" s="83">
        <f t="shared" si="23"/>
        <v>-6746113.3127544578</v>
      </c>
      <c r="AL78" s="83">
        <f t="shared" si="23"/>
        <v>-6746113.3127544578</v>
      </c>
      <c r="AM78" s="83">
        <f t="shared" si="23"/>
        <v>-6746113.3127544578</v>
      </c>
      <c r="AN78" s="83">
        <f t="shared" si="23"/>
        <v>-8784010.2151544578</v>
      </c>
      <c r="AO78" s="83">
        <f t="shared" si="23"/>
        <v>-9166975.9357362762</v>
      </c>
      <c r="AP78" s="83">
        <f t="shared" si="23"/>
        <v>-9274932.2690696102</v>
      </c>
      <c r="AQ78" s="83">
        <f t="shared" si="23"/>
        <v>-9451667.0790332463</v>
      </c>
      <c r="AR78" s="83">
        <f t="shared" si="23"/>
        <v>-9811671.8889968824</v>
      </c>
      <c r="AS78" s="83">
        <f t="shared" si="23"/>
        <v>-9811671.8889968824</v>
      </c>
      <c r="AT78" s="83">
        <f t="shared" si="23"/>
        <v>-9811671.8889968824</v>
      </c>
      <c r="AU78" s="83">
        <f t="shared" si="23"/>
        <v>-9988406.6989605185</v>
      </c>
      <c r="AV78" s="83">
        <f t="shared" si="23"/>
        <v>-10165141.508924155</v>
      </c>
      <c r="AW78" s="83">
        <f t="shared" si="23"/>
        <v>-10341876.318887791</v>
      </c>
      <c r="AX78" s="83">
        <f t="shared" si="23"/>
        <v>-10341876.318887791</v>
      </c>
      <c r="AY78" s="83">
        <f t="shared" si="23"/>
        <v>-7610891.3188877907</v>
      </c>
      <c r="AZ78" s="83">
        <f t="shared" si="23"/>
        <v>-7610891.3188877907</v>
      </c>
      <c r="BA78" s="83">
        <f t="shared" si="23"/>
        <v>-7610891.3188877907</v>
      </c>
      <c r="BB78" s="83">
        <f t="shared" si="23"/>
        <v>-7610891.3188877907</v>
      </c>
      <c r="BC78" s="83">
        <f t="shared" si="23"/>
        <v>-7610891.3188877907</v>
      </c>
      <c r="BD78" s="83">
        <f t="shared" si="23"/>
        <v>-7610891.3188877907</v>
      </c>
      <c r="BE78" s="83">
        <f t="shared" si="23"/>
        <v>-7610891.3188877907</v>
      </c>
      <c r="BF78" s="83">
        <f t="shared" si="23"/>
        <v>-7610891.3188877907</v>
      </c>
      <c r="BG78" s="83">
        <f t="shared" si="23"/>
        <v>-7610891.3188877907</v>
      </c>
      <c r="BH78" s="83">
        <f t="shared" si="23"/>
        <v>-7610891.3188877907</v>
      </c>
      <c r="BI78" s="83">
        <f t="shared" si="23"/>
        <v>-5285699.4988877913</v>
      </c>
      <c r="BJ78" s="83">
        <f t="shared" si="23"/>
        <v>-5285699.4988877913</v>
      </c>
      <c r="BK78" s="83">
        <f t="shared" si="23"/>
        <v>-5285699.4988877913</v>
      </c>
      <c r="BL78" s="83">
        <f t="shared" si="23"/>
        <v>-5285699.4988877913</v>
      </c>
      <c r="BM78" s="83">
        <f t="shared" si="23"/>
        <v>-5285699.4988877913</v>
      </c>
      <c r="BN78" s="83">
        <f t="shared" si="23"/>
        <v>-5285699.4988877913</v>
      </c>
      <c r="BO78" s="83">
        <f t="shared" ref="BO78" si="24">BN78+BO16-BO26</f>
        <v>-5285699.4988877913</v>
      </c>
    </row>
    <row r="80" spans="1:67" s="5" customFormat="1" x14ac:dyDescent="0.2">
      <c r="A80" s="42"/>
      <c r="B80" s="12"/>
      <c r="C80" s="68"/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</row>
    <row r="81" spans="1:67" s="89" customFormat="1" x14ac:dyDescent="0.2">
      <c r="A81" s="85" t="s">
        <v>65</v>
      </c>
      <c r="B81" s="86"/>
      <c r="C81" s="87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</row>
    <row r="82" spans="1:67" s="5" customFormat="1" ht="22.5" x14ac:dyDescent="0.2">
      <c r="A82" s="36" t="s">
        <v>67</v>
      </c>
      <c r="B82" s="27" t="s">
        <v>68</v>
      </c>
      <c r="C82" s="68">
        <v>3221210.79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</row>
    <row r="83" spans="1:67" s="5" customFormat="1" x14ac:dyDescent="0.2">
      <c r="A83" s="36" t="s">
        <v>69</v>
      </c>
      <c r="B83" s="27" t="s">
        <v>70</v>
      </c>
      <c r="C83" s="68">
        <v>9814338.4000000004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</row>
    <row r="84" spans="1:67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</row>
    <row r="85" spans="1:67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</row>
    <row r="87" spans="1:67" x14ac:dyDescent="0.25">
      <c r="B87" s="14"/>
    </row>
  </sheetData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R87"/>
  <sheetViews>
    <sheetView workbookViewId="0">
      <selection activeCell="I33" sqref="I33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4.85546875" style="3" customWidth="1"/>
    <col min="6" max="6" width="13" style="3" customWidth="1"/>
    <col min="7" max="7" width="12.7109375" style="3" customWidth="1"/>
    <col min="8" max="8" width="11.85546875" style="3" customWidth="1"/>
    <col min="9" max="9" width="13.140625" style="3" customWidth="1"/>
    <col min="10" max="10" width="11.7109375" style="3" customWidth="1"/>
    <col min="11" max="11" width="12.5703125" style="3" customWidth="1"/>
    <col min="12" max="12" width="15.7109375" style="3" customWidth="1"/>
    <col min="13" max="13" width="12.7109375" style="3" customWidth="1"/>
    <col min="14" max="15" width="12.85546875" style="3" customWidth="1"/>
    <col min="16" max="17" width="11.85546875" style="3" customWidth="1"/>
    <col min="18" max="18" width="13" style="3" customWidth="1"/>
    <col min="19" max="19" width="12.28515625" style="3" customWidth="1"/>
    <col min="20" max="20" width="12.140625" style="3" customWidth="1"/>
    <col min="21" max="21" width="11.140625" style="3" customWidth="1"/>
    <col min="22" max="22" width="12.7109375" style="3" customWidth="1"/>
    <col min="23" max="23" width="11.140625" style="3" customWidth="1"/>
    <col min="24" max="24" width="11.7109375" style="3" customWidth="1"/>
    <col min="25" max="25" width="11.5703125" style="3" customWidth="1"/>
    <col min="26" max="27" width="10.85546875" style="3" customWidth="1"/>
    <col min="28" max="28" width="12.85546875" style="3" customWidth="1"/>
    <col min="29" max="29" width="12" style="3" customWidth="1"/>
    <col min="30" max="30" width="11.140625" style="3" customWidth="1"/>
    <col min="31" max="31" width="12.7109375" style="3" customWidth="1"/>
    <col min="32" max="32" width="11.42578125" style="3" customWidth="1"/>
    <col min="33" max="33" width="11.7109375" style="3" customWidth="1"/>
    <col min="34" max="34" width="10.5703125" style="3" customWidth="1"/>
    <col min="35" max="35" width="12" style="3" customWidth="1"/>
    <col min="36" max="36" width="11.140625" style="3" customWidth="1"/>
    <col min="37" max="37" width="10.42578125" style="3" customWidth="1"/>
    <col min="38" max="38" width="14" style="3" customWidth="1"/>
    <col min="39" max="39" width="10.42578125" style="3" customWidth="1"/>
    <col min="40" max="40" width="12.5703125" style="3" customWidth="1"/>
    <col min="41" max="41" width="13.28515625" style="3" customWidth="1"/>
    <col min="42" max="42" width="12.140625" style="3" customWidth="1"/>
    <col min="43" max="43" width="12.42578125" style="3" customWidth="1"/>
    <col min="44" max="44" width="12.28515625" style="3" customWidth="1"/>
    <col min="45" max="45" width="12.7109375" style="3" customWidth="1"/>
    <col min="46" max="46" width="11.28515625" style="3" customWidth="1"/>
    <col min="47" max="47" width="11.85546875" style="3" customWidth="1"/>
    <col min="48" max="48" width="12.28515625" style="3" customWidth="1"/>
    <col min="49" max="49" width="11.140625" style="3" customWidth="1"/>
    <col min="50" max="50" width="10.5703125" style="3" customWidth="1"/>
    <col min="51" max="51" width="10.85546875" style="3" customWidth="1"/>
    <col min="52" max="52" width="12" style="3" customWidth="1"/>
    <col min="53" max="53" width="13.140625" style="3" customWidth="1"/>
    <col min="54" max="54" width="11.140625" style="3" customWidth="1"/>
    <col min="55" max="55" width="12.5703125" style="3" customWidth="1"/>
    <col min="56" max="56" width="12.140625" style="3" customWidth="1"/>
    <col min="57" max="57" width="12.42578125" style="3" customWidth="1"/>
    <col min="58" max="58" width="12" style="3" customWidth="1"/>
    <col min="59" max="59" width="14.85546875" style="3" customWidth="1"/>
    <col min="60" max="60" width="11.5703125" style="3" customWidth="1"/>
    <col min="61" max="61" width="13.7109375" style="3" customWidth="1"/>
    <col min="62" max="62" width="12.42578125" style="3" customWidth="1"/>
    <col min="63" max="63" width="10.85546875" style="3" customWidth="1"/>
    <col min="64" max="64" width="12.140625" style="3" customWidth="1"/>
    <col min="65" max="65" width="11.85546875" style="3" customWidth="1"/>
    <col min="66" max="66" width="12.7109375" style="3" customWidth="1"/>
    <col min="67" max="67" width="12.42578125" style="3" customWidth="1"/>
    <col min="68" max="68" width="11.140625" style="3" customWidth="1"/>
    <col min="69" max="69" width="11.5703125" style="3" customWidth="1"/>
    <col min="70" max="70" width="12.28515625" style="3" customWidth="1"/>
    <col min="71" max="16384" width="9" style="3"/>
  </cols>
  <sheetData>
    <row r="1" spans="1:70" ht="12" thickBot="1" x14ac:dyDescent="0.3"/>
    <row r="2" spans="1:70" s="1" customFormat="1" x14ac:dyDescent="0.2">
      <c r="A2" s="43" t="s">
        <v>50</v>
      </c>
      <c r="B2" s="15" t="s">
        <v>27</v>
      </c>
      <c r="C2" s="50">
        <v>8271072.25</v>
      </c>
    </row>
    <row r="3" spans="1:70" s="1" customFormat="1" ht="12" thickBot="1" x14ac:dyDescent="0.25">
      <c r="A3" s="44">
        <v>86.271199999999993</v>
      </c>
      <c r="B3" s="15" t="s">
        <v>28</v>
      </c>
      <c r="C3" s="50">
        <v>10778.95</v>
      </c>
    </row>
    <row r="4" spans="1:70" s="8" customFormat="1" ht="12" thickBot="1" x14ac:dyDescent="0.25">
      <c r="A4" s="45"/>
      <c r="B4" s="15" t="s">
        <v>25</v>
      </c>
      <c r="C4" s="51">
        <v>0</v>
      </c>
    </row>
    <row r="5" spans="1:70" s="6" customFormat="1" x14ac:dyDescent="0.2">
      <c r="A5" s="43" t="s">
        <v>51</v>
      </c>
      <c r="B5" s="49" t="s">
        <v>26</v>
      </c>
      <c r="C5" s="52">
        <f>SUM(C2:C4)</f>
        <v>8281851.2000000002</v>
      </c>
    </row>
    <row r="6" spans="1:70" s="6" customFormat="1" ht="12" thickBot="1" x14ac:dyDescent="0.25">
      <c r="A6" s="44">
        <v>74.295599999999993</v>
      </c>
      <c r="B6" s="16"/>
      <c r="C6" s="53"/>
      <c r="D6" s="17"/>
    </row>
    <row r="7" spans="1:70" s="6" customFormat="1" ht="12" thickBot="1" x14ac:dyDescent="0.25">
      <c r="A7" s="105" t="s">
        <v>51</v>
      </c>
      <c r="B7" s="18" t="s">
        <v>127</v>
      </c>
      <c r="C7" s="54">
        <f>SUM(16:16)</f>
        <v>18691521.700799998</v>
      </c>
    </row>
    <row r="8" spans="1:70" x14ac:dyDescent="0.25">
      <c r="A8" s="43" t="s">
        <v>52</v>
      </c>
      <c r="B8" s="18" t="s">
        <v>126</v>
      </c>
      <c r="C8" s="54">
        <f>SUM(26:26)</f>
        <v>55059558.301407792</v>
      </c>
    </row>
    <row r="9" spans="1:70" ht="12" thickBot="1" x14ac:dyDescent="0.3">
      <c r="A9" s="44">
        <v>10.9536</v>
      </c>
      <c r="B9" s="19" t="s">
        <v>64</v>
      </c>
      <c r="C9" s="55">
        <f>C5+C7-C8-C11</f>
        <v>-51323858.132327795</v>
      </c>
    </row>
    <row r="10" spans="1:70" x14ac:dyDescent="0.25">
      <c r="A10" s="99" t="s">
        <v>80</v>
      </c>
      <c r="B10" s="18" t="s">
        <v>23</v>
      </c>
      <c r="C10" s="56">
        <f>C16</f>
        <v>0</v>
      </c>
    </row>
    <row r="11" spans="1:70" x14ac:dyDescent="0.25">
      <c r="A11" s="101" t="s">
        <v>87</v>
      </c>
      <c r="B11" s="18" t="s">
        <v>24</v>
      </c>
      <c r="C11" s="54">
        <f>C26</f>
        <v>23237672.731719997</v>
      </c>
    </row>
    <row r="12" spans="1:70" x14ac:dyDescent="0.25">
      <c r="A12" s="107" t="s">
        <v>88</v>
      </c>
    </row>
    <row r="13" spans="1:70" x14ac:dyDescent="0.25">
      <c r="A13" s="38"/>
      <c r="B13" s="10"/>
      <c r="C13" s="57"/>
      <c r="D13" s="10"/>
    </row>
    <row r="14" spans="1:70" s="2" customFormat="1" x14ac:dyDescent="0.25">
      <c r="A14" s="64"/>
      <c r="B14" s="65"/>
      <c r="C14" s="58" t="s">
        <v>56</v>
      </c>
      <c r="D14" s="66"/>
      <c r="E14" s="66">
        <v>46178</v>
      </c>
      <c r="F14" s="66">
        <v>46179</v>
      </c>
      <c r="G14" s="66">
        <v>46180</v>
      </c>
      <c r="H14" s="66">
        <v>46181</v>
      </c>
      <c r="I14" s="66">
        <v>46182</v>
      </c>
      <c r="J14" s="66">
        <v>46183</v>
      </c>
      <c r="K14" s="66">
        <v>46184</v>
      </c>
      <c r="L14" s="66">
        <v>46185</v>
      </c>
      <c r="M14" s="66">
        <v>46186</v>
      </c>
      <c r="N14" s="66">
        <v>46187</v>
      </c>
      <c r="O14" s="66">
        <v>46188</v>
      </c>
      <c r="P14" s="66">
        <v>46189</v>
      </c>
      <c r="Q14" s="66">
        <v>46190</v>
      </c>
      <c r="R14" s="66">
        <v>46191</v>
      </c>
      <c r="S14" s="66">
        <v>46192</v>
      </c>
      <c r="T14" s="66">
        <v>46193</v>
      </c>
      <c r="U14" s="66">
        <v>46194</v>
      </c>
      <c r="V14" s="66">
        <v>46195</v>
      </c>
      <c r="W14" s="66">
        <v>46196</v>
      </c>
      <c r="X14" s="66">
        <v>46197</v>
      </c>
      <c r="Y14" s="66">
        <v>46198</v>
      </c>
      <c r="Z14" s="66">
        <v>46199</v>
      </c>
      <c r="AA14" s="66">
        <v>46200</v>
      </c>
      <c r="AB14" s="66">
        <v>46201</v>
      </c>
      <c r="AC14" s="66">
        <v>46202</v>
      </c>
      <c r="AD14" s="66">
        <v>46203</v>
      </c>
      <c r="AE14" s="66">
        <v>46204</v>
      </c>
      <c r="AF14" s="66">
        <v>46205</v>
      </c>
      <c r="AG14" s="66">
        <v>46206</v>
      </c>
      <c r="AH14" s="66">
        <v>46207</v>
      </c>
      <c r="AI14" s="66">
        <v>46208</v>
      </c>
      <c r="AJ14" s="66">
        <v>46209</v>
      </c>
      <c r="AK14" s="66">
        <v>46210</v>
      </c>
      <c r="AL14" s="66">
        <v>46211</v>
      </c>
      <c r="AM14" s="66">
        <v>46212</v>
      </c>
      <c r="AN14" s="66">
        <v>46213</v>
      </c>
      <c r="AO14" s="66">
        <v>46214</v>
      </c>
      <c r="AP14" s="66">
        <v>46215</v>
      </c>
      <c r="AQ14" s="66">
        <v>46216</v>
      </c>
      <c r="AR14" s="66">
        <v>46217</v>
      </c>
      <c r="AS14" s="66">
        <v>46218</v>
      </c>
      <c r="AT14" s="66">
        <v>46219</v>
      </c>
      <c r="AU14" s="66">
        <v>46220</v>
      </c>
      <c r="AV14" s="66">
        <v>46221</v>
      </c>
      <c r="AW14" s="66">
        <v>46222</v>
      </c>
      <c r="AX14" s="66">
        <v>46223</v>
      </c>
      <c r="AY14" s="66">
        <v>46224</v>
      </c>
      <c r="AZ14" s="66">
        <v>46225</v>
      </c>
      <c r="BA14" s="66">
        <v>46226</v>
      </c>
      <c r="BB14" s="66">
        <v>46227</v>
      </c>
      <c r="BC14" s="66">
        <v>46228</v>
      </c>
      <c r="BD14" s="66">
        <v>46229</v>
      </c>
      <c r="BE14" s="66">
        <v>46230</v>
      </c>
      <c r="BF14" s="66">
        <v>46231</v>
      </c>
      <c r="BG14" s="66">
        <v>46232</v>
      </c>
      <c r="BH14" s="66">
        <v>46233</v>
      </c>
      <c r="BI14" s="66">
        <v>46234</v>
      </c>
      <c r="BJ14" s="66">
        <v>46235</v>
      </c>
      <c r="BK14" s="66">
        <v>46236</v>
      </c>
      <c r="BL14" s="66">
        <v>46237</v>
      </c>
      <c r="BM14" s="66">
        <v>46238</v>
      </c>
      <c r="BN14" s="66">
        <v>46239</v>
      </c>
      <c r="BO14" s="66">
        <v>46240</v>
      </c>
      <c r="BP14" s="66">
        <v>46241</v>
      </c>
      <c r="BQ14" s="66">
        <v>46242</v>
      </c>
      <c r="BR14" s="66">
        <v>46243</v>
      </c>
    </row>
    <row r="15" spans="1:70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O16" si="0">SUM(E17:E25)</f>
        <v>0</v>
      </c>
      <c r="F16" s="29">
        <f t="shared" si="0"/>
        <v>0</v>
      </c>
      <c r="G16" s="29">
        <f t="shared" si="0"/>
        <v>0</v>
      </c>
      <c r="H16" s="29">
        <f t="shared" si="0"/>
        <v>1000000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135">
        <f t="shared" si="0"/>
        <v>0</v>
      </c>
      <c r="M16" s="135">
        <f t="shared" si="0"/>
        <v>0</v>
      </c>
      <c r="N16" s="135">
        <f t="shared" si="0"/>
        <v>0</v>
      </c>
      <c r="O16" s="29">
        <f t="shared" si="0"/>
        <v>2000000</v>
      </c>
      <c r="P16" s="29">
        <f t="shared" si="0"/>
        <v>0</v>
      </c>
      <c r="Q16" s="29">
        <f t="shared" si="0"/>
        <v>0</v>
      </c>
      <c r="R16" s="29">
        <f t="shared" si="0"/>
        <v>8289281.9807999991</v>
      </c>
      <c r="S16" s="29">
        <f t="shared" si="0"/>
        <v>0</v>
      </c>
      <c r="T16" s="135">
        <f t="shared" si="0"/>
        <v>0</v>
      </c>
      <c r="U16" s="135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135">
        <f t="shared" si="0"/>
        <v>0</v>
      </c>
      <c r="AB16" s="135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135">
        <f t="shared" si="0"/>
        <v>0</v>
      </c>
      <c r="AI16" s="135">
        <f t="shared" si="0"/>
        <v>0</v>
      </c>
      <c r="AJ16" s="29">
        <f t="shared" si="0"/>
        <v>0</v>
      </c>
      <c r="AK16" s="29">
        <f t="shared" si="0"/>
        <v>0</v>
      </c>
      <c r="AL16" s="29">
        <f t="shared" si="0"/>
        <v>0</v>
      </c>
      <c r="AM16" s="29">
        <f t="shared" si="0"/>
        <v>0</v>
      </c>
      <c r="AN16" s="29">
        <f t="shared" si="0"/>
        <v>0</v>
      </c>
      <c r="AO16" s="135">
        <f t="shared" si="0"/>
        <v>0</v>
      </c>
      <c r="AP16" s="135">
        <f t="shared" si="0"/>
        <v>0</v>
      </c>
      <c r="AQ16" s="29">
        <f t="shared" si="0"/>
        <v>0</v>
      </c>
      <c r="AR16" s="29">
        <f t="shared" si="0"/>
        <v>0</v>
      </c>
      <c r="AS16" s="29">
        <f t="shared" si="0"/>
        <v>0</v>
      </c>
      <c r="AT16" s="29">
        <f t="shared" si="0"/>
        <v>0</v>
      </c>
      <c r="AU16" s="29">
        <f t="shared" si="0"/>
        <v>0</v>
      </c>
      <c r="AV16" s="135">
        <f t="shared" si="0"/>
        <v>0</v>
      </c>
      <c r="AW16" s="135">
        <f t="shared" si="0"/>
        <v>0</v>
      </c>
      <c r="AX16" s="29">
        <f t="shared" si="0"/>
        <v>0</v>
      </c>
      <c r="AY16" s="29">
        <f t="shared" si="0"/>
        <v>0</v>
      </c>
      <c r="AZ16" s="29">
        <f t="shared" si="0"/>
        <v>0</v>
      </c>
      <c r="BA16" s="29">
        <f t="shared" si="0"/>
        <v>0</v>
      </c>
      <c r="BB16" s="29">
        <f t="shared" si="0"/>
        <v>4330985</v>
      </c>
      <c r="BC16" s="135">
        <f t="shared" si="0"/>
        <v>0</v>
      </c>
      <c r="BD16" s="135">
        <f t="shared" si="0"/>
        <v>0</v>
      </c>
      <c r="BE16" s="29">
        <f t="shared" si="0"/>
        <v>0</v>
      </c>
      <c r="BF16" s="29">
        <f t="shared" si="0"/>
        <v>0</v>
      </c>
      <c r="BG16" s="29">
        <f t="shared" si="0"/>
        <v>0</v>
      </c>
      <c r="BH16" s="29">
        <f t="shared" si="0"/>
        <v>0</v>
      </c>
      <c r="BI16" s="29">
        <f t="shared" si="0"/>
        <v>0</v>
      </c>
      <c r="BJ16" s="135">
        <f t="shared" si="0"/>
        <v>0</v>
      </c>
      <c r="BK16" s="135">
        <f t="shared" si="0"/>
        <v>0</v>
      </c>
      <c r="BL16" s="29">
        <f t="shared" si="0"/>
        <v>3071254.7199999997</v>
      </c>
      <c r="BM16" s="29">
        <f t="shared" si="0"/>
        <v>0</v>
      </c>
      <c r="BN16" s="29">
        <f t="shared" si="0"/>
        <v>0</v>
      </c>
      <c r="BO16" s="29">
        <f t="shared" si="0"/>
        <v>0</v>
      </c>
      <c r="BP16" s="29">
        <f t="shared" ref="BP16:BR16" si="1">SUM(BP17:BP25)</f>
        <v>0</v>
      </c>
      <c r="BQ16" s="135">
        <f t="shared" si="1"/>
        <v>0</v>
      </c>
      <c r="BR16" s="135">
        <f t="shared" si="1"/>
        <v>0</v>
      </c>
    </row>
    <row r="17" spans="1:70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</row>
    <row r="18" spans="1:70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>
        <v>1000000</v>
      </c>
      <c r="I18" s="30"/>
      <c r="J18" s="30"/>
      <c r="K18" s="30"/>
      <c r="L18" s="30"/>
      <c r="M18" s="30"/>
      <c r="N18" s="30"/>
      <c r="O18" s="30">
        <v>2000000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</row>
    <row r="19" spans="1:70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</row>
    <row r="20" spans="1:70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>
        <v>4330985</v>
      </c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</row>
    <row r="21" spans="1:70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</row>
    <row r="22" spans="1:70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</row>
    <row r="23" spans="1:70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>
        <f>96084*A3</f>
        <v>8289281.9807999991</v>
      </c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</row>
    <row r="24" spans="1:70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D24" s="30"/>
      <c r="AE24" s="30"/>
      <c r="AF24" s="30"/>
      <c r="AG24" s="30"/>
      <c r="AH24" s="30"/>
      <c r="AI24" s="30"/>
      <c r="AJ24" s="30"/>
      <c r="AK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165">
        <f>35600*A3</f>
        <v>3071254.7199999997</v>
      </c>
      <c r="BM24" s="30"/>
      <c r="BN24" s="30"/>
      <c r="BO24" s="30"/>
      <c r="BP24" s="30"/>
      <c r="BQ24" s="30"/>
      <c r="BR24" s="30"/>
    </row>
    <row r="25" spans="1:70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s="4" customFormat="1" x14ac:dyDescent="0.2">
      <c r="A26" s="41" t="s">
        <v>1</v>
      </c>
      <c r="B26" s="22"/>
      <c r="C26" s="34">
        <f>SUM(C28:C76)</f>
        <v>23237672.731719997</v>
      </c>
      <c r="D26" s="34"/>
      <c r="E26" s="34">
        <f t="shared" ref="E26:AJ26" si="2">SUM(E27:E77)</f>
        <v>1006506.9199999999</v>
      </c>
      <c r="F26" s="34">
        <f t="shared" si="2"/>
        <v>0</v>
      </c>
      <c r="G26" s="34">
        <f t="shared" si="2"/>
        <v>0</v>
      </c>
      <c r="H26" s="34">
        <f t="shared" si="2"/>
        <v>1046661.1399350648</v>
      </c>
      <c r="I26" s="34">
        <f t="shared" si="2"/>
        <v>185110.78509090908</v>
      </c>
      <c r="J26" s="34">
        <f t="shared" si="2"/>
        <v>480991.5</v>
      </c>
      <c r="K26" s="34">
        <f t="shared" si="2"/>
        <v>419618.2093333333</v>
      </c>
      <c r="L26" s="34">
        <f t="shared" si="2"/>
        <v>0</v>
      </c>
      <c r="M26" s="34">
        <f t="shared" si="2"/>
        <v>0</v>
      </c>
      <c r="N26" s="34">
        <f t="shared" si="2"/>
        <v>0</v>
      </c>
      <c r="O26" s="34">
        <f t="shared" si="2"/>
        <v>1103007.1621818182</v>
      </c>
      <c r="P26" s="34">
        <f t="shared" si="2"/>
        <v>311677.26543999999</v>
      </c>
      <c r="Q26" s="34">
        <f t="shared" si="2"/>
        <v>341352.72813090903</v>
      </c>
      <c r="R26" s="34">
        <f t="shared" si="2"/>
        <v>7156230.9726618174</v>
      </c>
      <c r="S26" s="34">
        <f t="shared" si="2"/>
        <v>1573579.27988</v>
      </c>
      <c r="T26" s="34">
        <f t="shared" si="2"/>
        <v>0</v>
      </c>
      <c r="U26" s="34">
        <f t="shared" si="2"/>
        <v>0</v>
      </c>
      <c r="V26" s="34">
        <f t="shared" si="2"/>
        <v>649045.65237333335</v>
      </c>
      <c r="W26" s="34">
        <f t="shared" si="2"/>
        <v>346018.31903999997</v>
      </c>
      <c r="X26" s="34">
        <f t="shared" si="2"/>
        <v>374495.60693333333</v>
      </c>
      <c r="Y26" s="34">
        <f t="shared" si="2"/>
        <v>329582.65237333335</v>
      </c>
      <c r="Z26" s="34">
        <f t="shared" si="2"/>
        <v>506219.54181333329</v>
      </c>
      <c r="AA26" s="34">
        <f t="shared" si="2"/>
        <v>0</v>
      </c>
      <c r="AB26" s="34">
        <f t="shared" si="2"/>
        <v>0</v>
      </c>
      <c r="AC26" s="34">
        <f t="shared" si="2"/>
        <v>318818.65237333329</v>
      </c>
      <c r="AD26" s="34">
        <f t="shared" si="2"/>
        <v>3496935.5418133335</v>
      </c>
      <c r="AE26" s="34">
        <f t="shared" si="2"/>
        <v>680047.17337333329</v>
      </c>
      <c r="AF26" s="34">
        <f t="shared" si="2"/>
        <v>1191451.9184436365</v>
      </c>
      <c r="AG26" s="34">
        <f t="shared" si="2"/>
        <v>962928.01818181807</v>
      </c>
      <c r="AH26" s="34">
        <f t="shared" si="2"/>
        <v>0</v>
      </c>
      <c r="AI26" s="34">
        <f t="shared" si="2"/>
        <v>682560</v>
      </c>
      <c r="AJ26" s="34">
        <f t="shared" si="2"/>
        <v>235361.22813090909</v>
      </c>
      <c r="AK26" s="34">
        <f t="shared" ref="AK26:BP26" si="3">SUM(AK27:AK77)</f>
        <v>993113.03962181811</v>
      </c>
      <c r="AL26" s="34">
        <f t="shared" si="3"/>
        <v>742813.3504436363</v>
      </c>
      <c r="AM26" s="34">
        <f t="shared" si="3"/>
        <v>520613.03962181817</v>
      </c>
      <c r="AN26" s="34">
        <f t="shared" si="3"/>
        <v>245319.96636363634</v>
      </c>
      <c r="AO26" s="34">
        <f t="shared" si="3"/>
        <v>0</v>
      </c>
      <c r="AP26" s="34">
        <f t="shared" si="3"/>
        <v>0</v>
      </c>
      <c r="AQ26" s="34">
        <f t="shared" si="3"/>
        <v>2017896.9024</v>
      </c>
      <c r="AR26" s="34">
        <f t="shared" si="3"/>
        <v>382965.72058181814</v>
      </c>
      <c r="AS26" s="34">
        <f t="shared" si="3"/>
        <v>107956.33333333334</v>
      </c>
      <c r="AT26" s="34">
        <f t="shared" si="3"/>
        <v>176734.80996363636</v>
      </c>
      <c r="AU26" s="34">
        <f t="shared" si="3"/>
        <v>360004.80996363633</v>
      </c>
      <c r="AV26" s="34">
        <f t="shared" si="3"/>
        <v>0</v>
      </c>
      <c r="AW26" s="34">
        <f t="shared" si="3"/>
        <v>0</v>
      </c>
      <c r="AX26" s="34">
        <f t="shared" si="3"/>
        <v>176734.80996363636</v>
      </c>
      <c r="AY26" s="34">
        <f t="shared" si="3"/>
        <v>176734.80996363636</v>
      </c>
      <c r="AZ26" s="34">
        <f t="shared" si="3"/>
        <v>176734.80996363636</v>
      </c>
      <c r="BA26" s="34">
        <f t="shared" si="3"/>
        <v>0</v>
      </c>
      <c r="BB26" s="34">
        <f t="shared" si="3"/>
        <v>1600000</v>
      </c>
      <c r="BC26" s="34">
        <f t="shared" si="3"/>
        <v>0</v>
      </c>
      <c r="BD26" s="34">
        <f t="shared" si="3"/>
        <v>0</v>
      </c>
      <c r="BE26" s="34">
        <f t="shared" si="3"/>
        <v>0</v>
      </c>
      <c r="BF26" s="34">
        <f t="shared" si="3"/>
        <v>0</v>
      </c>
      <c r="BG26" s="34">
        <f t="shared" si="3"/>
        <v>0</v>
      </c>
      <c r="BH26" s="34">
        <f t="shared" si="3"/>
        <v>0</v>
      </c>
      <c r="BI26" s="34">
        <f t="shared" si="3"/>
        <v>0</v>
      </c>
      <c r="BJ26" s="34">
        <f t="shared" si="3"/>
        <v>0</v>
      </c>
      <c r="BK26" s="34">
        <f t="shared" si="3"/>
        <v>0</v>
      </c>
      <c r="BL26" s="34">
        <f t="shared" si="3"/>
        <v>746062.9</v>
      </c>
      <c r="BM26" s="34">
        <f t="shared" si="3"/>
        <v>0</v>
      </c>
      <c r="BN26" s="34">
        <f t="shared" si="3"/>
        <v>0</v>
      </c>
      <c r="BO26" s="34">
        <f t="shared" si="3"/>
        <v>0</v>
      </c>
      <c r="BP26" s="34">
        <f t="shared" si="3"/>
        <v>0</v>
      </c>
      <c r="BQ26" s="34">
        <f t="shared" ref="BQ26:BR26" si="4">SUM(BQ27:BQ77)</f>
        <v>0</v>
      </c>
      <c r="BR26" s="34">
        <f t="shared" si="4"/>
        <v>0</v>
      </c>
    </row>
    <row r="27" spans="1:70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</row>
    <row r="29" spans="1:70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</row>
    <row r="30" spans="1:70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>
        <f>8399365/3</f>
        <v>2799788.3333333335</v>
      </c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</row>
    <row r="31" spans="1:70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90">
        <f>291375+137118</f>
        <v>428493</v>
      </c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</row>
    <row r="32" spans="1:70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>
        <f>488746/0.77</f>
        <v>634735.06493506487</v>
      </c>
      <c r="I32" s="24"/>
      <c r="J32" s="24">
        <v>350000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</row>
    <row r="33" spans="1:70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M33" s="24"/>
      <c r="N33" s="24"/>
      <c r="O33" s="24">
        <v>271506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>
        <v>271506</v>
      </c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</row>
    <row r="34" spans="1:70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>
        <f>100113.9/2</f>
        <v>50056.95</v>
      </c>
      <c r="I34" s="24"/>
      <c r="J34" s="24"/>
      <c r="K34" s="24">
        <v>50000</v>
      </c>
      <c r="L34" s="24"/>
      <c r="M34" s="24"/>
      <c r="N34" s="24"/>
      <c r="O34" s="24"/>
      <c r="P34" s="24">
        <v>50000</v>
      </c>
      <c r="Q34" s="24"/>
      <c r="R34" s="24">
        <f>100113.9/2</f>
        <v>50056.95</v>
      </c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</row>
    <row r="35" spans="1:70" s="1" customFormat="1" x14ac:dyDescent="0.2">
      <c r="A35" s="36" t="s">
        <v>71</v>
      </c>
      <c r="B35" s="23"/>
      <c r="C35" s="60"/>
      <c r="D35" s="24"/>
      <c r="E35" s="24">
        <v>40000</v>
      </c>
      <c r="F35" s="24"/>
      <c r="G35" s="24"/>
      <c r="I35" s="24"/>
      <c r="J35" s="24"/>
      <c r="K35" s="24"/>
      <c r="L35" s="24"/>
      <c r="M35" s="24"/>
      <c r="N35" s="24"/>
      <c r="O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>
        <v>200113.9</v>
      </c>
      <c r="AG35" s="24">
        <v>40000</v>
      </c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>
        <v>200113.9</v>
      </c>
      <c r="BM35" s="24"/>
      <c r="BN35" s="24"/>
      <c r="BO35" s="24"/>
      <c r="BP35" s="24"/>
      <c r="BQ35" s="24"/>
      <c r="BR35" s="24"/>
    </row>
    <row r="36" spans="1:70" s="1" customFormat="1" x14ac:dyDescent="0.2">
      <c r="A36" s="36" t="s">
        <v>53</v>
      </c>
      <c r="B36" s="23"/>
      <c r="C36" s="60"/>
      <c r="D36" s="24"/>
      <c r="F36" s="24"/>
      <c r="G36" s="24"/>
      <c r="H36" s="24">
        <f t="shared" ref="H36:Q36" si="5">545949/6</f>
        <v>90991.5</v>
      </c>
      <c r="I36" s="24"/>
      <c r="J36" s="24">
        <f t="shared" si="5"/>
        <v>90991.5</v>
      </c>
      <c r="K36" s="24">
        <f t="shared" si="5"/>
        <v>90991.5</v>
      </c>
      <c r="M36" s="24"/>
      <c r="N36" s="24"/>
      <c r="O36" s="24">
        <f t="shared" si="5"/>
        <v>90991.5</v>
      </c>
      <c r="P36" s="24"/>
      <c r="Q36" s="24">
        <f t="shared" si="5"/>
        <v>90991.5</v>
      </c>
      <c r="R36" s="24">
        <v>140000</v>
      </c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>
        <v>545949</v>
      </c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>
        <v>545949</v>
      </c>
      <c r="BM36" s="24"/>
      <c r="BN36" s="24"/>
      <c r="BO36" s="24"/>
      <c r="BP36" s="24"/>
      <c r="BQ36" s="24"/>
      <c r="BR36" s="24"/>
    </row>
    <row r="37" spans="1:70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</row>
    <row r="38" spans="1:70" s="71" customFormat="1" x14ac:dyDescent="0.2">
      <c r="A38" s="69" t="s">
        <v>14</v>
      </c>
      <c r="B38" s="25" t="s">
        <v>30</v>
      </c>
      <c r="C38" s="70"/>
      <c r="D38" s="24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100">
        <v>774474</v>
      </c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</row>
    <row r="39" spans="1:70" s="71" customFormat="1" x14ac:dyDescent="0.2">
      <c r="A39" s="69" t="s">
        <v>115</v>
      </c>
      <c r="B39" s="25" t="s">
        <v>116</v>
      </c>
      <c r="C39" s="70"/>
      <c r="D39" s="24"/>
      <c r="E39" s="170">
        <v>25000</v>
      </c>
      <c r="F39" s="24"/>
      <c r="G39" s="24"/>
      <c r="H39" s="24"/>
      <c r="I39" s="24"/>
      <c r="J39" s="24"/>
      <c r="K39" s="100">
        <f>312320/10</f>
        <v>31232</v>
      </c>
      <c r="L39" s="24"/>
      <c r="M39" s="24"/>
      <c r="N39" s="24"/>
      <c r="O39" s="24"/>
      <c r="P39" s="100">
        <f>312320/10</f>
        <v>31232</v>
      </c>
      <c r="Q39" s="24"/>
      <c r="R39" s="24"/>
      <c r="S39" s="100">
        <f>312320/10</f>
        <v>31232</v>
      </c>
      <c r="T39" s="24"/>
      <c r="U39" s="24"/>
      <c r="V39" s="108">
        <f>312320/10</f>
        <v>31232</v>
      </c>
      <c r="W39" s="24"/>
      <c r="X39" s="108">
        <f>312320/10</f>
        <v>31232</v>
      </c>
      <c r="Y39" s="24"/>
      <c r="Z39" s="108">
        <f>312320/10</f>
        <v>31232</v>
      </c>
      <c r="AA39" s="24"/>
      <c r="AB39" s="24"/>
      <c r="AC39" s="108">
        <v>124838</v>
      </c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</row>
    <row r="40" spans="1:70" s="71" customFormat="1" x14ac:dyDescent="0.2">
      <c r="A40" s="69" t="s">
        <v>117</v>
      </c>
      <c r="B40" s="25" t="s">
        <v>119</v>
      </c>
      <c r="C40" s="70">
        <f>691000-25000-25000-45500</f>
        <v>595500</v>
      </c>
      <c r="D40" s="24"/>
      <c r="E40" s="170">
        <v>25000</v>
      </c>
      <c r="F40" s="24"/>
      <c r="G40" s="24"/>
      <c r="H40" s="108">
        <f>91000/2</f>
        <v>45500</v>
      </c>
      <c r="I40" s="108">
        <v>25000</v>
      </c>
      <c r="J40" s="24"/>
      <c r="K40" s="108">
        <v>25000</v>
      </c>
      <c r="M40" s="24"/>
      <c r="N40" s="24"/>
      <c r="O40" s="108">
        <f>25000+25000</f>
        <v>50000</v>
      </c>
      <c r="P40" s="24"/>
      <c r="Q40" s="24"/>
      <c r="R40" s="108">
        <v>150000</v>
      </c>
      <c r="S40" s="108">
        <v>100000</v>
      </c>
      <c r="T40" s="24"/>
      <c r="U40" s="24"/>
      <c r="V40" s="24"/>
      <c r="W40" s="108">
        <v>100000</v>
      </c>
      <c r="X40" s="108">
        <v>75000</v>
      </c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</row>
    <row r="41" spans="1:70" s="71" customFormat="1" x14ac:dyDescent="0.2">
      <c r="A41" s="69" t="s">
        <v>97</v>
      </c>
      <c r="B41" s="25" t="s">
        <v>137</v>
      </c>
      <c r="C41" s="70"/>
      <c r="D41" s="24"/>
      <c r="E41" s="171"/>
      <c r="F41" s="24"/>
      <c r="G41" s="24"/>
      <c r="H41" s="24"/>
      <c r="I41" s="24"/>
      <c r="J41" s="24"/>
      <c r="L41" s="24"/>
      <c r="M41" s="24"/>
      <c r="N41" s="24"/>
      <c r="O41" s="108">
        <f>510600/2</f>
        <v>255300</v>
      </c>
      <c r="P41" s="24"/>
      <c r="Q41" s="24"/>
      <c r="R41" s="24"/>
      <c r="S41" s="129">
        <f>510600/2</f>
        <v>255300</v>
      </c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100">
        <v>472500</v>
      </c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</row>
    <row r="42" spans="1:70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1375000-500000-175000-50000-25000-25000-25000-50000-25000-50000-25000-25000-30000-25000-30000-25000</f>
        <v>290000</v>
      </c>
      <c r="D42" s="24"/>
      <c r="E42" s="172"/>
      <c r="F42" s="24"/>
      <c r="G42" s="24"/>
      <c r="H42" s="129">
        <v>25000</v>
      </c>
      <c r="J42" s="129">
        <f>30000/2</f>
        <v>15000</v>
      </c>
      <c r="K42" s="24"/>
      <c r="M42" s="24"/>
      <c r="N42" s="24"/>
      <c r="P42" s="129">
        <f>95000/2</f>
        <v>47500</v>
      </c>
      <c r="Q42" s="24"/>
      <c r="R42" s="129">
        <f>95000/2</f>
        <v>47500</v>
      </c>
      <c r="T42" s="24"/>
      <c r="U42" s="24"/>
      <c r="V42" s="129">
        <f>30000/2</f>
        <v>15000</v>
      </c>
      <c r="W42" s="129">
        <v>40000</v>
      </c>
      <c r="X42" s="129">
        <v>25000</v>
      </c>
      <c r="Y42" s="129">
        <v>25000</v>
      </c>
      <c r="Z42" s="129">
        <v>50000</v>
      </c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</row>
    <row r="43" spans="1:70" s="71" customFormat="1" x14ac:dyDescent="0.2">
      <c r="A43" s="69" t="s">
        <v>15</v>
      </c>
      <c r="B43" s="25" t="s">
        <v>31</v>
      </c>
      <c r="C43" s="70">
        <f>2480914-516230-48700-50000-50000-50000-43000-42000</f>
        <v>1680984</v>
      </c>
      <c r="D43" s="24"/>
      <c r="E43" s="140">
        <v>50000</v>
      </c>
      <c r="F43" s="24"/>
      <c r="G43" s="24"/>
      <c r="H43" s="108">
        <f>(45000+65224)/2</f>
        <v>55112</v>
      </c>
      <c r="I43" s="140">
        <f t="shared" ref="I43" si="6">195080/4</f>
        <v>48770</v>
      </c>
      <c r="K43" s="108">
        <f>(516230/10)/2</f>
        <v>25811.5</v>
      </c>
      <c r="M43" s="24"/>
      <c r="N43" s="24"/>
      <c r="O43" s="108">
        <f>516230/10</f>
        <v>51623</v>
      </c>
      <c r="P43" s="108">
        <f>(516230/10)/2</f>
        <v>25811.5</v>
      </c>
      <c r="Q43" s="108">
        <f t="shared" ref="Q43:AS43" si="7">516230/10</f>
        <v>51623</v>
      </c>
      <c r="R43" s="108">
        <f t="shared" si="7"/>
        <v>51623</v>
      </c>
      <c r="S43" s="108">
        <f>516230/10</f>
        <v>51623</v>
      </c>
      <c r="T43" s="24"/>
      <c r="U43" s="24"/>
      <c r="V43" s="108">
        <f>516230/10</f>
        <v>51623</v>
      </c>
      <c r="W43" s="108">
        <f>516230/10+15224</f>
        <v>66847</v>
      </c>
      <c r="X43" s="108">
        <f t="shared" ref="X43" si="8">516230/10</f>
        <v>51623</v>
      </c>
      <c r="Y43" s="108">
        <f t="shared" ref="Y43" si="9">(515224/4)/3</f>
        <v>42935.333333333336</v>
      </c>
      <c r="Z43" s="108">
        <f>516230/10</f>
        <v>51623</v>
      </c>
      <c r="AA43" s="24"/>
      <c r="AB43" s="24"/>
      <c r="AD43" s="108">
        <f t="shared" ref="AD43:AG43" si="10">516230/10</f>
        <v>51623</v>
      </c>
      <c r="AE43" s="108">
        <f t="shared" si="10"/>
        <v>51623</v>
      </c>
      <c r="AF43" s="108">
        <f t="shared" si="10"/>
        <v>51623</v>
      </c>
      <c r="AG43" s="108">
        <f t="shared" si="10"/>
        <v>51623</v>
      </c>
      <c r="AH43" s="24"/>
      <c r="AI43" s="24"/>
      <c r="AJ43" s="108">
        <f t="shared" ref="AJ43:AN43" si="11">516230/10</f>
        <v>51623</v>
      </c>
      <c r="AK43" s="108">
        <f t="shared" si="11"/>
        <v>51623</v>
      </c>
      <c r="AL43" s="108">
        <f t="shared" si="11"/>
        <v>51623</v>
      </c>
      <c r="AM43" s="108">
        <f t="shared" si="11"/>
        <v>51623</v>
      </c>
      <c r="AN43" s="108">
        <f t="shared" si="11"/>
        <v>51623</v>
      </c>
      <c r="AO43" s="24"/>
      <c r="AP43" s="24"/>
      <c r="AQ43" s="100">
        <v>516230</v>
      </c>
      <c r="AR43" s="108">
        <f>516230/10</f>
        <v>51623</v>
      </c>
      <c r="AS43" s="108">
        <f t="shared" si="7"/>
        <v>51623</v>
      </c>
      <c r="AT43" s="24"/>
      <c r="AU43" s="98">
        <f>515224/4+54464</f>
        <v>183270</v>
      </c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</row>
    <row r="44" spans="1:70" s="71" customFormat="1" x14ac:dyDescent="0.2">
      <c r="A44" s="69" t="s">
        <v>85</v>
      </c>
      <c r="B44" s="25" t="s">
        <v>47</v>
      </c>
      <c r="C44" s="70"/>
      <c r="D44" s="24"/>
      <c r="E44" s="171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100">
        <f>2997.5*A6</f>
        <v>222701.06099999999</v>
      </c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</row>
    <row r="45" spans="1:70" s="71" customFormat="1" x14ac:dyDescent="0.2">
      <c r="A45" s="69" t="s">
        <v>143</v>
      </c>
      <c r="B45" s="25" t="s">
        <v>45</v>
      </c>
      <c r="C45" s="24">
        <f>188496*A9</f>
        <v>2064709.7856000001</v>
      </c>
      <c r="D45" s="24"/>
      <c r="E45" s="171"/>
      <c r="F45" s="24"/>
      <c r="G45" s="24"/>
      <c r="H45" s="24"/>
      <c r="I45" s="24"/>
      <c r="J45" s="24"/>
      <c r="K45" s="24"/>
      <c r="L45" s="28"/>
      <c r="M45" s="24"/>
      <c r="N45" s="24"/>
      <c r="P45" s="24"/>
      <c r="Q45" s="108">
        <f t="shared" ref="Q45:AJ45" si="12">(188496*$A$9)/15</f>
        <v>137647.31904</v>
      </c>
      <c r="R45" s="108">
        <f t="shared" si="12"/>
        <v>137647.31904</v>
      </c>
      <c r="T45" s="24"/>
      <c r="U45" s="24"/>
      <c r="V45" s="108">
        <f>(188496*$A$9)/15</f>
        <v>137647.31904</v>
      </c>
      <c r="W45" s="108">
        <f t="shared" ref="W45:AK45" si="13">(188496*$A$9)/15</f>
        <v>137647.31904</v>
      </c>
      <c r="Y45" s="108">
        <f t="shared" si="13"/>
        <v>137647.31904</v>
      </c>
      <c r="Z45" s="108">
        <f t="shared" si="13"/>
        <v>137647.31904</v>
      </c>
      <c r="AA45" s="24"/>
      <c r="AB45" s="24"/>
      <c r="AC45" s="108">
        <f>(188496*$A$9)/15</f>
        <v>137647.31904</v>
      </c>
      <c r="AD45" s="108">
        <f t="shared" ref="AD45:AF45" si="14">(188496*$A$9)/15</f>
        <v>137647.31904</v>
      </c>
      <c r="AE45" s="108">
        <f t="shared" si="14"/>
        <v>137647.31904</v>
      </c>
      <c r="AF45" s="108">
        <f t="shared" si="14"/>
        <v>137647.31904</v>
      </c>
      <c r="AG45" s="28"/>
      <c r="AH45" s="24"/>
      <c r="AI45" s="24"/>
      <c r="AJ45" s="108">
        <f t="shared" si="12"/>
        <v>137647.31904</v>
      </c>
      <c r="AK45" s="108">
        <f t="shared" si="13"/>
        <v>137647.31904</v>
      </c>
      <c r="AL45" s="108">
        <f>((188496*$A$9)/15)*2</f>
        <v>275294.63808</v>
      </c>
      <c r="AM45" s="108">
        <f>(188496*$A$9)/15</f>
        <v>137647.31904</v>
      </c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</row>
    <row r="46" spans="1:70" s="71" customFormat="1" x14ac:dyDescent="0.2">
      <c r="A46" s="69" t="s">
        <v>120</v>
      </c>
      <c r="B46" s="25" t="s">
        <v>121</v>
      </c>
      <c r="C46" s="120">
        <f>507000+1014000-47000-56000-45000</f>
        <v>1373000</v>
      </c>
      <c r="D46" s="24"/>
      <c r="E46" s="171"/>
      <c r="F46" s="24"/>
      <c r="G46" s="24"/>
      <c r="H46" s="24"/>
      <c r="I46" s="108">
        <f>(1014000/11)/2</f>
        <v>46090.909090909088</v>
      </c>
      <c r="J46" s="24"/>
      <c r="K46" s="108">
        <f t="shared" ref="K46:Z46" si="15">507000/9</f>
        <v>56333.333333333336</v>
      </c>
      <c r="L46" s="28"/>
      <c r="M46" s="24"/>
      <c r="N46" s="24"/>
      <c r="O46" s="108">
        <f t="shared" ref="O46:AR46" si="16">1014000/11</f>
        <v>92181.818181818177</v>
      </c>
      <c r="P46" s="24"/>
      <c r="R46" s="108">
        <f t="shared" si="16"/>
        <v>92181.818181818177</v>
      </c>
      <c r="T46" s="24"/>
      <c r="U46" s="24"/>
      <c r="V46" s="108">
        <f>507000/9</f>
        <v>56333.333333333336</v>
      </c>
      <c r="W46" s="24"/>
      <c r="X46" s="108">
        <f t="shared" si="15"/>
        <v>56333.333333333336</v>
      </c>
      <c r="Y46" s="24"/>
      <c r="Z46" s="108">
        <f t="shared" si="15"/>
        <v>56333.333333333336</v>
      </c>
      <c r="AA46" s="24"/>
      <c r="AB46" s="24"/>
      <c r="AC46" s="108">
        <f t="shared" ref="AC46:AS46" si="17">507000/9</f>
        <v>56333.333333333336</v>
      </c>
      <c r="AE46" s="108">
        <f t="shared" si="17"/>
        <v>56333.333333333336</v>
      </c>
      <c r="AF46" s="108">
        <f>(1014000/11+88393.5*$A$9)/6</f>
        <v>176734.80996363636</v>
      </c>
      <c r="AG46" s="108">
        <f t="shared" ref="AG46:AK46" si="18">1014000/11</f>
        <v>92181.818181818177</v>
      </c>
      <c r="AH46" s="24"/>
      <c r="AI46" s="100">
        <v>682560</v>
      </c>
      <c r="AJ46" s="108">
        <f>(1014000/11)/2</f>
        <v>46090.909090909088</v>
      </c>
      <c r="AK46" s="108">
        <f t="shared" si="18"/>
        <v>92181.818181818177</v>
      </c>
      <c r="AL46" s="108">
        <f>(1014000/11+88393.5*$A$9)/6</f>
        <v>176734.80996363636</v>
      </c>
      <c r="AM46" s="108">
        <f t="shared" si="16"/>
        <v>92181.818181818177</v>
      </c>
      <c r="AN46" s="108">
        <f>(1014000/11)*2+9333.33</f>
        <v>193696.96636363634</v>
      </c>
      <c r="AO46" s="24"/>
      <c r="AP46" s="24"/>
      <c r="AQ46" s="108">
        <v>991000</v>
      </c>
      <c r="AR46" s="108">
        <f t="shared" si="16"/>
        <v>92181.818181818177</v>
      </c>
      <c r="AS46" s="108">
        <f t="shared" si="17"/>
        <v>56333.333333333336</v>
      </c>
      <c r="AT46" s="108">
        <f>(1014000/11+88393.5*$A$9)/6</f>
        <v>176734.80996363636</v>
      </c>
      <c r="AU46" s="108">
        <f>(1014000/11+88393.5*$A$9)/6</f>
        <v>176734.80996363636</v>
      </c>
      <c r="AV46" s="24"/>
      <c r="AW46" s="24"/>
      <c r="AX46" s="108">
        <f>(1014000/11+88393.5*$A$9)/6</f>
        <v>176734.80996363636</v>
      </c>
      <c r="AY46" s="108">
        <f>(1014000/11+88393.5*$A$9)/6</f>
        <v>176734.80996363636</v>
      </c>
      <c r="AZ46" s="108">
        <f>(1014000/11+88393.5*$A$9)/6</f>
        <v>176734.80996363636</v>
      </c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</row>
    <row r="47" spans="1:70" s="73" customFormat="1" x14ac:dyDescent="0.2">
      <c r="A47" s="69" t="s">
        <v>22</v>
      </c>
      <c r="B47" s="25" t="s">
        <v>48</v>
      </c>
      <c r="C47" s="137"/>
      <c r="D47" s="72"/>
      <c r="E47" s="171"/>
      <c r="F47" s="72"/>
      <c r="G47" s="72"/>
      <c r="H47" s="24"/>
      <c r="I47" s="72"/>
      <c r="K47" s="72"/>
      <c r="L47" s="72"/>
      <c r="M47" s="72"/>
      <c r="N47" s="72"/>
      <c r="O47" s="72"/>
      <c r="P47" s="160">
        <f t="shared" ref="P47:AF47" si="19">(52206*$A$9+2988*$A$6)/10</f>
        <v>79383.889439999999</v>
      </c>
      <c r="Q47" s="108">
        <f>(1014000/11)/2</f>
        <v>46090.909090909088</v>
      </c>
      <c r="R47" s="160">
        <f t="shared" si="19"/>
        <v>79383.889439999999</v>
      </c>
      <c r="S47" s="160">
        <f>((52206*$A$9+2988*$A$6)/10)*2</f>
        <v>158767.77888</v>
      </c>
      <c r="T47" s="72"/>
      <c r="U47" s="72"/>
      <c r="W47" s="72"/>
      <c r="X47" s="160">
        <f>(52206*$A$9)/6</f>
        <v>95307.2736</v>
      </c>
      <c r="Y47" s="72"/>
      <c r="Z47" s="160">
        <f>(52206*$A$9+2988*$A$6)/10</f>
        <v>79383.889439999999</v>
      </c>
      <c r="AA47" s="72"/>
      <c r="AB47" s="72"/>
      <c r="AC47" s="72"/>
      <c r="AD47" s="160">
        <f t="shared" ref="AD47" si="20">(52206*$A$9+2988*$A$6)/10</f>
        <v>79383.889439999999</v>
      </c>
      <c r="AF47" s="160">
        <f t="shared" si="19"/>
        <v>79383.889439999999</v>
      </c>
      <c r="AG47" s="166">
        <f>62000*$A$9</f>
        <v>679123.2</v>
      </c>
      <c r="AH47" s="72"/>
      <c r="AI47" s="72"/>
      <c r="AK47" s="160">
        <f>(109170*$A$9)/5</f>
        <v>239160.90239999996</v>
      </c>
      <c r="AL47" s="160">
        <f t="shared" ref="AL47:AM47" si="21">(109170*$A$9)/5</f>
        <v>239160.90239999996</v>
      </c>
      <c r="AM47" s="160">
        <f t="shared" si="21"/>
        <v>239160.90239999996</v>
      </c>
      <c r="AN47" s="72"/>
      <c r="AO47" s="72"/>
      <c r="AP47" s="72"/>
      <c r="AQ47" s="160">
        <f t="shared" ref="AQ47:AR47" si="22">(109170*$A$9)/5</f>
        <v>239160.90239999996</v>
      </c>
      <c r="AR47" s="160">
        <f t="shared" si="22"/>
        <v>239160.90239999996</v>
      </c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</row>
    <row r="48" spans="1:70" s="73" customFormat="1" x14ac:dyDescent="0.2">
      <c r="A48" s="69" t="s">
        <v>108</v>
      </c>
      <c r="B48" s="25" t="s">
        <v>109</v>
      </c>
      <c r="C48" s="120"/>
      <c r="D48" s="72"/>
      <c r="E48" s="171"/>
      <c r="F48" s="72"/>
      <c r="G48" s="72"/>
      <c r="H48" s="138">
        <f>50531.25/2</f>
        <v>25265.625</v>
      </c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</row>
    <row r="49" spans="1:70" s="71" customFormat="1" x14ac:dyDescent="0.2">
      <c r="A49" s="69" t="s">
        <v>36</v>
      </c>
      <c r="B49" s="25" t="s">
        <v>37</v>
      </c>
      <c r="C49" s="130"/>
      <c r="D49" s="24"/>
      <c r="E49" s="171"/>
      <c r="F49" s="24"/>
      <c r="G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138">
        <f>50531.25/2</f>
        <v>25265.625</v>
      </c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</row>
    <row r="50" spans="1:70" s="71" customFormat="1" x14ac:dyDescent="0.2">
      <c r="A50" s="69" t="s">
        <v>86</v>
      </c>
      <c r="B50" s="25" t="s">
        <v>35</v>
      </c>
      <c r="C50" s="70"/>
      <c r="D50" s="77"/>
      <c r="E50" s="171"/>
      <c r="F50" s="24"/>
      <c r="G50" s="24"/>
      <c r="H50" s="24"/>
      <c r="I50" s="24"/>
      <c r="J50" s="24"/>
      <c r="L50" s="24"/>
      <c r="M50" s="24"/>
      <c r="N50" s="24"/>
      <c r="O50" s="100">
        <f>490*A6</f>
        <v>36404.843999999997</v>
      </c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100">
        <f>2850*A6</f>
        <v>211742.46</v>
      </c>
      <c r="AF50" s="24"/>
      <c r="AG50" s="95">
        <v>100000</v>
      </c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</row>
    <row r="51" spans="1:70" s="71" customFormat="1" x14ac:dyDescent="0.2">
      <c r="A51" s="69" t="s">
        <v>29</v>
      </c>
      <c r="B51" s="25" t="s">
        <v>43</v>
      </c>
      <c r="C51" s="70">
        <f>439750-19750-25000-25000-25000-20000</f>
        <v>325000</v>
      </c>
      <c r="D51" s="24"/>
      <c r="E51" s="171"/>
      <c r="F51" s="24"/>
      <c r="G51" s="24"/>
      <c r="H51" s="95">
        <v>25000</v>
      </c>
      <c r="I51" s="24"/>
      <c r="J51" s="95">
        <v>25000</v>
      </c>
      <c r="K51" s="24"/>
      <c r="M51" s="24"/>
      <c r="N51" s="24"/>
      <c r="O51" s="95">
        <v>50000</v>
      </c>
      <c r="P51" s="95">
        <v>25000</v>
      </c>
      <c r="Q51" s="24"/>
      <c r="R51" s="95">
        <v>25000</v>
      </c>
      <c r="T51" s="24"/>
      <c r="U51" s="24"/>
      <c r="V51" s="95">
        <v>30000</v>
      </c>
      <c r="W51" s="24"/>
      <c r="X51" s="24"/>
      <c r="Y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</row>
    <row r="52" spans="1:70" s="71" customFormat="1" x14ac:dyDescent="0.2">
      <c r="A52" s="69" t="s">
        <v>141</v>
      </c>
      <c r="B52" s="25" t="s">
        <v>142</v>
      </c>
      <c r="C52" s="70"/>
      <c r="D52" s="24"/>
      <c r="E52" s="173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100">
        <v>55053.72</v>
      </c>
      <c r="S52" s="28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  <row r="53" spans="1:70" s="71" customFormat="1" x14ac:dyDescent="0.2">
      <c r="A53" s="69" t="s">
        <v>146</v>
      </c>
      <c r="B53" s="25" t="s">
        <v>147</v>
      </c>
      <c r="C53" s="70"/>
      <c r="D53" s="24"/>
      <c r="E53" s="173"/>
      <c r="F53" s="24"/>
      <c r="G53" s="24"/>
      <c r="H53" s="24"/>
      <c r="I53" s="24"/>
      <c r="J53" s="24"/>
      <c r="K53" s="24"/>
      <c r="L53" s="24"/>
      <c r="M53" s="24"/>
      <c r="N53" s="24"/>
      <c r="O53" s="100">
        <v>90000</v>
      </c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</row>
    <row r="54" spans="1:70" s="71" customFormat="1" x14ac:dyDescent="0.2">
      <c r="A54" s="69" t="s">
        <v>149</v>
      </c>
      <c r="B54" s="25" t="s">
        <v>148</v>
      </c>
      <c r="C54" s="70"/>
      <c r="D54" s="24"/>
      <c r="E54" s="173"/>
      <c r="F54" s="24"/>
      <c r="G54" s="24"/>
      <c r="H54" s="24"/>
      <c r="I54" s="24"/>
      <c r="J54" s="24"/>
      <c r="K54" s="24"/>
      <c r="L54" s="24"/>
      <c r="M54" s="24"/>
      <c r="N54" s="24"/>
      <c r="O54" s="28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</row>
    <row r="55" spans="1:70" s="71" customFormat="1" x14ac:dyDescent="0.2">
      <c r="A55" s="69" t="s">
        <v>124</v>
      </c>
      <c r="B55" s="25" t="s">
        <v>125</v>
      </c>
      <c r="C55" s="70"/>
      <c r="D55" s="24"/>
      <c r="E55" s="173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100">
        <v>203210</v>
      </c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</row>
    <row r="56" spans="1:70" s="71" customFormat="1" x14ac:dyDescent="0.2">
      <c r="A56" s="69" t="s">
        <v>40</v>
      </c>
      <c r="B56" s="25" t="s">
        <v>44</v>
      </c>
      <c r="C56" s="70"/>
      <c r="D56" s="24"/>
      <c r="E56" s="173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100">
        <v>1524</v>
      </c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</row>
    <row r="57" spans="1:70" s="71" customFormat="1" x14ac:dyDescent="0.2">
      <c r="A57" s="69" t="s">
        <v>90</v>
      </c>
      <c r="B57" s="25" t="s">
        <v>91</v>
      </c>
      <c r="C57" s="70">
        <f>912000+1012000-100000-100000-75000-75000-75000-75000-75000-75000-75000-75000</f>
        <v>1124000</v>
      </c>
      <c r="D57" s="77"/>
      <c r="E57" s="169">
        <v>75000</v>
      </c>
      <c r="F57" s="24"/>
      <c r="G57" s="24"/>
      <c r="H57" s="129">
        <v>75000</v>
      </c>
      <c r="I57" s="24"/>
      <c r="K57" s="129">
        <v>75000</v>
      </c>
      <c r="M57" s="24"/>
      <c r="N57" s="24"/>
      <c r="O57" s="129">
        <v>75000</v>
      </c>
      <c r="P57" s="24"/>
      <c r="Q57" s="28"/>
      <c r="R57" s="129">
        <v>100000</v>
      </c>
      <c r="S57" s="129">
        <v>100000</v>
      </c>
      <c r="T57" s="24"/>
      <c r="U57" s="24"/>
      <c r="V57" s="129">
        <v>100000</v>
      </c>
      <c r="W57" s="24"/>
      <c r="Y57" s="129">
        <v>124000</v>
      </c>
      <c r="Z57" s="129">
        <v>100000</v>
      </c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</row>
    <row r="58" spans="1:70" s="71" customFormat="1" x14ac:dyDescent="0.2">
      <c r="A58" s="69" t="s">
        <v>144</v>
      </c>
      <c r="B58" s="25" t="s">
        <v>145</v>
      </c>
      <c r="C58" s="70"/>
      <c r="D58" s="77"/>
      <c r="E58" s="173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</row>
    <row r="59" spans="1:70" s="71" customFormat="1" x14ac:dyDescent="0.2">
      <c r="A59" s="69" t="s">
        <v>138</v>
      </c>
      <c r="B59" s="25" t="s">
        <v>136</v>
      </c>
      <c r="C59" s="70"/>
      <c r="D59" s="77"/>
      <c r="E59" s="174">
        <f>700*A6</f>
        <v>52006.92</v>
      </c>
      <c r="F59" s="24"/>
      <c r="G59" s="24"/>
      <c r="I59" s="100">
        <f t="shared" ref="I59:S59" si="23">(4260*$A$6)/6</f>
        <v>52749.875999999997</v>
      </c>
      <c r="K59" s="100">
        <f t="shared" si="23"/>
        <v>52749.875999999997</v>
      </c>
      <c r="M59" s="24"/>
      <c r="N59" s="24"/>
      <c r="O59" s="24"/>
      <c r="P59" s="100">
        <f t="shared" si="23"/>
        <v>52749.875999999997</v>
      </c>
      <c r="Q59" s="24"/>
      <c r="R59" s="100">
        <f t="shared" si="23"/>
        <v>52749.875999999997</v>
      </c>
      <c r="S59" s="100">
        <f t="shared" si="23"/>
        <v>52749.875999999997</v>
      </c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</row>
    <row r="60" spans="1:70" s="71" customFormat="1" x14ac:dyDescent="0.2">
      <c r="A60" s="69" t="s">
        <v>102</v>
      </c>
      <c r="B60" s="25" t="s">
        <v>103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</row>
    <row r="61" spans="1:70" s="71" customFormat="1" ht="12.75" customHeight="1" x14ac:dyDescent="0.2">
      <c r="A61" s="151" t="s">
        <v>139</v>
      </c>
      <c r="B61" s="152" t="s">
        <v>114</v>
      </c>
      <c r="C61" s="70">
        <f>1732500-693000-200000-100000</f>
        <v>739500</v>
      </c>
      <c r="D61" s="77"/>
      <c r="E61" s="123">
        <v>739500</v>
      </c>
      <c r="F61" s="24"/>
      <c r="G61" s="24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</row>
    <row r="62" spans="1:70" s="71" customFormat="1" x14ac:dyDescent="0.2">
      <c r="A62" s="69" t="s">
        <v>34</v>
      </c>
      <c r="B62" s="25" t="s">
        <v>45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</row>
    <row r="63" spans="1:70" s="71" customFormat="1" x14ac:dyDescent="0.2">
      <c r="A63" s="69" t="s">
        <v>128</v>
      </c>
      <c r="B63" s="25" t="s">
        <v>129</v>
      </c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</row>
    <row r="64" spans="1:70" s="71" customFormat="1" x14ac:dyDescent="0.2">
      <c r="A64" s="69" t="s">
        <v>101</v>
      </c>
      <c r="B64" s="25" t="s">
        <v>130</v>
      </c>
      <c r="C64" s="70">
        <f>110000-25000-25000-10000</f>
        <v>50000</v>
      </c>
      <c r="D64" s="77"/>
      <c r="F64" s="24"/>
      <c r="G64" s="24"/>
      <c r="H64" s="24"/>
      <c r="I64" s="108">
        <f>25000/2</f>
        <v>12500</v>
      </c>
      <c r="J64" s="24"/>
      <c r="K64" s="24"/>
      <c r="L64" s="24"/>
      <c r="M64" s="24"/>
      <c r="N64" s="24"/>
      <c r="O64" s="24"/>
      <c r="P64" s="24"/>
      <c r="Q64" s="24"/>
      <c r="R64" s="108">
        <f>100000/4</f>
        <v>25000</v>
      </c>
      <c r="S64" s="108">
        <f>25000/2</f>
        <v>12500</v>
      </c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</row>
    <row r="65" spans="1:70" s="71" customFormat="1" x14ac:dyDescent="0.2">
      <c r="A65" s="69" t="s">
        <v>134</v>
      </c>
      <c r="B65" s="25" t="s">
        <v>135</v>
      </c>
      <c r="C65" s="70"/>
      <c r="D65" s="77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</row>
    <row r="66" spans="1:70" s="71" customFormat="1" x14ac:dyDescent="0.2">
      <c r="A66" s="69" t="s">
        <v>38</v>
      </c>
      <c r="B66" s="25" t="s">
        <v>39</v>
      </c>
      <c r="C66" s="70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</row>
    <row r="67" spans="1:70" s="71" customFormat="1" x14ac:dyDescent="0.2">
      <c r="A67" s="69" t="s">
        <v>74</v>
      </c>
      <c r="B67" s="25" t="s">
        <v>131</v>
      </c>
      <c r="C67" s="70"/>
      <c r="D67" s="24"/>
      <c r="F67" s="24"/>
      <c r="G67" s="24"/>
      <c r="H67" s="100">
        <v>20000</v>
      </c>
      <c r="J67" s="24"/>
      <c r="K67" s="100">
        <v>12500</v>
      </c>
      <c r="M67" s="24"/>
      <c r="N67" s="24"/>
      <c r="O67" s="100">
        <f>80000/2</f>
        <v>40000</v>
      </c>
      <c r="P67" s="24"/>
      <c r="Q67" s="100">
        <v>15000</v>
      </c>
      <c r="R67" s="24"/>
      <c r="S67" s="100">
        <v>11667</v>
      </c>
      <c r="T67" s="24"/>
      <c r="U67" s="24"/>
      <c r="V67" s="100">
        <f>7500+16500</f>
        <v>24000</v>
      </c>
      <c r="W67" s="24"/>
      <c r="X67" s="143">
        <v>40000</v>
      </c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</row>
    <row r="68" spans="1:70" s="71" customFormat="1" x14ac:dyDescent="0.2">
      <c r="A68" s="69" t="s">
        <v>74</v>
      </c>
      <c r="B68" s="25" t="s">
        <v>150</v>
      </c>
      <c r="C68" s="164">
        <v>3567700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</row>
    <row r="69" spans="1:70" s="73" customFormat="1" x14ac:dyDescent="0.2">
      <c r="A69" s="78"/>
      <c r="B69" s="79"/>
      <c r="C69" s="75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</row>
    <row r="70" spans="1:70" s="94" customFormat="1" ht="33.75" x14ac:dyDescent="0.2">
      <c r="A70" s="91" t="s">
        <v>60</v>
      </c>
      <c r="B70" s="92" t="s">
        <v>58</v>
      </c>
      <c r="C70" s="93">
        <v>248639.70012000017</v>
      </c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3"/>
      <c r="BK70" s="93"/>
      <c r="BL70" s="93"/>
      <c r="BM70" s="93"/>
      <c r="BN70" s="93"/>
      <c r="BO70" s="93"/>
      <c r="BP70" s="93"/>
      <c r="BQ70" s="93"/>
      <c r="BR70" s="93"/>
    </row>
    <row r="71" spans="1:70" s="5" customFormat="1" x14ac:dyDescent="0.2">
      <c r="A71" s="42"/>
      <c r="B71" s="12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</row>
    <row r="72" spans="1:70" s="5" customFormat="1" x14ac:dyDescent="0.2">
      <c r="A72" s="36" t="s">
        <v>49</v>
      </c>
      <c r="B72" s="12"/>
      <c r="C72" s="13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>
        <f>1400000+7400*A3</f>
        <v>2038406.88</v>
      </c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</row>
    <row r="73" spans="1:70" s="5" customFormat="1" x14ac:dyDescent="0.2">
      <c r="A73" s="36" t="s">
        <v>57</v>
      </c>
      <c r="B73" s="12"/>
      <c r="C73" s="68"/>
      <c r="D73" s="26"/>
      <c r="E73" s="139"/>
      <c r="F73" s="13"/>
      <c r="G73" s="13"/>
      <c r="H73" s="139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68">
        <v>1600000</v>
      </c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</row>
    <row r="74" spans="1:70" s="5" customFormat="1" x14ac:dyDescent="0.2">
      <c r="A74" s="36" t="s">
        <v>61</v>
      </c>
      <c r="B74" s="12"/>
      <c r="C74" s="13">
        <v>112000</v>
      </c>
      <c r="D74" s="26"/>
      <c r="E74" s="13"/>
      <c r="F74" s="13"/>
      <c r="G74" s="13"/>
      <c r="H74" s="139"/>
      <c r="I74" s="13"/>
      <c r="J74" s="13"/>
      <c r="K74" s="13"/>
      <c r="L74" s="13"/>
      <c r="M74" s="13"/>
      <c r="N74" s="13"/>
      <c r="O74" s="13"/>
      <c r="P74" s="13"/>
      <c r="Q74" s="13"/>
      <c r="R74" s="13">
        <f>4600*$A$3</f>
        <v>396847.51999999996</v>
      </c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</row>
    <row r="75" spans="1:70" s="5" customFormat="1" x14ac:dyDescent="0.2">
      <c r="A75" s="42" t="s">
        <v>151</v>
      </c>
      <c r="B75" s="12"/>
      <c r="C75" s="68">
        <f>(10000*10)*A6</f>
        <v>7429559.9999999991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26">
        <f>C75/2</f>
        <v>3714779.9999999995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</row>
    <row r="76" spans="1:70" s="5" customFormat="1" x14ac:dyDescent="0.2">
      <c r="A76" s="36" t="s">
        <v>72</v>
      </c>
      <c r="B76" s="27" t="s">
        <v>73</v>
      </c>
      <c r="C76" s="62">
        <v>3637079.2460000003</v>
      </c>
      <c r="D76" s="35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</row>
    <row r="77" spans="1:70" s="5" customFormat="1" x14ac:dyDescent="0.2">
      <c r="A77" s="42"/>
      <c r="B77" s="12"/>
      <c r="C77" s="61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70" s="84" customFormat="1" x14ac:dyDescent="0.2">
      <c r="A78" s="81" t="s">
        <v>66</v>
      </c>
      <c r="B78" s="82"/>
      <c r="C78" s="63"/>
      <c r="D78" s="83"/>
      <c r="E78" s="83">
        <f>$C$5+E16-E26</f>
        <v>7275344.2800000003</v>
      </c>
      <c r="F78" s="83">
        <f t="shared" ref="F78:AK78" si="24">E78+F16-F26</f>
        <v>7275344.2800000003</v>
      </c>
      <c r="G78" s="83">
        <f t="shared" si="24"/>
        <v>7275344.2800000003</v>
      </c>
      <c r="H78" s="83">
        <f t="shared" si="24"/>
        <v>7228683.1400649352</v>
      </c>
      <c r="I78" s="83">
        <f t="shared" si="24"/>
        <v>7043572.3549740259</v>
      </c>
      <c r="J78" s="83">
        <f t="shared" si="24"/>
        <v>6562580.8549740259</v>
      </c>
      <c r="K78" s="83">
        <f t="shared" si="24"/>
        <v>6142962.6456406927</v>
      </c>
      <c r="L78" s="83">
        <f t="shared" si="24"/>
        <v>6142962.6456406927</v>
      </c>
      <c r="M78" s="83">
        <f t="shared" si="24"/>
        <v>6142962.6456406927</v>
      </c>
      <c r="N78" s="83">
        <f t="shared" si="24"/>
        <v>6142962.6456406927</v>
      </c>
      <c r="O78" s="83">
        <f t="shared" si="24"/>
        <v>7039955.4834588747</v>
      </c>
      <c r="P78" s="83">
        <f t="shared" si="24"/>
        <v>6728278.2180188745</v>
      </c>
      <c r="Q78" s="83">
        <f t="shared" si="24"/>
        <v>6386925.4898879658</v>
      </c>
      <c r="R78" s="83">
        <f t="shared" si="24"/>
        <v>7519976.4980261475</v>
      </c>
      <c r="S78" s="83">
        <f t="shared" si="24"/>
        <v>5946397.2181461472</v>
      </c>
      <c r="T78" s="83">
        <f t="shared" si="24"/>
        <v>5946397.2181461472</v>
      </c>
      <c r="U78" s="83">
        <f t="shared" si="24"/>
        <v>5946397.2181461472</v>
      </c>
      <c r="V78" s="83">
        <f t="shared" si="24"/>
        <v>5297351.5657728137</v>
      </c>
      <c r="W78" s="83">
        <f t="shared" si="24"/>
        <v>4951333.2467328142</v>
      </c>
      <c r="X78" s="83">
        <f t="shared" si="24"/>
        <v>4576837.6397994813</v>
      </c>
      <c r="Y78" s="83">
        <f t="shared" si="24"/>
        <v>4247254.9874261478</v>
      </c>
      <c r="Z78" s="83">
        <f t="shared" si="24"/>
        <v>3741035.4456128143</v>
      </c>
      <c r="AA78" s="83">
        <f t="shared" si="24"/>
        <v>3741035.4456128143</v>
      </c>
      <c r="AB78" s="83">
        <f t="shared" si="24"/>
        <v>3741035.4456128143</v>
      </c>
      <c r="AC78" s="83">
        <f t="shared" si="24"/>
        <v>3422216.7932394808</v>
      </c>
      <c r="AD78" s="83">
        <f t="shared" si="24"/>
        <v>-74718.748573852703</v>
      </c>
      <c r="AE78" s="83">
        <f t="shared" si="24"/>
        <v>-754765.921947186</v>
      </c>
      <c r="AF78" s="83">
        <f t="shared" si="24"/>
        <v>-1946217.8403908224</v>
      </c>
      <c r="AG78" s="83">
        <f t="shared" si="24"/>
        <v>-2909145.8585726405</v>
      </c>
      <c r="AH78" s="83">
        <f t="shared" si="24"/>
        <v>-2909145.8585726405</v>
      </c>
      <c r="AI78" s="83">
        <f t="shared" si="24"/>
        <v>-3591705.8585726405</v>
      </c>
      <c r="AJ78" s="83">
        <f t="shared" si="24"/>
        <v>-3827067.0867035496</v>
      </c>
      <c r="AK78" s="83">
        <f t="shared" si="24"/>
        <v>-4820180.1263253679</v>
      </c>
      <c r="AL78" s="83">
        <f t="shared" ref="AL78:BR78" si="25">AK78+AL16-AL26</f>
        <v>-5562993.476769004</v>
      </c>
      <c r="AM78" s="83">
        <f t="shared" si="25"/>
        <v>-6083606.5163908219</v>
      </c>
      <c r="AN78" s="83">
        <f t="shared" si="25"/>
        <v>-6328926.4827544587</v>
      </c>
      <c r="AO78" s="83">
        <f t="shared" si="25"/>
        <v>-6328926.4827544587</v>
      </c>
      <c r="AP78" s="83">
        <f t="shared" si="25"/>
        <v>-6328926.4827544587</v>
      </c>
      <c r="AQ78" s="83">
        <f t="shared" si="25"/>
        <v>-8346823.3851544587</v>
      </c>
      <c r="AR78" s="83">
        <f t="shared" si="25"/>
        <v>-8729789.1057362761</v>
      </c>
      <c r="AS78" s="83">
        <f t="shared" si="25"/>
        <v>-8837745.4390696101</v>
      </c>
      <c r="AT78" s="83">
        <f t="shared" si="25"/>
        <v>-9014480.2490332462</v>
      </c>
      <c r="AU78" s="83">
        <f t="shared" si="25"/>
        <v>-9374485.0589968823</v>
      </c>
      <c r="AV78" s="83">
        <f t="shared" si="25"/>
        <v>-9374485.0589968823</v>
      </c>
      <c r="AW78" s="83">
        <f t="shared" si="25"/>
        <v>-9374485.0589968823</v>
      </c>
      <c r="AX78" s="83">
        <f t="shared" si="25"/>
        <v>-9551219.8689605184</v>
      </c>
      <c r="AY78" s="83">
        <f t="shared" si="25"/>
        <v>-9727954.6789241545</v>
      </c>
      <c r="AZ78" s="83">
        <f t="shared" si="25"/>
        <v>-9904689.4888877906</v>
      </c>
      <c r="BA78" s="83">
        <f t="shared" si="25"/>
        <v>-9904689.4888877906</v>
      </c>
      <c r="BB78" s="83">
        <f t="shared" si="25"/>
        <v>-7173704.4888877906</v>
      </c>
      <c r="BC78" s="83">
        <f t="shared" si="25"/>
        <v>-7173704.4888877906</v>
      </c>
      <c r="BD78" s="83">
        <f t="shared" si="25"/>
        <v>-7173704.4888877906</v>
      </c>
      <c r="BE78" s="83">
        <f t="shared" si="25"/>
        <v>-7173704.4888877906</v>
      </c>
      <c r="BF78" s="83">
        <f t="shared" si="25"/>
        <v>-7173704.4888877906</v>
      </c>
      <c r="BG78" s="83">
        <f t="shared" si="25"/>
        <v>-7173704.4888877906</v>
      </c>
      <c r="BH78" s="83">
        <f t="shared" si="25"/>
        <v>-7173704.4888877906</v>
      </c>
      <c r="BI78" s="83">
        <f t="shared" si="25"/>
        <v>-7173704.4888877906</v>
      </c>
      <c r="BJ78" s="83">
        <f t="shared" si="25"/>
        <v>-7173704.4888877906</v>
      </c>
      <c r="BK78" s="83">
        <f t="shared" si="25"/>
        <v>-7173704.4888877906</v>
      </c>
      <c r="BL78" s="83">
        <f t="shared" si="25"/>
        <v>-4848512.6688877912</v>
      </c>
      <c r="BM78" s="83">
        <f t="shared" si="25"/>
        <v>-4848512.6688877912</v>
      </c>
      <c r="BN78" s="83">
        <f t="shared" si="25"/>
        <v>-4848512.6688877912</v>
      </c>
      <c r="BO78" s="83">
        <f t="shared" si="25"/>
        <v>-4848512.6688877912</v>
      </c>
      <c r="BP78" s="83">
        <f t="shared" si="25"/>
        <v>-4848512.6688877912</v>
      </c>
      <c r="BQ78" s="83">
        <f t="shared" si="25"/>
        <v>-4848512.6688877912</v>
      </c>
      <c r="BR78" s="83">
        <f t="shared" si="25"/>
        <v>-4848512.6688877912</v>
      </c>
    </row>
    <row r="80" spans="1:70" s="5" customFormat="1" x14ac:dyDescent="0.2">
      <c r="A80" s="42"/>
      <c r="B80" s="12"/>
      <c r="C80" s="68"/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:70" s="89" customFormat="1" x14ac:dyDescent="0.2">
      <c r="A81" s="85" t="s">
        <v>65</v>
      </c>
      <c r="B81" s="86"/>
      <c r="C81" s="87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</row>
    <row r="82" spans="1:70" s="5" customFormat="1" ht="22.5" x14ac:dyDescent="0.2">
      <c r="A82" s="36" t="s">
        <v>67</v>
      </c>
      <c r="B82" s="27" t="s">
        <v>68</v>
      </c>
      <c r="C82" s="68">
        <v>3221210.79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</row>
    <row r="83" spans="1:70" s="5" customFormat="1" x14ac:dyDescent="0.2">
      <c r="A83" s="36" t="s">
        <v>69</v>
      </c>
      <c r="B83" s="27" t="s">
        <v>70</v>
      </c>
      <c r="C83" s="68">
        <v>9814338.4000000004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</row>
    <row r="84" spans="1:70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</row>
    <row r="85" spans="1:70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</row>
    <row r="87" spans="1:70" x14ac:dyDescent="0.25">
      <c r="B87" s="14"/>
    </row>
  </sheetData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S88"/>
  <sheetViews>
    <sheetView topLeftCell="A19" workbookViewId="0">
      <selection activeCell="L33" sqref="L33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2.42578125" style="3" customWidth="1"/>
    <col min="6" max="6" width="14.85546875" style="3" customWidth="1"/>
    <col min="7" max="7" width="13" style="3" customWidth="1"/>
    <col min="8" max="8" width="12.7109375" style="3" customWidth="1"/>
    <col min="9" max="9" width="11.85546875" style="3" customWidth="1"/>
    <col min="10" max="10" width="13.140625" style="3" customWidth="1"/>
    <col min="11" max="11" width="11.7109375" style="3" customWidth="1"/>
    <col min="12" max="12" width="12.5703125" style="3" customWidth="1"/>
    <col min="13" max="13" width="15.7109375" style="3" customWidth="1"/>
    <col min="14" max="14" width="12.7109375" style="3" customWidth="1"/>
    <col min="15" max="16" width="12.85546875" style="3" customWidth="1"/>
    <col min="17" max="18" width="11.85546875" style="3" customWidth="1"/>
    <col min="19" max="19" width="13" style="3" customWidth="1"/>
    <col min="20" max="20" width="12.28515625" style="3" customWidth="1"/>
    <col min="21" max="21" width="12.140625" style="3" customWidth="1"/>
    <col min="22" max="22" width="11.140625" style="3" customWidth="1"/>
    <col min="23" max="23" width="12.7109375" style="3" customWidth="1"/>
    <col min="24" max="24" width="11.140625" style="3" customWidth="1"/>
    <col min="25" max="25" width="11.7109375" style="3" customWidth="1"/>
    <col min="26" max="26" width="11.5703125" style="3" customWidth="1"/>
    <col min="27" max="28" width="10.85546875" style="3" customWidth="1"/>
    <col min="29" max="29" width="12.85546875" style="3" customWidth="1"/>
    <col min="30" max="30" width="12" style="3" customWidth="1"/>
    <col min="31" max="31" width="11.140625" style="3" customWidth="1"/>
    <col min="32" max="32" width="12.7109375" style="3" customWidth="1"/>
    <col min="33" max="33" width="11.42578125" style="3" customWidth="1"/>
    <col min="34" max="34" width="11.7109375" style="3" customWidth="1"/>
    <col min="35" max="35" width="10.5703125" style="3" customWidth="1"/>
    <col min="36" max="36" width="12" style="3" customWidth="1"/>
    <col min="37" max="37" width="11.140625" style="3" customWidth="1"/>
    <col min="38" max="38" width="10.42578125" style="3" customWidth="1"/>
    <col min="39" max="39" width="14" style="3" customWidth="1"/>
    <col min="40" max="40" width="10.42578125" style="3" customWidth="1"/>
    <col min="41" max="41" width="12.5703125" style="3" customWidth="1"/>
    <col min="42" max="42" width="13.28515625" style="3" customWidth="1"/>
    <col min="43" max="43" width="12.140625" style="3" customWidth="1"/>
    <col min="44" max="44" width="12.42578125" style="3" customWidth="1"/>
    <col min="45" max="45" width="12.28515625" style="3" customWidth="1"/>
    <col min="46" max="46" width="12.7109375" style="3" customWidth="1"/>
    <col min="47" max="47" width="11.28515625" style="3" customWidth="1"/>
    <col min="48" max="48" width="11.85546875" style="3" customWidth="1"/>
    <col min="49" max="49" width="12.28515625" style="3" customWidth="1"/>
    <col min="50" max="50" width="11.140625" style="3" customWidth="1"/>
    <col min="51" max="51" width="10.5703125" style="3" customWidth="1"/>
    <col min="52" max="52" width="10.85546875" style="3" customWidth="1"/>
    <col min="53" max="53" width="12" style="3" customWidth="1"/>
    <col min="54" max="54" width="13.140625" style="3" customWidth="1"/>
    <col min="55" max="55" width="11.140625" style="3" customWidth="1"/>
    <col min="56" max="56" width="12.5703125" style="3" customWidth="1"/>
    <col min="57" max="57" width="12.140625" style="3" customWidth="1"/>
    <col min="58" max="58" width="12.42578125" style="3" customWidth="1"/>
    <col min="59" max="59" width="12" style="3" customWidth="1"/>
    <col min="60" max="60" width="14.85546875" style="3" customWidth="1"/>
    <col min="61" max="61" width="11.5703125" style="3" customWidth="1"/>
    <col min="62" max="62" width="13.7109375" style="3" customWidth="1"/>
    <col min="63" max="63" width="12.42578125" style="3" customWidth="1"/>
    <col min="64" max="64" width="10.85546875" style="3" customWidth="1"/>
    <col min="65" max="65" width="12.140625" style="3" customWidth="1"/>
    <col min="66" max="66" width="11.85546875" style="3" customWidth="1"/>
    <col min="67" max="67" width="12.7109375" style="3" customWidth="1"/>
    <col min="68" max="68" width="12.42578125" style="3" customWidth="1"/>
    <col min="69" max="69" width="11.140625" style="3" customWidth="1"/>
    <col min="70" max="70" width="11.5703125" style="3" customWidth="1"/>
    <col min="71" max="71" width="12.28515625" style="3" customWidth="1"/>
    <col min="72" max="16384" width="9" style="3"/>
  </cols>
  <sheetData>
    <row r="1" spans="1:71" ht="12" thickBot="1" x14ac:dyDescent="0.3"/>
    <row r="2" spans="1:71" s="1" customFormat="1" x14ac:dyDescent="0.2">
      <c r="A2" s="43" t="s">
        <v>50</v>
      </c>
      <c r="B2" s="15" t="s">
        <v>27</v>
      </c>
      <c r="C2" s="50">
        <v>8811772.25</v>
      </c>
    </row>
    <row r="3" spans="1:71" s="1" customFormat="1" ht="12" thickBot="1" x14ac:dyDescent="0.25">
      <c r="A3" s="44">
        <v>84.6096</v>
      </c>
      <c r="B3" s="15" t="s">
        <v>28</v>
      </c>
      <c r="C3" s="50">
        <v>10778.95</v>
      </c>
    </row>
    <row r="4" spans="1:71" s="8" customFormat="1" ht="12" thickBot="1" x14ac:dyDescent="0.25">
      <c r="A4" s="45"/>
      <c r="B4" s="15" t="s">
        <v>25</v>
      </c>
      <c r="C4" s="51">
        <v>0</v>
      </c>
    </row>
    <row r="5" spans="1:71" s="6" customFormat="1" x14ac:dyDescent="0.2">
      <c r="A5" s="43" t="s">
        <v>51</v>
      </c>
      <c r="B5" s="49" t="s">
        <v>26</v>
      </c>
      <c r="C5" s="52">
        <f>SUM(C2:C4)</f>
        <v>8822551.1999999993</v>
      </c>
    </row>
    <row r="6" spans="1:71" s="6" customFormat="1" ht="12" thickBot="1" x14ac:dyDescent="0.25">
      <c r="A6" s="44">
        <v>72.559700000000007</v>
      </c>
      <c r="B6" s="16"/>
      <c r="C6" s="53"/>
      <c r="D6" s="17"/>
    </row>
    <row r="7" spans="1:71" s="6" customFormat="1" ht="12" thickBot="1" x14ac:dyDescent="0.25">
      <c r="A7" s="105" t="s">
        <v>51</v>
      </c>
      <c r="B7" s="18" t="s">
        <v>127</v>
      </c>
      <c r="C7" s="54">
        <f>SUM(16:16)</f>
        <v>18472715.566400003</v>
      </c>
    </row>
    <row r="8" spans="1:71" x14ac:dyDescent="0.25">
      <c r="A8" s="43" t="s">
        <v>52</v>
      </c>
      <c r="B8" s="18" t="s">
        <v>126</v>
      </c>
      <c r="C8" s="54">
        <f>SUM(26:26)</f>
        <v>54895285.536395378</v>
      </c>
    </row>
    <row r="9" spans="1:71" ht="12" thickBot="1" x14ac:dyDescent="0.3">
      <c r="A9" s="44">
        <v>10.731199999999999</v>
      </c>
      <c r="B9" s="19" t="s">
        <v>64</v>
      </c>
      <c r="C9" s="55">
        <f>C5+C7-C8-C11</f>
        <v>-50837679.99131538</v>
      </c>
    </row>
    <row r="10" spans="1:71" x14ac:dyDescent="0.25">
      <c r="A10" s="99" t="s">
        <v>80</v>
      </c>
      <c r="B10" s="18" t="s">
        <v>23</v>
      </c>
      <c r="C10" s="56">
        <f>C16</f>
        <v>0</v>
      </c>
    </row>
    <row r="11" spans="1:71" x14ac:dyDescent="0.25">
      <c r="A11" s="101" t="s">
        <v>87</v>
      </c>
      <c r="B11" s="18" t="s">
        <v>24</v>
      </c>
      <c r="C11" s="54">
        <f>C26</f>
        <v>23237661.22132</v>
      </c>
    </row>
    <row r="12" spans="1:71" x14ac:dyDescent="0.25">
      <c r="A12" s="107" t="s">
        <v>88</v>
      </c>
    </row>
    <row r="13" spans="1:71" x14ac:dyDescent="0.25">
      <c r="A13" s="38"/>
      <c r="B13" s="10"/>
      <c r="C13" s="57"/>
      <c r="D13" s="10"/>
    </row>
    <row r="14" spans="1:71" s="2" customFormat="1" x14ac:dyDescent="0.25">
      <c r="A14" s="64"/>
      <c r="B14" s="65"/>
      <c r="C14" s="58" t="s">
        <v>56</v>
      </c>
      <c r="D14" s="66"/>
      <c r="E14" s="66">
        <v>46177</v>
      </c>
      <c r="F14" s="66">
        <v>46178</v>
      </c>
      <c r="G14" s="66">
        <v>46179</v>
      </c>
      <c r="H14" s="66">
        <v>46180</v>
      </c>
      <c r="I14" s="66">
        <v>46181</v>
      </c>
      <c r="J14" s="66">
        <v>46182</v>
      </c>
      <c r="K14" s="66">
        <v>46183</v>
      </c>
      <c r="L14" s="66">
        <v>46184</v>
      </c>
      <c r="M14" s="66">
        <v>46185</v>
      </c>
      <c r="N14" s="66">
        <v>46186</v>
      </c>
      <c r="O14" s="66">
        <v>46187</v>
      </c>
      <c r="P14" s="66">
        <v>46188</v>
      </c>
      <c r="Q14" s="66">
        <v>46189</v>
      </c>
      <c r="R14" s="66">
        <v>46190</v>
      </c>
      <c r="S14" s="66">
        <v>46191</v>
      </c>
      <c r="T14" s="66">
        <v>46192</v>
      </c>
      <c r="U14" s="66">
        <v>46193</v>
      </c>
      <c r="V14" s="66">
        <v>46194</v>
      </c>
      <c r="W14" s="66">
        <v>46195</v>
      </c>
      <c r="X14" s="66">
        <v>46196</v>
      </c>
      <c r="Y14" s="66">
        <v>46197</v>
      </c>
      <c r="Z14" s="66">
        <v>46198</v>
      </c>
      <c r="AA14" s="66">
        <v>46199</v>
      </c>
      <c r="AB14" s="66">
        <v>46200</v>
      </c>
      <c r="AC14" s="66">
        <v>46201</v>
      </c>
      <c r="AD14" s="66">
        <v>46202</v>
      </c>
      <c r="AE14" s="66">
        <v>46203</v>
      </c>
      <c r="AF14" s="66">
        <v>46204</v>
      </c>
      <c r="AG14" s="66">
        <v>46205</v>
      </c>
      <c r="AH14" s="66">
        <v>46206</v>
      </c>
      <c r="AI14" s="66">
        <v>46207</v>
      </c>
      <c r="AJ14" s="66">
        <v>46208</v>
      </c>
      <c r="AK14" s="66">
        <v>46209</v>
      </c>
      <c r="AL14" s="66">
        <v>46210</v>
      </c>
      <c r="AM14" s="66">
        <v>46211</v>
      </c>
      <c r="AN14" s="66">
        <v>46212</v>
      </c>
      <c r="AO14" s="66">
        <v>46213</v>
      </c>
      <c r="AP14" s="66">
        <v>46214</v>
      </c>
      <c r="AQ14" s="66">
        <v>46215</v>
      </c>
      <c r="AR14" s="66">
        <v>46216</v>
      </c>
      <c r="AS14" s="66">
        <v>46217</v>
      </c>
      <c r="AT14" s="66">
        <v>46218</v>
      </c>
      <c r="AU14" s="66">
        <v>46219</v>
      </c>
      <c r="AV14" s="66">
        <v>46220</v>
      </c>
      <c r="AW14" s="66">
        <v>46221</v>
      </c>
      <c r="AX14" s="66">
        <v>46222</v>
      </c>
      <c r="AY14" s="66">
        <v>46223</v>
      </c>
      <c r="AZ14" s="66">
        <v>46224</v>
      </c>
      <c r="BA14" s="66">
        <v>46225</v>
      </c>
      <c r="BB14" s="66">
        <v>46226</v>
      </c>
      <c r="BC14" s="66">
        <v>46227</v>
      </c>
      <c r="BD14" s="66">
        <v>46228</v>
      </c>
      <c r="BE14" s="66">
        <v>46229</v>
      </c>
      <c r="BF14" s="66">
        <v>46230</v>
      </c>
      <c r="BG14" s="66">
        <v>46231</v>
      </c>
      <c r="BH14" s="66">
        <v>46232</v>
      </c>
      <c r="BI14" s="66">
        <v>46233</v>
      </c>
      <c r="BJ14" s="66">
        <v>46234</v>
      </c>
      <c r="BK14" s="66">
        <v>46235</v>
      </c>
      <c r="BL14" s="66">
        <v>46236</v>
      </c>
      <c r="BM14" s="66">
        <v>46237</v>
      </c>
      <c r="BN14" s="66">
        <v>46238</v>
      </c>
      <c r="BO14" s="66">
        <v>46239</v>
      </c>
      <c r="BP14" s="66">
        <v>46240</v>
      </c>
      <c r="BQ14" s="66">
        <v>46241</v>
      </c>
      <c r="BR14" s="66">
        <v>46242</v>
      </c>
      <c r="BS14" s="66">
        <v>46243</v>
      </c>
    </row>
    <row r="15" spans="1:7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</row>
    <row r="16" spans="1:71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P16" si="0">SUM(E17:E25)</f>
        <v>0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29">
        <f t="shared" si="0"/>
        <v>1000000</v>
      </c>
      <c r="J16" s="29">
        <f t="shared" si="0"/>
        <v>0</v>
      </c>
      <c r="K16" s="29">
        <f t="shared" si="0"/>
        <v>0</v>
      </c>
      <c r="L16" s="29">
        <f t="shared" si="0"/>
        <v>0</v>
      </c>
      <c r="M16" s="135">
        <f t="shared" si="0"/>
        <v>0</v>
      </c>
      <c r="N16" s="135">
        <f t="shared" si="0"/>
        <v>0</v>
      </c>
      <c r="O16" s="135">
        <f t="shared" si="0"/>
        <v>0</v>
      </c>
      <c r="P16" s="29">
        <f t="shared" si="0"/>
        <v>2000000</v>
      </c>
      <c r="Q16" s="29">
        <f t="shared" si="0"/>
        <v>0</v>
      </c>
      <c r="R16" s="29">
        <f t="shared" si="0"/>
        <v>0</v>
      </c>
      <c r="S16" s="29">
        <f t="shared" si="0"/>
        <v>8129628.8064000001</v>
      </c>
      <c r="T16" s="29">
        <f t="shared" si="0"/>
        <v>0</v>
      </c>
      <c r="U16" s="135">
        <f t="shared" si="0"/>
        <v>0</v>
      </c>
      <c r="V16" s="135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135">
        <f t="shared" si="0"/>
        <v>0</v>
      </c>
      <c r="AC16" s="135">
        <f t="shared" si="0"/>
        <v>0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135">
        <f t="shared" si="0"/>
        <v>0</v>
      </c>
      <c r="AJ16" s="135">
        <f t="shared" si="0"/>
        <v>0</v>
      </c>
      <c r="AK16" s="29">
        <f t="shared" si="0"/>
        <v>0</v>
      </c>
      <c r="AL16" s="29">
        <f t="shared" si="0"/>
        <v>0</v>
      </c>
      <c r="AM16" s="29">
        <f t="shared" si="0"/>
        <v>0</v>
      </c>
      <c r="AN16" s="29">
        <f t="shared" si="0"/>
        <v>0</v>
      </c>
      <c r="AO16" s="29">
        <f t="shared" si="0"/>
        <v>0</v>
      </c>
      <c r="AP16" s="135">
        <f t="shared" si="0"/>
        <v>0</v>
      </c>
      <c r="AQ16" s="135">
        <f t="shared" si="0"/>
        <v>0</v>
      </c>
      <c r="AR16" s="29">
        <f t="shared" si="0"/>
        <v>0</v>
      </c>
      <c r="AS16" s="29">
        <f t="shared" si="0"/>
        <v>0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135">
        <f t="shared" si="0"/>
        <v>0</v>
      </c>
      <c r="AX16" s="135">
        <f t="shared" si="0"/>
        <v>0</v>
      </c>
      <c r="AY16" s="29">
        <f t="shared" si="0"/>
        <v>0</v>
      </c>
      <c r="AZ16" s="29">
        <f t="shared" si="0"/>
        <v>0</v>
      </c>
      <c r="BA16" s="29">
        <f t="shared" si="0"/>
        <v>0</v>
      </c>
      <c r="BB16" s="29">
        <f t="shared" si="0"/>
        <v>0</v>
      </c>
      <c r="BC16" s="29">
        <f t="shared" si="0"/>
        <v>4330985</v>
      </c>
      <c r="BD16" s="135">
        <f t="shared" si="0"/>
        <v>0</v>
      </c>
      <c r="BE16" s="135">
        <f t="shared" si="0"/>
        <v>0</v>
      </c>
      <c r="BF16" s="29">
        <f t="shared" si="0"/>
        <v>0</v>
      </c>
      <c r="BG16" s="29">
        <f t="shared" si="0"/>
        <v>0</v>
      </c>
      <c r="BH16" s="29">
        <f t="shared" si="0"/>
        <v>0</v>
      </c>
      <c r="BI16" s="29">
        <f t="shared" si="0"/>
        <v>0</v>
      </c>
      <c r="BJ16" s="29">
        <f t="shared" si="0"/>
        <v>0</v>
      </c>
      <c r="BK16" s="135">
        <f t="shared" si="0"/>
        <v>0</v>
      </c>
      <c r="BL16" s="135">
        <f t="shared" si="0"/>
        <v>0</v>
      </c>
      <c r="BM16" s="29">
        <f t="shared" si="0"/>
        <v>3012101.7600000002</v>
      </c>
      <c r="BN16" s="29">
        <f t="shared" si="0"/>
        <v>0</v>
      </c>
      <c r="BO16" s="29">
        <f t="shared" si="0"/>
        <v>0</v>
      </c>
      <c r="BP16" s="29">
        <f t="shared" si="0"/>
        <v>0</v>
      </c>
      <c r="BQ16" s="29">
        <f t="shared" ref="BQ16:BS16" si="1">SUM(BQ17:BQ25)</f>
        <v>0</v>
      </c>
      <c r="BR16" s="135">
        <f t="shared" si="1"/>
        <v>0</v>
      </c>
      <c r="BS16" s="135">
        <f t="shared" si="1"/>
        <v>0</v>
      </c>
    </row>
    <row r="17" spans="1:7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</row>
    <row r="18" spans="1:71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>
        <v>1000000</v>
      </c>
      <c r="J18" s="30"/>
      <c r="K18" s="30"/>
      <c r="L18" s="30"/>
      <c r="M18" s="30"/>
      <c r="N18" s="30"/>
      <c r="O18" s="30"/>
      <c r="P18" s="30">
        <v>2000000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</row>
    <row r="19" spans="1:71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</row>
    <row r="20" spans="1:71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>
        <v>4330985</v>
      </c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</row>
    <row r="21" spans="1:71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</row>
    <row r="22" spans="1:71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</row>
    <row r="23" spans="1:71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>
        <f>96084*A3</f>
        <v>8129628.8064000001</v>
      </c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</row>
    <row r="24" spans="1:71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E24" s="30"/>
      <c r="AF24" s="30"/>
      <c r="AG24" s="30"/>
      <c r="AH24" s="30"/>
      <c r="AI24" s="30"/>
      <c r="AJ24" s="30"/>
      <c r="AK24" s="30"/>
      <c r="AL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165">
        <f>35600*A3</f>
        <v>3012101.7600000002</v>
      </c>
      <c r="BN24" s="30"/>
      <c r="BO24" s="30"/>
      <c r="BP24" s="30"/>
      <c r="BQ24" s="30"/>
      <c r="BR24" s="30"/>
      <c r="BS24" s="30"/>
    </row>
    <row r="25" spans="1:71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</row>
    <row r="26" spans="1:71" s="4" customFormat="1" x14ac:dyDescent="0.2">
      <c r="A26" s="41" t="s">
        <v>1</v>
      </c>
      <c r="B26" s="22"/>
      <c r="C26" s="34">
        <f>SUM(C28:C77)</f>
        <v>23237661.22132</v>
      </c>
      <c r="D26" s="34"/>
      <c r="E26" s="34">
        <f t="shared" ref="E26:BO26" si="2">SUM(E27:E78)</f>
        <v>542782.40909090906</v>
      </c>
      <c r="F26" s="34">
        <f t="shared" si="2"/>
        <v>908214.45860173157</v>
      </c>
      <c r="G26" s="34">
        <f t="shared" si="2"/>
        <v>0</v>
      </c>
      <c r="H26" s="34">
        <f t="shared" si="2"/>
        <v>0</v>
      </c>
      <c r="I26" s="34">
        <f t="shared" si="2"/>
        <v>511926.07500000001</v>
      </c>
      <c r="J26" s="34">
        <f t="shared" si="2"/>
        <v>183878.29609090911</v>
      </c>
      <c r="K26" s="34">
        <f t="shared" si="2"/>
        <v>600491.5</v>
      </c>
      <c r="L26" s="34">
        <f t="shared" si="2"/>
        <v>418385.7203333333</v>
      </c>
      <c r="M26" s="34">
        <f t="shared" si="2"/>
        <v>0</v>
      </c>
      <c r="N26" s="34">
        <f t="shared" si="2"/>
        <v>0</v>
      </c>
      <c r="O26" s="34">
        <f t="shared" si="2"/>
        <v>0</v>
      </c>
      <c r="P26" s="34">
        <f t="shared" si="2"/>
        <v>1202156.5711818181</v>
      </c>
      <c r="Q26" s="34">
        <f t="shared" si="2"/>
        <v>308765.02808000002</v>
      </c>
      <c r="R26" s="34">
        <f t="shared" si="2"/>
        <v>438557.96077090909</v>
      </c>
      <c r="S26" s="34">
        <f t="shared" si="2"/>
        <v>7163289.7679418186</v>
      </c>
      <c r="T26" s="34">
        <f t="shared" si="2"/>
        <v>1768987.29416</v>
      </c>
      <c r="U26" s="34">
        <f t="shared" si="2"/>
        <v>0</v>
      </c>
      <c r="V26" s="34">
        <f t="shared" si="2"/>
        <v>0</v>
      </c>
      <c r="W26" s="34">
        <f t="shared" si="2"/>
        <v>646250.88501333329</v>
      </c>
      <c r="X26" s="34">
        <f t="shared" si="2"/>
        <v>343223.55167999998</v>
      </c>
      <c r="Y26" s="34">
        <f t="shared" si="2"/>
        <v>507413.05621333327</v>
      </c>
      <c r="Z26" s="34">
        <f t="shared" si="2"/>
        <v>326787.88501333329</v>
      </c>
      <c r="AA26" s="34">
        <f t="shared" si="2"/>
        <v>501745.02609333326</v>
      </c>
      <c r="AB26" s="34">
        <f t="shared" si="2"/>
        <v>0</v>
      </c>
      <c r="AC26" s="34">
        <f t="shared" si="2"/>
        <v>0</v>
      </c>
      <c r="AD26" s="34">
        <f t="shared" si="2"/>
        <v>316023.88501333329</v>
      </c>
      <c r="AE26" s="34">
        <f t="shared" si="2"/>
        <v>3686157.9924569698</v>
      </c>
      <c r="AF26" s="34">
        <f t="shared" si="2"/>
        <v>667101.73076333338</v>
      </c>
      <c r="AG26" s="34">
        <f t="shared" si="2"/>
        <v>1183700.9503236362</v>
      </c>
      <c r="AH26" s="34">
        <f t="shared" si="2"/>
        <v>949139.21818181803</v>
      </c>
      <c r="AI26" s="34">
        <f t="shared" si="2"/>
        <v>0</v>
      </c>
      <c r="AJ26" s="34">
        <f t="shared" si="2"/>
        <v>682560</v>
      </c>
      <c r="AK26" s="34">
        <f t="shared" si="2"/>
        <v>232566.46077090906</v>
      </c>
      <c r="AL26" s="34">
        <f t="shared" si="2"/>
        <v>378109.83898181817</v>
      </c>
      <c r="AM26" s="34">
        <f t="shared" si="2"/>
        <v>729091.48172363639</v>
      </c>
      <c r="AN26" s="34">
        <f t="shared" si="2"/>
        <v>512962.39066181815</v>
      </c>
      <c r="AO26" s="34">
        <f t="shared" si="2"/>
        <v>51623</v>
      </c>
      <c r="AP26" s="34">
        <f t="shared" si="2"/>
        <v>0</v>
      </c>
      <c r="AQ26" s="34">
        <f t="shared" si="2"/>
        <v>0</v>
      </c>
      <c r="AR26" s="34">
        <f t="shared" si="2"/>
        <v>2013041.0208000001</v>
      </c>
      <c r="AS26" s="34">
        <f t="shared" si="2"/>
        <v>378109.83898181817</v>
      </c>
      <c r="AT26" s="34">
        <f t="shared" si="2"/>
        <v>107956.33333333334</v>
      </c>
      <c r="AU26" s="34">
        <f t="shared" si="2"/>
        <v>173458.35756363635</v>
      </c>
      <c r="AV26" s="34">
        <f t="shared" si="2"/>
        <v>356728.35756363638</v>
      </c>
      <c r="AW26" s="34">
        <f t="shared" si="2"/>
        <v>0</v>
      </c>
      <c r="AX26" s="34">
        <f t="shared" si="2"/>
        <v>0</v>
      </c>
      <c r="AY26" s="34">
        <f t="shared" si="2"/>
        <v>173458.35756363635</v>
      </c>
      <c r="AZ26" s="34">
        <f t="shared" si="2"/>
        <v>173458.35756363635</v>
      </c>
      <c r="BA26" s="34">
        <f t="shared" si="2"/>
        <v>173458.35756363635</v>
      </c>
      <c r="BB26" s="34">
        <f t="shared" si="2"/>
        <v>0</v>
      </c>
      <c r="BC26" s="34">
        <f t="shared" si="2"/>
        <v>1600000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746062.9</v>
      </c>
      <c r="BN26" s="34">
        <f t="shared" si="2"/>
        <v>0</v>
      </c>
      <c r="BO26" s="34">
        <f t="shared" si="2"/>
        <v>0</v>
      </c>
      <c r="BP26" s="34">
        <f t="shared" ref="BP26:BS26" si="3">SUM(BP27:BP78)</f>
        <v>0</v>
      </c>
      <c r="BQ26" s="34">
        <f t="shared" si="3"/>
        <v>0</v>
      </c>
      <c r="BR26" s="34">
        <f t="shared" si="3"/>
        <v>0</v>
      </c>
      <c r="BS26" s="34">
        <f t="shared" si="3"/>
        <v>0</v>
      </c>
    </row>
    <row r="27" spans="1:71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</row>
    <row r="28" spans="1:71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</row>
    <row r="29" spans="1:71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</row>
    <row r="30" spans="1:71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>
        <f>8399365/3</f>
        <v>2799788.3333333335</v>
      </c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</row>
    <row r="31" spans="1:71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90">
        <f>291375+137118</f>
        <v>428493</v>
      </c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</row>
    <row r="32" spans="1:71" s="1" customFormat="1" x14ac:dyDescent="0.2">
      <c r="A32" s="36" t="s">
        <v>7</v>
      </c>
      <c r="B32" s="23" t="s">
        <v>8</v>
      </c>
      <c r="C32" s="60"/>
      <c r="D32" s="24"/>
      <c r="E32" s="24"/>
      <c r="F32" s="24">
        <f>488746/0.77</f>
        <v>634735.06493506487</v>
      </c>
      <c r="G32" s="24"/>
      <c r="H32" s="24"/>
      <c r="I32" s="24"/>
      <c r="J32" s="24"/>
      <c r="K32" s="24">
        <v>350000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</row>
    <row r="33" spans="1:71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N33" s="24"/>
      <c r="O33" s="24"/>
      <c r="P33" s="24">
        <v>271506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>
        <v>271506</v>
      </c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</row>
    <row r="34" spans="1:71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>
        <f>100113.9/2</f>
        <v>50056.95</v>
      </c>
      <c r="J34" s="24"/>
      <c r="K34" s="24"/>
      <c r="L34" s="24">
        <v>50000</v>
      </c>
      <c r="M34" s="24"/>
      <c r="N34" s="24"/>
      <c r="O34" s="24"/>
      <c r="P34" s="24"/>
      <c r="Q34" s="24">
        <v>50000</v>
      </c>
      <c r="R34" s="24"/>
      <c r="S34" s="24">
        <f>100113.9/2</f>
        <v>50056.95</v>
      </c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</row>
    <row r="35" spans="1:71" s="1" customFormat="1" x14ac:dyDescent="0.2">
      <c r="A35" s="36" t="s">
        <v>71</v>
      </c>
      <c r="B35" s="23"/>
      <c r="C35" s="60"/>
      <c r="D35" s="24"/>
      <c r="E35" s="24"/>
      <c r="F35" s="24">
        <v>40000</v>
      </c>
      <c r="G35" s="24"/>
      <c r="H35" s="24"/>
      <c r="J35" s="24"/>
      <c r="K35" s="24"/>
      <c r="L35" s="24"/>
      <c r="M35" s="24"/>
      <c r="N35" s="24"/>
      <c r="O35" s="24"/>
      <c r="P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>
        <v>200113.9</v>
      </c>
      <c r="AH35" s="24">
        <v>40000</v>
      </c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>
        <v>200113.9</v>
      </c>
      <c r="BN35" s="24"/>
      <c r="BO35" s="24"/>
      <c r="BP35" s="24"/>
      <c r="BQ35" s="24"/>
      <c r="BR35" s="24"/>
      <c r="BS35" s="24"/>
    </row>
    <row r="36" spans="1:71" s="1" customFormat="1" x14ac:dyDescent="0.2">
      <c r="A36" s="36" t="s">
        <v>53</v>
      </c>
      <c r="B36" s="23"/>
      <c r="C36" s="60"/>
      <c r="D36" s="24"/>
      <c r="E36" s="24">
        <f>545949/6</f>
        <v>90991.5</v>
      </c>
      <c r="G36" s="24"/>
      <c r="H36" s="24"/>
      <c r="I36" s="24">
        <f t="shared" ref="I36:R36" si="4">545949/6</f>
        <v>90991.5</v>
      </c>
      <c r="J36" s="24"/>
      <c r="K36" s="24">
        <f t="shared" si="4"/>
        <v>90991.5</v>
      </c>
      <c r="L36" s="24">
        <f t="shared" si="4"/>
        <v>90991.5</v>
      </c>
      <c r="N36" s="24"/>
      <c r="O36" s="24"/>
      <c r="P36" s="24">
        <f t="shared" si="4"/>
        <v>90991.5</v>
      </c>
      <c r="Q36" s="24"/>
      <c r="R36" s="24">
        <f t="shared" si="4"/>
        <v>90991.5</v>
      </c>
      <c r="S36" s="24">
        <v>140000</v>
      </c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>
        <v>545949</v>
      </c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>
        <v>545949</v>
      </c>
      <c r="BN36" s="24"/>
      <c r="BO36" s="24"/>
      <c r="BP36" s="24"/>
      <c r="BQ36" s="24"/>
      <c r="BR36" s="24"/>
      <c r="BS36" s="24"/>
    </row>
    <row r="37" spans="1:71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</row>
    <row r="38" spans="1:71" s="71" customFormat="1" x14ac:dyDescent="0.2">
      <c r="A38" s="69" t="s">
        <v>14</v>
      </c>
      <c r="B38" s="25" t="s">
        <v>30</v>
      </c>
      <c r="C38" s="70"/>
      <c r="D38" s="24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100">
        <v>774474</v>
      </c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</row>
    <row r="39" spans="1:71" s="71" customFormat="1" x14ac:dyDescent="0.2">
      <c r="A39" s="69" t="s">
        <v>115</v>
      </c>
      <c r="B39" s="25" t="s">
        <v>116</v>
      </c>
      <c r="C39" s="70"/>
      <c r="D39" s="24"/>
      <c r="E39" s="24"/>
      <c r="F39" s="170">
        <f>156160/6+1026.67+1026.67</f>
        <v>28080.006666666668</v>
      </c>
      <c r="G39" s="24"/>
      <c r="H39" s="24"/>
      <c r="I39" s="24"/>
      <c r="J39" s="24"/>
      <c r="K39" s="24"/>
      <c r="L39" s="100">
        <f>312320/10</f>
        <v>31232</v>
      </c>
      <c r="M39" s="24"/>
      <c r="N39" s="24"/>
      <c r="O39" s="24"/>
      <c r="P39" s="24"/>
      <c r="Q39" s="100">
        <f>312320/10</f>
        <v>31232</v>
      </c>
      <c r="R39" s="24"/>
      <c r="S39" s="24"/>
      <c r="T39" s="100">
        <f>312320/10</f>
        <v>31232</v>
      </c>
      <c r="U39" s="24"/>
      <c r="V39" s="24"/>
      <c r="W39" s="108">
        <f>312320/10</f>
        <v>31232</v>
      </c>
      <c r="X39" s="24"/>
      <c r="Y39" s="108">
        <f>312320/10</f>
        <v>31232</v>
      </c>
      <c r="Z39" s="24"/>
      <c r="AA39" s="108">
        <f>312320/10</f>
        <v>31232</v>
      </c>
      <c r="AB39" s="24"/>
      <c r="AC39" s="24"/>
      <c r="AD39" s="108">
        <v>124838</v>
      </c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</row>
    <row r="40" spans="1:71" s="71" customFormat="1" x14ac:dyDescent="0.2">
      <c r="A40" s="69" t="s">
        <v>117</v>
      </c>
      <c r="B40" s="25" t="s">
        <v>119</v>
      </c>
      <c r="C40" s="70">
        <f>691000-25000-25000</f>
        <v>641000</v>
      </c>
      <c r="D40" s="24"/>
      <c r="E40" s="118">
        <f>91000/2</f>
        <v>45500</v>
      </c>
      <c r="F40" s="170">
        <v>25000</v>
      </c>
      <c r="G40" s="24"/>
      <c r="H40" s="24"/>
      <c r="I40" s="108">
        <f>91000/2</f>
        <v>45500</v>
      </c>
      <c r="J40" s="108">
        <v>25000</v>
      </c>
      <c r="K40" s="24"/>
      <c r="L40" s="108">
        <v>25000</v>
      </c>
      <c r="N40" s="24"/>
      <c r="O40" s="24"/>
      <c r="P40" s="108">
        <f>25000+25000</f>
        <v>50000</v>
      </c>
      <c r="Q40" s="24"/>
      <c r="R40" s="24"/>
      <c r="S40" s="108">
        <v>150000</v>
      </c>
      <c r="T40" s="108">
        <v>100000</v>
      </c>
      <c r="U40" s="24"/>
      <c r="V40" s="24"/>
      <c r="W40" s="24"/>
      <c r="X40" s="108">
        <v>100000</v>
      </c>
      <c r="Y40" s="108">
        <v>75000</v>
      </c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</row>
    <row r="41" spans="1:71" s="71" customFormat="1" x14ac:dyDescent="0.2">
      <c r="A41" s="69" t="s">
        <v>97</v>
      </c>
      <c r="B41" s="25" t="s">
        <v>137</v>
      </c>
      <c r="C41" s="70"/>
      <c r="D41" s="24"/>
      <c r="E41" s="118">
        <v>235200</v>
      </c>
      <c r="F41" s="171"/>
      <c r="G41" s="24"/>
      <c r="H41" s="24"/>
      <c r="I41" s="24"/>
      <c r="J41" s="24"/>
      <c r="K41" s="24"/>
      <c r="M41" s="24"/>
      <c r="N41" s="24"/>
      <c r="O41" s="24"/>
      <c r="P41" s="108">
        <f>510600/2</f>
        <v>255300</v>
      </c>
      <c r="Q41" s="24"/>
      <c r="R41" s="24"/>
      <c r="S41" s="24"/>
      <c r="T41" s="129">
        <f>510600/2</f>
        <v>255300</v>
      </c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</row>
    <row r="42" spans="1:71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</f>
        <v>315000</v>
      </c>
      <c r="D42" s="24"/>
      <c r="E42" s="118">
        <v>25000</v>
      </c>
      <c r="F42" s="172"/>
      <c r="G42" s="24"/>
      <c r="H42" s="24"/>
      <c r="I42" s="129">
        <v>25000</v>
      </c>
      <c r="K42" s="129">
        <f>30000/2</f>
        <v>15000</v>
      </c>
      <c r="L42" s="24"/>
      <c r="N42" s="24"/>
      <c r="O42" s="24"/>
      <c r="Q42" s="129">
        <f>95000/2</f>
        <v>47500</v>
      </c>
      <c r="R42" s="24"/>
      <c r="S42" s="129">
        <f>95000/2</f>
        <v>47500</v>
      </c>
      <c r="U42" s="24"/>
      <c r="V42" s="24"/>
      <c r="W42" s="129">
        <f>30000/2</f>
        <v>15000</v>
      </c>
      <c r="X42" s="129">
        <v>40000</v>
      </c>
      <c r="Y42" s="129">
        <v>25000</v>
      </c>
      <c r="Z42" s="129">
        <v>25000</v>
      </c>
      <c r="AA42" s="129">
        <v>50000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</row>
    <row r="43" spans="1:71" s="71" customFormat="1" x14ac:dyDescent="0.2">
      <c r="A43" s="69" t="s">
        <v>15</v>
      </c>
      <c r="B43" s="25" t="s">
        <v>31</v>
      </c>
      <c r="C43" s="70">
        <f>2480914-516230-48700-50000-50000-50000-43000-42000</f>
        <v>1680984</v>
      </c>
      <c r="D43" s="24"/>
      <c r="E43" s="24"/>
      <c r="F43" s="140">
        <f>195080/4+5112</f>
        <v>53882</v>
      </c>
      <c r="G43" s="24"/>
      <c r="H43" s="24"/>
      <c r="I43" s="108">
        <f>(45000+65224)/2</f>
        <v>55112</v>
      </c>
      <c r="J43" s="140">
        <f t="shared" ref="J43" si="5">195080/4</f>
        <v>48770</v>
      </c>
      <c r="L43" s="108">
        <f>(516230/10)/2</f>
        <v>25811.5</v>
      </c>
      <c r="N43" s="24"/>
      <c r="O43" s="24"/>
      <c r="P43" s="108">
        <f>516230/10</f>
        <v>51623</v>
      </c>
      <c r="Q43" s="108">
        <f>(516230/10)/2</f>
        <v>25811.5</v>
      </c>
      <c r="R43" s="108">
        <f t="shared" ref="R43:AT43" si="6">516230/10</f>
        <v>51623</v>
      </c>
      <c r="S43" s="108">
        <f t="shared" si="6"/>
        <v>51623</v>
      </c>
      <c r="T43" s="108">
        <f>516230/10</f>
        <v>51623</v>
      </c>
      <c r="U43" s="24"/>
      <c r="V43" s="24"/>
      <c r="W43" s="108">
        <f>516230/10</f>
        <v>51623</v>
      </c>
      <c r="X43" s="108">
        <f>516230/10+15224</f>
        <v>66847</v>
      </c>
      <c r="Y43" s="108">
        <f t="shared" ref="Y43" si="7">516230/10</f>
        <v>51623</v>
      </c>
      <c r="Z43" s="108">
        <f t="shared" ref="Z43" si="8">(515224/4)/3</f>
        <v>42935.333333333336</v>
      </c>
      <c r="AA43" s="108">
        <f>516230/10</f>
        <v>51623</v>
      </c>
      <c r="AB43" s="24"/>
      <c r="AC43" s="24"/>
      <c r="AE43" s="108">
        <f t="shared" ref="AE43:AH43" si="9">516230/10</f>
        <v>51623</v>
      </c>
      <c r="AF43" s="108">
        <f t="shared" si="9"/>
        <v>51623</v>
      </c>
      <c r="AG43" s="108">
        <f t="shared" si="9"/>
        <v>51623</v>
      </c>
      <c r="AH43" s="108">
        <f t="shared" si="9"/>
        <v>51623</v>
      </c>
      <c r="AI43" s="24"/>
      <c r="AJ43" s="24"/>
      <c r="AK43" s="108">
        <f t="shared" ref="AK43:AO43" si="10">516230/10</f>
        <v>51623</v>
      </c>
      <c r="AL43" s="108">
        <f t="shared" si="10"/>
        <v>51623</v>
      </c>
      <c r="AM43" s="108">
        <f t="shared" si="10"/>
        <v>51623</v>
      </c>
      <c r="AN43" s="108">
        <f t="shared" si="10"/>
        <v>51623</v>
      </c>
      <c r="AO43" s="108">
        <f t="shared" si="10"/>
        <v>51623</v>
      </c>
      <c r="AP43" s="24"/>
      <c r="AQ43" s="24"/>
      <c r="AR43" s="100">
        <v>516230</v>
      </c>
      <c r="AS43" s="108">
        <f>516230/10</f>
        <v>51623</v>
      </c>
      <c r="AT43" s="108">
        <f t="shared" si="6"/>
        <v>51623</v>
      </c>
      <c r="AU43" s="24"/>
      <c r="AV43" s="98">
        <f>515224/4+54464</f>
        <v>183270</v>
      </c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</row>
    <row r="44" spans="1:71" s="71" customFormat="1" x14ac:dyDescent="0.2">
      <c r="A44" s="69" t="s">
        <v>16</v>
      </c>
      <c r="B44" s="25" t="s">
        <v>32</v>
      </c>
      <c r="C44" s="70"/>
      <c r="D44" s="24"/>
      <c r="E44" s="28"/>
      <c r="F44" s="171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</row>
    <row r="45" spans="1:71" s="71" customFormat="1" x14ac:dyDescent="0.2">
      <c r="A45" s="69" t="s">
        <v>85</v>
      </c>
      <c r="B45" s="25" t="s">
        <v>47</v>
      </c>
      <c r="C45" s="70"/>
      <c r="D45" s="24"/>
      <c r="E45" s="24"/>
      <c r="F45" s="171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100">
        <f>2997.5*A6</f>
        <v>217497.70075000002</v>
      </c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</row>
    <row r="46" spans="1:71" s="71" customFormat="1" x14ac:dyDescent="0.2">
      <c r="A46" s="69" t="s">
        <v>143</v>
      </c>
      <c r="B46" s="25" t="s">
        <v>45</v>
      </c>
      <c r="C46" s="24">
        <f>188496*A9</f>
        <v>2022788.2751999998</v>
      </c>
      <c r="D46" s="24"/>
      <c r="E46" s="24"/>
      <c r="F46" s="171"/>
      <c r="G46" s="24"/>
      <c r="H46" s="24"/>
      <c r="I46" s="24"/>
      <c r="J46" s="24"/>
      <c r="K46" s="24"/>
      <c r="L46" s="24"/>
      <c r="M46" s="28"/>
      <c r="N46" s="24"/>
      <c r="O46" s="24"/>
      <c r="Q46" s="24"/>
      <c r="R46" s="108">
        <f t="shared" ref="R46:AK46" si="11">(188496*$A$9)/15</f>
        <v>134852.55167999998</v>
      </c>
      <c r="S46" s="108">
        <f t="shared" si="11"/>
        <v>134852.55167999998</v>
      </c>
      <c r="U46" s="24"/>
      <c r="V46" s="24"/>
      <c r="W46" s="108">
        <f>(188496*$A$9)/15</f>
        <v>134852.55167999998</v>
      </c>
      <c r="X46" s="108">
        <f t="shared" ref="X46:AA46" si="12">(188496*$A$9)/15</f>
        <v>134852.55167999998</v>
      </c>
      <c r="Y46" s="108">
        <f t="shared" si="12"/>
        <v>134852.55167999998</v>
      </c>
      <c r="Z46" s="108">
        <f t="shared" si="12"/>
        <v>134852.55167999998</v>
      </c>
      <c r="AA46" s="108">
        <f t="shared" si="12"/>
        <v>134852.55167999998</v>
      </c>
      <c r="AB46" s="24"/>
      <c r="AC46" s="24"/>
      <c r="AD46" s="108">
        <f>(188496*$A$9)/15</f>
        <v>134852.55167999998</v>
      </c>
      <c r="AE46" s="108">
        <f t="shared" ref="AE46:AG46" si="13">(188496*$A$9)/15</f>
        <v>134852.55167999998</v>
      </c>
      <c r="AF46" s="108">
        <f t="shared" si="13"/>
        <v>134852.55167999998</v>
      </c>
      <c r="AG46" s="108">
        <f t="shared" si="13"/>
        <v>134852.55167999998</v>
      </c>
      <c r="AH46" s="28"/>
      <c r="AI46" s="24"/>
      <c r="AJ46" s="24"/>
      <c r="AK46" s="108">
        <f t="shared" si="11"/>
        <v>134852.55167999998</v>
      </c>
      <c r="AL46" s="24"/>
      <c r="AM46" s="108">
        <f>((188496*$A$9)/15)*2</f>
        <v>269705.10335999995</v>
      </c>
      <c r="AN46" s="108">
        <f>(188496*$A$9)/15</f>
        <v>134852.55167999998</v>
      </c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</row>
    <row r="47" spans="1:71" s="71" customFormat="1" x14ac:dyDescent="0.2">
      <c r="A47" s="69" t="s">
        <v>120</v>
      </c>
      <c r="B47" s="25" t="s">
        <v>121</v>
      </c>
      <c r="C47" s="120">
        <f>507000+1014000-47000-56000</f>
        <v>1418000</v>
      </c>
      <c r="D47" s="24"/>
      <c r="E47" s="108">
        <f>(1014000/11)/2</f>
        <v>46090.909090909088</v>
      </c>
      <c r="F47" s="171"/>
      <c r="G47" s="24"/>
      <c r="H47" s="24"/>
      <c r="I47" s="24"/>
      <c r="J47" s="108">
        <f>(1014000/11)/2</f>
        <v>46090.909090909088</v>
      </c>
      <c r="K47" s="24"/>
      <c r="L47" s="108">
        <f t="shared" ref="L47:AA47" si="14">507000/9</f>
        <v>56333.333333333336</v>
      </c>
      <c r="M47" s="28"/>
      <c r="N47" s="24"/>
      <c r="O47" s="24"/>
      <c r="P47" s="108">
        <f t="shared" ref="P47:AS47" si="15">1014000/11</f>
        <v>92181.818181818177</v>
      </c>
      <c r="Q47" s="24"/>
      <c r="S47" s="108">
        <f t="shared" si="15"/>
        <v>92181.818181818177</v>
      </c>
      <c r="U47" s="24"/>
      <c r="V47" s="24"/>
      <c r="W47" s="108">
        <f>507000/9</f>
        <v>56333.333333333336</v>
      </c>
      <c r="X47" s="24"/>
      <c r="Y47" s="108">
        <f t="shared" si="14"/>
        <v>56333.333333333336</v>
      </c>
      <c r="Z47" s="24"/>
      <c r="AA47" s="108">
        <f t="shared" si="14"/>
        <v>56333.333333333336</v>
      </c>
      <c r="AB47" s="24"/>
      <c r="AC47" s="24"/>
      <c r="AD47" s="108">
        <f t="shared" ref="AD47:AT47" si="16">507000/9</f>
        <v>56333.333333333336</v>
      </c>
      <c r="AE47" s="108">
        <f>(1014000/11)*2+9333.33</f>
        <v>193696.96636363634</v>
      </c>
      <c r="AF47" s="108">
        <f t="shared" si="16"/>
        <v>56333.333333333336</v>
      </c>
      <c r="AG47" s="108">
        <f>(1014000/11+88393.5*$A$9)/6</f>
        <v>173458.35756363635</v>
      </c>
      <c r="AH47" s="108">
        <f t="shared" ref="AH47:AL47" si="17">1014000/11</f>
        <v>92181.818181818177</v>
      </c>
      <c r="AI47" s="24"/>
      <c r="AJ47" s="100">
        <v>682560</v>
      </c>
      <c r="AK47" s="108">
        <f>(1014000/11)/2</f>
        <v>46090.909090909088</v>
      </c>
      <c r="AL47" s="108">
        <f t="shared" si="17"/>
        <v>92181.818181818177</v>
      </c>
      <c r="AM47" s="108">
        <f>(1014000/11+88393.5*$A$9)/6</f>
        <v>173458.35756363635</v>
      </c>
      <c r="AN47" s="108">
        <f t="shared" si="15"/>
        <v>92181.818181818177</v>
      </c>
      <c r="AO47" s="24"/>
      <c r="AP47" s="24"/>
      <c r="AQ47" s="24"/>
      <c r="AR47" s="108">
        <v>991000</v>
      </c>
      <c r="AS47" s="108">
        <f t="shared" si="15"/>
        <v>92181.818181818177</v>
      </c>
      <c r="AT47" s="108">
        <f t="shared" si="16"/>
        <v>56333.333333333336</v>
      </c>
      <c r="AU47" s="108">
        <f>(1014000/11+88393.5*$A$9)/6</f>
        <v>173458.35756363635</v>
      </c>
      <c r="AV47" s="108">
        <f>(1014000/11+88393.5*$A$9)/6</f>
        <v>173458.35756363635</v>
      </c>
      <c r="AW47" s="24"/>
      <c r="AX47" s="24"/>
      <c r="AY47" s="108">
        <f>(1014000/11+88393.5*$A$9)/6</f>
        <v>173458.35756363635</v>
      </c>
      <c r="AZ47" s="108">
        <f>(1014000/11+88393.5*$A$9)/6</f>
        <v>173458.35756363635</v>
      </c>
      <c r="BA47" s="108">
        <f>(1014000/11+88393.5*$A$9)/6</f>
        <v>173458.35756363635</v>
      </c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</row>
    <row r="48" spans="1:71" s="73" customFormat="1" x14ac:dyDescent="0.2">
      <c r="A48" s="69" t="s">
        <v>22</v>
      </c>
      <c r="B48" s="25" t="s">
        <v>48</v>
      </c>
      <c r="C48" s="137"/>
      <c r="D48" s="72"/>
      <c r="E48" s="72"/>
      <c r="F48" s="171"/>
      <c r="G48" s="72"/>
      <c r="H48" s="72"/>
      <c r="I48" s="24"/>
      <c r="J48" s="72"/>
      <c r="L48" s="72"/>
      <c r="M48" s="72"/>
      <c r="N48" s="72"/>
      <c r="O48" s="72"/>
      <c r="P48" s="72"/>
      <c r="Q48" s="160">
        <f t="shared" ref="Q48:AG48" si="18">(52206*$A$9+2988*$A$6)/10</f>
        <v>77704.141080000001</v>
      </c>
      <c r="R48" s="108">
        <f>(1014000/11)/2</f>
        <v>46090.909090909088</v>
      </c>
      <c r="S48" s="160">
        <f t="shared" si="18"/>
        <v>77704.141080000001</v>
      </c>
      <c r="T48" s="160">
        <f>((52206*$A$9+2988*$A$6)/10)*2</f>
        <v>155408.28216</v>
      </c>
      <c r="U48" s="72"/>
      <c r="V48" s="72"/>
      <c r="X48" s="72"/>
      <c r="Y48" s="160">
        <f>(52206*$A$9)/6</f>
        <v>93372.171199999997</v>
      </c>
      <c r="Z48" s="72"/>
      <c r="AA48" s="160">
        <f>(52206*$A$9+2988*$A$6)/10</f>
        <v>77704.141080000001</v>
      </c>
      <c r="AB48" s="72"/>
      <c r="AC48" s="72"/>
      <c r="AD48" s="72"/>
      <c r="AE48" s="160">
        <f t="shared" ref="AE48" si="19">(52206*$A$9+2988*$A$6)/10</f>
        <v>77704.141080000001</v>
      </c>
      <c r="AG48" s="160">
        <f t="shared" si="18"/>
        <v>77704.141080000001</v>
      </c>
      <c r="AH48" s="166">
        <f>62000*$A$9</f>
        <v>665334.39999999991</v>
      </c>
      <c r="AI48" s="72"/>
      <c r="AJ48" s="72"/>
      <c r="AL48" s="160">
        <f>(109170*$A$9)/5</f>
        <v>234305.0208</v>
      </c>
      <c r="AM48" s="160">
        <f t="shared" ref="AM48:AN48" si="20">(109170*$A$9)/5</f>
        <v>234305.0208</v>
      </c>
      <c r="AN48" s="160">
        <f t="shared" si="20"/>
        <v>234305.0208</v>
      </c>
      <c r="AO48" s="72"/>
      <c r="AP48" s="72"/>
      <c r="AQ48" s="72"/>
      <c r="AR48" s="160">
        <f t="shared" ref="AR48:AS48" si="21">(109170*$A$9)/5</f>
        <v>234305.0208</v>
      </c>
      <c r="AS48" s="160">
        <f t="shared" si="21"/>
        <v>234305.0208</v>
      </c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</row>
    <row r="49" spans="1:71" s="73" customFormat="1" x14ac:dyDescent="0.2">
      <c r="A49" s="69" t="s">
        <v>108</v>
      </c>
      <c r="B49" s="25" t="s">
        <v>109</v>
      </c>
      <c r="C49" s="120"/>
      <c r="D49" s="72"/>
      <c r="E49" s="72"/>
      <c r="F49" s="171"/>
      <c r="G49" s="72"/>
      <c r="H49" s="72"/>
      <c r="I49" s="138">
        <f>50531.25/2</f>
        <v>25265.625</v>
      </c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</row>
    <row r="50" spans="1:71" s="71" customFormat="1" x14ac:dyDescent="0.2">
      <c r="A50" s="69" t="s">
        <v>36</v>
      </c>
      <c r="B50" s="25" t="s">
        <v>37</v>
      </c>
      <c r="C50" s="130"/>
      <c r="D50" s="24"/>
      <c r="E50" s="24"/>
      <c r="F50" s="171"/>
      <c r="G50" s="24"/>
      <c r="H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138">
        <f>50531.25/2</f>
        <v>25265.625</v>
      </c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</row>
    <row r="51" spans="1:71" s="71" customFormat="1" x14ac:dyDescent="0.2">
      <c r="A51" s="69" t="s">
        <v>86</v>
      </c>
      <c r="B51" s="25" t="s">
        <v>35</v>
      </c>
      <c r="C51" s="70"/>
      <c r="D51" s="77"/>
      <c r="E51" s="24"/>
      <c r="F51" s="171"/>
      <c r="G51" s="24"/>
      <c r="H51" s="24"/>
      <c r="I51" s="24"/>
      <c r="J51" s="24"/>
      <c r="K51" s="24"/>
      <c r="M51" s="24"/>
      <c r="N51" s="24"/>
      <c r="O51" s="24"/>
      <c r="P51" s="100">
        <f>490*A6</f>
        <v>35554.253000000004</v>
      </c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100">
        <f>2850*A6</f>
        <v>206795.14500000002</v>
      </c>
      <c r="AG51" s="24"/>
      <c r="AH51" s="95">
        <v>100000</v>
      </c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</row>
    <row r="52" spans="1:71" s="71" customFormat="1" x14ac:dyDescent="0.2">
      <c r="A52" s="69" t="s">
        <v>29</v>
      </c>
      <c r="B52" s="25" t="s">
        <v>43</v>
      </c>
      <c r="C52" s="70">
        <f>439750-19750-25000-25000-25000-20000</f>
        <v>325000</v>
      </c>
      <c r="D52" s="24"/>
      <c r="E52" s="24"/>
      <c r="F52" s="171"/>
      <c r="G52" s="24"/>
      <c r="H52" s="24"/>
      <c r="I52" s="95">
        <v>25000</v>
      </c>
      <c r="J52" s="24"/>
      <c r="K52" s="95">
        <v>25000</v>
      </c>
      <c r="L52" s="24"/>
      <c r="N52" s="24"/>
      <c r="O52" s="24"/>
      <c r="P52" s="95">
        <v>50000</v>
      </c>
      <c r="Q52" s="95">
        <v>25000</v>
      </c>
      <c r="R52" s="24"/>
      <c r="S52" s="95">
        <v>25000</v>
      </c>
      <c r="U52" s="24"/>
      <c r="V52" s="24"/>
      <c r="W52" s="95">
        <v>30000</v>
      </c>
      <c r="X52" s="24"/>
      <c r="Y52" s="24"/>
      <c r="Z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</row>
    <row r="53" spans="1:71" s="71" customFormat="1" x14ac:dyDescent="0.2">
      <c r="A53" s="69" t="s">
        <v>141</v>
      </c>
      <c r="B53" s="25" t="s">
        <v>142</v>
      </c>
      <c r="C53" s="70"/>
      <c r="D53" s="24"/>
      <c r="E53" s="24"/>
      <c r="F53" s="173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100">
        <v>55053.72</v>
      </c>
      <c r="T53" s="28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</row>
    <row r="54" spans="1:71" s="71" customFormat="1" x14ac:dyDescent="0.2">
      <c r="A54" s="69" t="s">
        <v>146</v>
      </c>
      <c r="B54" s="25" t="s">
        <v>147</v>
      </c>
      <c r="C54" s="70"/>
      <c r="D54" s="24"/>
      <c r="E54" s="24"/>
      <c r="F54" s="173"/>
      <c r="G54" s="24"/>
      <c r="H54" s="24"/>
      <c r="I54" s="24"/>
      <c r="J54" s="24"/>
      <c r="K54" s="24"/>
      <c r="L54" s="24"/>
      <c r="M54" s="24"/>
      <c r="N54" s="24"/>
      <c r="O54" s="24"/>
      <c r="P54" s="100">
        <v>90000</v>
      </c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</row>
    <row r="55" spans="1:71" s="71" customFormat="1" x14ac:dyDescent="0.2">
      <c r="A55" s="69" t="s">
        <v>149</v>
      </c>
      <c r="B55" s="25" t="s">
        <v>148</v>
      </c>
      <c r="C55" s="70"/>
      <c r="D55" s="24"/>
      <c r="E55" s="24"/>
      <c r="F55" s="173"/>
      <c r="G55" s="24"/>
      <c r="H55" s="24"/>
      <c r="I55" s="24"/>
      <c r="J55" s="24"/>
      <c r="K55" s="24"/>
      <c r="L55" s="24"/>
      <c r="M55" s="24"/>
      <c r="N55" s="24"/>
      <c r="O55" s="24"/>
      <c r="P55" s="28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</row>
    <row r="56" spans="1:71" s="71" customFormat="1" x14ac:dyDescent="0.2">
      <c r="A56" s="69" t="s">
        <v>124</v>
      </c>
      <c r="B56" s="25" t="s">
        <v>125</v>
      </c>
      <c r="C56" s="70"/>
      <c r="D56" s="24"/>
      <c r="E56" s="24"/>
      <c r="F56" s="173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100">
        <v>203210</v>
      </c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</row>
    <row r="57" spans="1:71" s="71" customFormat="1" x14ac:dyDescent="0.2">
      <c r="A57" s="69" t="s">
        <v>40</v>
      </c>
      <c r="B57" s="25" t="s">
        <v>44</v>
      </c>
      <c r="C57" s="70"/>
      <c r="D57" s="24"/>
      <c r="E57" s="24"/>
      <c r="F57" s="173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100">
        <v>1524</v>
      </c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</row>
    <row r="58" spans="1:71" s="71" customFormat="1" x14ac:dyDescent="0.2">
      <c r="A58" s="69" t="s">
        <v>90</v>
      </c>
      <c r="B58" s="25" t="s">
        <v>91</v>
      </c>
      <c r="C58" s="70">
        <f>912000+1012000-100000-100000-75000-75000-75000-75000-75000-75000-75000-75000</f>
        <v>1124000</v>
      </c>
      <c r="D58" s="77"/>
      <c r="F58" s="169">
        <v>75000</v>
      </c>
      <c r="G58" s="24"/>
      <c r="H58" s="24"/>
      <c r="I58" s="129">
        <v>75000</v>
      </c>
      <c r="J58" s="24"/>
      <c r="L58" s="129">
        <v>75000</v>
      </c>
      <c r="N58" s="24"/>
      <c r="O58" s="24"/>
      <c r="P58" s="129">
        <v>75000</v>
      </c>
      <c r="Q58" s="24"/>
      <c r="R58" s="28"/>
      <c r="S58" s="129">
        <v>100000</v>
      </c>
      <c r="T58" s="129">
        <v>100000</v>
      </c>
      <c r="U58" s="24"/>
      <c r="V58" s="24"/>
      <c r="W58" s="129">
        <v>100000</v>
      </c>
      <c r="X58" s="24"/>
      <c r="Z58" s="129">
        <v>124000</v>
      </c>
      <c r="AA58" s="129">
        <v>100000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</row>
    <row r="59" spans="1:71" s="71" customFormat="1" x14ac:dyDescent="0.2">
      <c r="A59" s="69" t="s">
        <v>144</v>
      </c>
      <c r="B59" s="25" t="s">
        <v>145</v>
      </c>
      <c r="C59" s="70"/>
      <c r="D59" s="77"/>
      <c r="E59" s="24"/>
      <c r="F59" s="173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</row>
    <row r="60" spans="1:71" s="71" customFormat="1" x14ac:dyDescent="0.2">
      <c r="A60" s="69" t="s">
        <v>138</v>
      </c>
      <c r="B60" s="25" t="s">
        <v>136</v>
      </c>
      <c r="C60" s="70"/>
      <c r="D60" s="77"/>
      <c r="E60" s="24"/>
      <c r="F60" s="174">
        <f>(4260*$A$6)/6</f>
        <v>51517.38700000001</v>
      </c>
      <c r="G60" s="24"/>
      <c r="H60" s="24"/>
      <c r="J60" s="100">
        <f t="shared" ref="J60:T60" si="22">(4260*$A$6)/6</f>
        <v>51517.38700000001</v>
      </c>
      <c r="L60" s="100">
        <f t="shared" si="22"/>
        <v>51517.38700000001</v>
      </c>
      <c r="N60" s="24"/>
      <c r="O60" s="24"/>
      <c r="P60" s="24"/>
      <c r="Q60" s="100">
        <f t="shared" si="22"/>
        <v>51517.38700000001</v>
      </c>
      <c r="R60" s="24"/>
      <c r="S60" s="100">
        <f t="shared" si="22"/>
        <v>51517.38700000001</v>
      </c>
      <c r="T60" s="100">
        <f t="shared" si="22"/>
        <v>51517.38700000001</v>
      </c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</row>
    <row r="61" spans="1:71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</row>
    <row r="62" spans="1:71" s="71" customFormat="1" ht="12.75" customHeight="1" x14ac:dyDescent="0.2">
      <c r="A62" s="151" t="s">
        <v>139</v>
      </c>
      <c r="B62" s="152" t="s">
        <v>114</v>
      </c>
      <c r="C62" s="70">
        <f>1732500-693000-200000</f>
        <v>839500</v>
      </c>
      <c r="D62" s="77"/>
      <c r="E62" s="100">
        <v>100000</v>
      </c>
      <c r="G62" s="24"/>
      <c r="H62" s="24"/>
      <c r="I62" s="100">
        <v>100000</v>
      </c>
      <c r="J62" s="28"/>
      <c r="K62" s="100">
        <f>239000/2</f>
        <v>119500</v>
      </c>
      <c r="L62" s="24"/>
      <c r="M62" s="28"/>
      <c r="N62" s="24"/>
      <c r="O62" s="24"/>
      <c r="P62" s="100">
        <v>100000</v>
      </c>
      <c r="Q62" s="28"/>
      <c r="R62" s="100">
        <v>100000</v>
      </c>
      <c r="S62" s="100">
        <f>239000/2</f>
        <v>119500</v>
      </c>
      <c r="T62" s="100">
        <v>200000</v>
      </c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</row>
    <row r="63" spans="1:71" s="71" customFormat="1" x14ac:dyDescent="0.2">
      <c r="A63" s="69" t="s">
        <v>34</v>
      </c>
      <c r="B63" s="25" t="s">
        <v>45</v>
      </c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</row>
    <row r="64" spans="1:71" s="71" customFormat="1" x14ac:dyDescent="0.2">
      <c r="A64" s="69" t="s">
        <v>128</v>
      </c>
      <c r="B64" s="25" t="s">
        <v>129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</row>
    <row r="65" spans="1:71" s="71" customFormat="1" x14ac:dyDescent="0.2">
      <c r="A65" s="69" t="s">
        <v>101</v>
      </c>
      <c r="B65" s="25" t="s">
        <v>130</v>
      </c>
      <c r="C65" s="70">
        <f>110000-25000-25000-10000</f>
        <v>50000</v>
      </c>
      <c r="D65" s="77"/>
      <c r="E65" s="24"/>
      <c r="G65" s="24"/>
      <c r="H65" s="24"/>
      <c r="I65" s="24"/>
      <c r="J65" s="108">
        <f>25000/2</f>
        <v>12500</v>
      </c>
      <c r="K65" s="24"/>
      <c r="L65" s="24"/>
      <c r="M65" s="24"/>
      <c r="N65" s="24"/>
      <c r="O65" s="24"/>
      <c r="P65" s="24"/>
      <c r="Q65" s="24"/>
      <c r="R65" s="24"/>
      <c r="S65" s="108">
        <f>100000/4</f>
        <v>25000</v>
      </c>
      <c r="T65" s="108">
        <f>25000/2</f>
        <v>12500</v>
      </c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</row>
    <row r="66" spans="1:71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</row>
    <row r="67" spans="1:71" s="71" customFormat="1" x14ac:dyDescent="0.2">
      <c r="A67" s="69" t="s">
        <v>38</v>
      </c>
      <c r="B67" s="25" t="s">
        <v>39</v>
      </c>
      <c r="C67" s="70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</row>
    <row r="68" spans="1:71" s="71" customFormat="1" x14ac:dyDescent="0.2">
      <c r="A68" s="69" t="s">
        <v>74</v>
      </c>
      <c r="B68" s="25" t="s">
        <v>131</v>
      </c>
      <c r="C68" s="70"/>
      <c r="D68" s="24"/>
      <c r="E68" s="24"/>
      <c r="G68" s="24"/>
      <c r="H68" s="24"/>
      <c r="I68" s="100">
        <v>20000</v>
      </c>
      <c r="K68" s="24"/>
      <c r="L68" s="100">
        <v>12500</v>
      </c>
      <c r="N68" s="24"/>
      <c r="O68" s="24"/>
      <c r="P68" s="100">
        <f>80000/2</f>
        <v>40000</v>
      </c>
      <c r="Q68" s="24"/>
      <c r="R68" s="100">
        <v>15000</v>
      </c>
      <c r="S68" s="24"/>
      <c r="T68" s="100">
        <v>11667</v>
      </c>
      <c r="U68" s="24"/>
      <c r="V68" s="24"/>
      <c r="W68" s="100">
        <f>7500+16500</f>
        <v>24000</v>
      </c>
      <c r="X68" s="24"/>
      <c r="Y68" s="143">
        <v>40000</v>
      </c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</row>
    <row r="69" spans="1:71" s="71" customFormat="1" x14ac:dyDescent="0.2">
      <c r="A69" s="69" t="s">
        <v>74</v>
      </c>
      <c r="B69" s="25" t="s">
        <v>150</v>
      </c>
      <c r="C69" s="164">
        <v>3567700</v>
      </c>
      <c r="D69" s="24"/>
      <c r="E69" s="11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</row>
    <row r="70" spans="1:71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</row>
    <row r="71" spans="1:71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</row>
    <row r="72" spans="1:71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</row>
    <row r="73" spans="1:71" s="5" customFormat="1" x14ac:dyDescent="0.2">
      <c r="A73" s="36" t="s">
        <v>49</v>
      </c>
      <c r="B73" s="12"/>
      <c r="C73" s="13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>
        <f>1400000+7400*A3</f>
        <v>2026111.04</v>
      </c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</row>
    <row r="74" spans="1:71" s="5" customFormat="1" x14ac:dyDescent="0.2">
      <c r="A74" s="36" t="s">
        <v>57</v>
      </c>
      <c r="B74" s="12"/>
      <c r="C74" s="68"/>
      <c r="D74" s="26"/>
      <c r="E74" s="13"/>
      <c r="F74" s="139"/>
      <c r="G74" s="13"/>
      <c r="H74" s="13"/>
      <c r="I74" s="139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68">
        <v>1600000</v>
      </c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</row>
    <row r="75" spans="1:71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9"/>
      <c r="J75" s="13"/>
      <c r="K75" s="13"/>
      <c r="L75" s="13"/>
      <c r="M75" s="13"/>
      <c r="N75" s="13"/>
      <c r="O75" s="13"/>
      <c r="P75" s="13"/>
      <c r="Q75" s="13"/>
      <c r="R75" s="13"/>
      <c r="S75" s="13">
        <f>4600*$A$3</f>
        <v>389204.16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</row>
    <row r="76" spans="1:71" s="5" customFormat="1" x14ac:dyDescent="0.2">
      <c r="A76" s="42" t="s">
        <v>151</v>
      </c>
      <c r="B76" s="12"/>
      <c r="C76" s="68">
        <f>(10000*10)*A6</f>
        <v>7255970.0000000009</v>
      </c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26">
        <f>C76/2</f>
        <v>3627985.0000000005</v>
      </c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</row>
    <row r="77" spans="1:71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</row>
    <row r="78" spans="1:71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</row>
    <row r="79" spans="1:71" s="84" customFormat="1" x14ac:dyDescent="0.2">
      <c r="A79" s="81" t="s">
        <v>66</v>
      </c>
      <c r="B79" s="82"/>
      <c r="C79" s="63"/>
      <c r="D79" s="83"/>
      <c r="E79" s="83">
        <f>$C$5+E16-E26</f>
        <v>8279768.7909090901</v>
      </c>
      <c r="F79" s="83">
        <f t="shared" ref="F79:AA79" si="23">E79+F16-F26</f>
        <v>7371554.3323073583</v>
      </c>
      <c r="G79" s="83">
        <f t="shared" si="23"/>
        <v>7371554.3323073583</v>
      </c>
      <c r="H79" s="83">
        <f t="shared" si="23"/>
        <v>7371554.3323073583</v>
      </c>
      <c r="I79" s="83">
        <f t="shared" si="23"/>
        <v>7859628.2573073581</v>
      </c>
      <c r="J79" s="83">
        <f t="shared" si="23"/>
        <v>7675749.9612164488</v>
      </c>
      <c r="K79" s="83">
        <f t="shared" si="23"/>
        <v>7075258.4612164488</v>
      </c>
      <c r="L79" s="83">
        <f t="shared" si="23"/>
        <v>6656872.7408831157</v>
      </c>
      <c r="M79" s="83">
        <f t="shared" si="23"/>
        <v>6656872.7408831157</v>
      </c>
      <c r="N79" s="83">
        <f t="shared" si="23"/>
        <v>6656872.7408831157</v>
      </c>
      <c r="O79" s="83">
        <f t="shared" si="23"/>
        <v>6656872.7408831157</v>
      </c>
      <c r="P79" s="83">
        <f t="shared" si="23"/>
        <v>7454716.1697012978</v>
      </c>
      <c r="Q79" s="83">
        <f t="shared" si="23"/>
        <v>7145951.1416212982</v>
      </c>
      <c r="R79" s="83">
        <f t="shared" si="23"/>
        <v>6707393.1808503894</v>
      </c>
      <c r="S79" s="83">
        <f t="shared" si="23"/>
        <v>7673732.219308571</v>
      </c>
      <c r="T79" s="83">
        <f t="shared" si="23"/>
        <v>5904744.9251485709</v>
      </c>
      <c r="U79" s="83">
        <f t="shared" si="23"/>
        <v>5904744.9251485709</v>
      </c>
      <c r="V79" s="83">
        <f t="shared" si="23"/>
        <v>5904744.9251485709</v>
      </c>
      <c r="W79" s="83">
        <f t="shared" si="23"/>
        <v>5258494.0401352374</v>
      </c>
      <c r="X79" s="83">
        <f t="shared" si="23"/>
        <v>4915270.4884552378</v>
      </c>
      <c r="Y79" s="83">
        <f t="shared" si="23"/>
        <v>4407857.4322419045</v>
      </c>
      <c r="Z79" s="83">
        <f t="shared" si="23"/>
        <v>4081069.547228571</v>
      </c>
      <c r="AA79" s="83">
        <f t="shared" si="23"/>
        <v>3579324.521135238</v>
      </c>
      <c r="AB79" s="83">
        <f t="shared" ref="AB79" si="24">AA79+AB16-AB26</f>
        <v>3579324.521135238</v>
      </c>
      <c r="AC79" s="83">
        <f t="shared" ref="AC79" si="25">AB79+AC16-AC26</f>
        <v>3579324.521135238</v>
      </c>
      <c r="AD79" s="83">
        <f t="shared" ref="AD79" si="26">AC79+AD16-AD26</f>
        <v>3263300.6361219045</v>
      </c>
      <c r="AE79" s="83">
        <f t="shared" ref="AE79" si="27">AD79+AE16-AE26</f>
        <v>-422857.35633506533</v>
      </c>
      <c r="AF79" s="83">
        <f t="shared" ref="AF79" si="28">AE79+AF16-AF26</f>
        <v>-1089959.0870983987</v>
      </c>
      <c r="AG79" s="83">
        <f t="shared" ref="AG79" si="29">AF79+AG16-AG26</f>
        <v>-2273660.0374220349</v>
      </c>
      <c r="AH79" s="83">
        <f t="shared" ref="AH79" si="30">AG79+AH16-AH26</f>
        <v>-3222799.2556038527</v>
      </c>
      <c r="AI79" s="83">
        <f t="shared" ref="AI79" si="31">AH79+AI16-AI26</f>
        <v>-3222799.2556038527</v>
      </c>
      <c r="AJ79" s="83">
        <f t="shared" ref="AJ79" si="32">AI79+AJ16-AJ26</f>
        <v>-3905359.2556038527</v>
      </c>
      <c r="AK79" s="83">
        <f t="shared" ref="AK79" si="33">AJ79+AK16-AK26</f>
        <v>-4137925.7163747619</v>
      </c>
      <c r="AL79" s="83">
        <f t="shared" ref="AL79" si="34">AK79+AL16-AL26</f>
        <v>-4516035.5553565798</v>
      </c>
      <c r="AM79" s="83">
        <f t="shared" ref="AM79" si="35">AL79+AM16-AM26</f>
        <v>-5245127.0370802162</v>
      </c>
      <c r="AN79" s="83">
        <f t="shared" ref="AN79" si="36">AM79+AN16-AN26</f>
        <v>-5758089.4277420342</v>
      </c>
      <c r="AO79" s="83">
        <f t="shared" ref="AO79" si="37">AN79+AO16-AO26</f>
        <v>-5809712.4277420342</v>
      </c>
      <c r="AP79" s="83">
        <f t="shared" ref="AP79" si="38">AO79+AP16-AP26</f>
        <v>-5809712.4277420342</v>
      </c>
      <c r="AQ79" s="83">
        <f t="shared" ref="AQ79" si="39">AP79+AQ16-AQ26</f>
        <v>-5809712.4277420342</v>
      </c>
      <c r="AR79" s="83">
        <f t="shared" ref="AR79" si="40">AQ79+AR16-AR26</f>
        <v>-7822753.4485420343</v>
      </c>
      <c r="AS79" s="83">
        <f t="shared" ref="AS79" si="41">AR79+AS16-AS26</f>
        <v>-8200863.2875238527</v>
      </c>
      <c r="AT79" s="83">
        <f t="shared" ref="AT79" si="42">AS79+AT16-AT26</f>
        <v>-8308819.6208571857</v>
      </c>
      <c r="AU79" s="83">
        <f t="shared" ref="AU79" si="43">AT79+AU16-AU26</f>
        <v>-8482277.9784208219</v>
      </c>
      <c r="AV79" s="83">
        <f t="shared" ref="AV79" si="44">AU79+AV16-AV26</f>
        <v>-8839006.3359844591</v>
      </c>
      <c r="AW79" s="83">
        <f t="shared" ref="AW79" si="45">AV79+AW16-AW26</f>
        <v>-8839006.3359844591</v>
      </c>
      <c r="AX79" s="83">
        <f t="shared" ref="AX79" si="46">AW79+AX16-AX26</f>
        <v>-8839006.3359844591</v>
      </c>
      <c r="AY79" s="83">
        <f t="shared" ref="AY79" si="47">AX79+AY16-AY26</f>
        <v>-9012464.6935480963</v>
      </c>
      <c r="AZ79" s="83">
        <f t="shared" ref="AZ79" si="48">AY79+AZ16-AZ26</f>
        <v>-9185923.0511117335</v>
      </c>
      <c r="BA79" s="83">
        <f t="shared" ref="BA79" si="49">AZ79+BA16-BA26</f>
        <v>-9359381.4086753707</v>
      </c>
      <c r="BB79" s="83">
        <f t="shared" ref="BB79" si="50">BA79+BB16-BB26</f>
        <v>-9359381.4086753707</v>
      </c>
      <c r="BC79" s="83">
        <f t="shared" ref="BC79" si="51">BB79+BC16-BC26</f>
        <v>-6628396.4086753707</v>
      </c>
      <c r="BD79" s="83">
        <f t="shared" ref="BD79" si="52">BC79+BD16-BD26</f>
        <v>-6628396.4086753707</v>
      </c>
      <c r="BE79" s="83">
        <f t="shared" ref="BE79" si="53">BD79+BE16-BE26</f>
        <v>-6628396.4086753707</v>
      </c>
      <c r="BF79" s="83">
        <f t="shared" ref="BF79" si="54">BE79+BF16-BF26</f>
        <v>-6628396.4086753707</v>
      </c>
      <c r="BG79" s="83">
        <f t="shared" ref="BG79" si="55">BF79+BG16-BG26</f>
        <v>-6628396.4086753707</v>
      </c>
      <c r="BH79" s="83">
        <f t="shared" ref="BH79" si="56">BG79+BH16-BH26</f>
        <v>-6628396.4086753707</v>
      </c>
      <c r="BI79" s="83">
        <f t="shared" ref="BI79" si="57">BH79+BI16-BI26</f>
        <v>-6628396.4086753707</v>
      </c>
      <c r="BJ79" s="83">
        <f t="shared" ref="BJ79" si="58">BI79+BJ16-BJ26</f>
        <v>-6628396.4086753707</v>
      </c>
      <c r="BK79" s="83">
        <f t="shared" ref="BK79" si="59">BJ79+BK16-BK26</f>
        <v>-6628396.4086753707</v>
      </c>
      <c r="BL79" s="83">
        <f t="shared" ref="BL79" si="60">BK79+BL16-BL26</f>
        <v>-6628396.4086753707</v>
      </c>
      <c r="BM79" s="83">
        <f t="shared" ref="BM79" si="61">BL79+BM16-BM26</f>
        <v>-4362357.5486753704</v>
      </c>
      <c r="BN79" s="83">
        <f t="shared" ref="BN79" si="62">BM79+BN16-BN26</f>
        <v>-4362357.5486753704</v>
      </c>
      <c r="BO79" s="83">
        <f t="shared" ref="BO79" si="63">BN79+BO16-BO26</f>
        <v>-4362357.5486753704</v>
      </c>
      <c r="BP79" s="83">
        <f t="shared" ref="BP79" si="64">BO79+BP16-BP26</f>
        <v>-4362357.5486753704</v>
      </c>
      <c r="BQ79" s="83">
        <f t="shared" ref="BQ79" si="65">BP79+BQ16-BQ26</f>
        <v>-4362357.5486753704</v>
      </c>
      <c r="BR79" s="83">
        <f t="shared" ref="BR79" si="66">BQ79+BR16-BR26</f>
        <v>-4362357.5486753704</v>
      </c>
      <c r="BS79" s="83">
        <f t="shared" ref="BS79" si="67">BR79+BS16-BS26</f>
        <v>-4362357.5486753704</v>
      </c>
    </row>
    <row r="81" spans="1:71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</row>
    <row r="82" spans="1:71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</row>
    <row r="83" spans="1:71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</row>
    <row r="84" spans="1:71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</row>
    <row r="85" spans="1:71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</row>
    <row r="86" spans="1:71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</row>
    <row r="88" spans="1:71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T88"/>
  <sheetViews>
    <sheetView topLeftCell="A15" workbookViewId="0">
      <selection activeCell="J52" sqref="J52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1.85546875" style="3" customWidth="1"/>
    <col min="6" max="6" width="12.42578125" style="3" customWidth="1"/>
    <col min="7" max="7" width="14.85546875" style="3" customWidth="1"/>
    <col min="8" max="8" width="13" style="3" customWidth="1"/>
    <col min="9" max="9" width="12.7109375" style="3" customWidth="1"/>
    <col min="10" max="10" width="11.85546875" style="3" customWidth="1"/>
    <col min="11" max="11" width="13.140625" style="3" customWidth="1"/>
    <col min="12" max="12" width="11.7109375" style="3" customWidth="1"/>
    <col min="13" max="13" width="12.5703125" style="3" customWidth="1"/>
    <col min="14" max="14" width="15.7109375" style="3" customWidth="1"/>
    <col min="15" max="15" width="12.7109375" style="3" customWidth="1"/>
    <col min="16" max="17" width="12.85546875" style="3" customWidth="1"/>
    <col min="18" max="19" width="11.85546875" style="3" customWidth="1"/>
    <col min="20" max="20" width="13" style="3" customWidth="1"/>
    <col min="21" max="21" width="12.28515625" style="3" customWidth="1"/>
    <col min="22" max="22" width="12.140625" style="3" customWidth="1"/>
    <col min="23" max="23" width="11.140625" style="3" customWidth="1"/>
    <col min="24" max="24" width="12.7109375" style="3" customWidth="1"/>
    <col min="25" max="25" width="11.140625" style="3" customWidth="1"/>
    <col min="26" max="26" width="11.7109375" style="3" customWidth="1"/>
    <col min="27" max="27" width="11.5703125" style="3" customWidth="1"/>
    <col min="28" max="29" width="10.85546875" style="3" customWidth="1"/>
    <col min="30" max="30" width="12.85546875" style="3" customWidth="1"/>
    <col min="31" max="31" width="12" style="3" customWidth="1"/>
    <col min="32" max="32" width="11.140625" style="3" customWidth="1"/>
    <col min="33" max="33" width="12.7109375" style="3" customWidth="1"/>
    <col min="34" max="34" width="11.42578125" style="3" customWidth="1"/>
    <col min="35" max="35" width="11.7109375" style="3" customWidth="1"/>
    <col min="36" max="36" width="10.5703125" style="3" customWidth="1"/>
    <col min="37" max="37" width="12" style="3" customWidth="1"/>
    <col min="38" max="38" width="11.140625" style="3" customWidth="1"/>
    <col min="39" max="39" width="10.42578125" style="3" customWidth="1"/>
    <col min="40" max="40" width="14" style="3" customWidth="1"/>
    <col min="41" max="41" width="10.42578125" style="3" customWidth="1"/>
    <col min="42" max="42" width="12.5703125" style="3" customWidth="1"/>
    <col min="43" max="43" width="13.28515625" style="3" customWidth="1"/>
    <col min="44" max="44" width="12.140625" style="3" customWidth="1"/>
    <col min="45" max="45" width="12.42578125" style="3" customWidth="1"/>
    <col min="46" max="46" width="12.28515625" style="3" customWidth="1"/>
    <col min="47" max="47" width="12.7109375" style="3" customWidth="1"/>
    <col min="48" max="48" width="11.28515625" style="3" customWidth="1"/>
    <col min="49" max="49" width="11.85546875" style="3" customWidth="1"/>
    <col min="50" max="50" width="12.28515625" style="3" customWidth="1"/>
    <col min="51" max="51" width="11.140625" style="3" customWidth="1"/>
    <col min="52" max="52" width="10.5703125" style="3" customWidth="1"/>
    <col min="53" max="53" width="10.85546875" style="3" customWidth="1"/>
    <col min="54" max="54" width="12" style="3" customWidth="1"/>
    <col min="55" max="55" width="13.140625" style="3" customWidth="1"/>
    <col min="56" max="56" width="11.140625" style="3" customWidth="1"/>
    <col min="57" max="57" width="12.5703125" style="3" customWidth="1"/>
    <col min="58" max="58" width="12.140625" style="3" customWidth="1"/>
    <col min="59" max="59" width="12.42578125" style="3" customWidth="1"/>
    <col min="60" max="60" width="12" style="3" customWidth="1"/>
    <col min="61" max="61" width="14.85546875" style="3" customWidth="1"/>
    <col min="62" max="62" width="11.5703125" style="3" customWidth="1"/>
    <col min="63" max="63" width="13.7109375" style="3" customWidth="1"/>
    <col min="64" max="64" width="12.42578125" style="3" customWidth="1"/>
    <col min="65" max="65" width="10.85546875" style="3" customWidth="1"/>
    <col min="66" max="66" width="12.140625" style="3" customWidth="1"/>
    <col min="67" max="67" width="11.85546875" style="3" customWidth="1"/>
    <col min="68" max="68" width="12.7109375" style="3" customWidth="1"/>
    <col min="69" max="69" width="12.42578125" style="3" customWidth="1"/>
    <col min="70" max="70" width="11.140625" style="3" customWidth="1"/>
    <col min="71" max="71" width="11.5703125" style="3" customWidth="1"/>
    <col min="72" max="72" width="12.28515625" style="3" customWidth="1"/>
    <col min="73" max="16384" width="9" style="3"/>
  </cols>
  <sheetData>
    <row r="1" spans="1:72" ht="12" thickBot="1" x14ac:dyDescent="0.3"/>
    <row r="2" spans="1:72" s="1" customFormat="1" x14ac:dyDescent="0.2">
      <c r="A2" s="43" t="s">
        <v>50</v>
      </c>
      <c r="B2" s="15" t="s">
        <v>27</v>
      </c>
      <c r="C2" s="50">
        <v>4254086.55</v>
      </c>
    </row>
    <row r="3" spans="1:72" s="1" customFormat="1" ht="12" thickBot="1" x14ac:dyDescent="0.25">
      <c r="A3" s="44">
        <v>84.6096</v>
      </c>
      <c r="B3" s="15" t="s">
        <v>28</v>
      </c>
      <c r="C3" s="50">
        <v>10778.95</v>
      </c>
    </row>
    <row r="4" spans="1:72" s="8" customFormat="1" ht="12" thickBot="1" x14ac:dyDescent="0.25">
      <c r="A4" s="45"/>
      <c r="B4" s="15" t="s">
        <v>25</v>
      </c>
      <c r="C4" s="51">
        <v>0</v>
      </c>
    </row>
    <row r="5" spans="1:72" s="6" customFormat="1" x14ac:dyDescent="0.2">
      <c r="A5" s="43" t="s">
        <v>51</v>
      </c>
      <c r="B5" s="49" t="s">
        <v>26</v>
      </c>
      <c r="C5" s="52">
        <f>SUM(C2:C4)</f>
        <v>4264865.5</v>
      </c>
    </row>
    <row r="6" spans="1:72" s="6" customFormat="1" ht="12" thickBot="1" x14ac:dyDescent="0.25">
      <c r="A6" s="44">
        <v>72.559700000000007</v>
      </c>
      <c r="B6" s="16"/>
      <c r="C6" s="53"/>
      <c r="D6" s="17"/>
    </row>
    <row r="7" spans="1:72" s="6" customFormat="1" ht="12" thickBot="1" x14ac:dyDescent="0.25">
      <c r="A7" s="105" t="s">
        <v>51</v>
      </c>
      <c r="B7" s="18" t="s">
        <v>127</v>
      </c>
      <c r="C7" s="54">
        <f>SUM(16:16)</f>
        <v>27458255.086400006</v>
      </c>
    </row>
    <row r="8" spans="1:72" x14ac:dyDescent="0.25">
      <c r="A8" s="43" t="s">
        <v>52</v>
      </c>
      <c r="B8" s="18" t="s">
        <v>126</v>
      </c>
      <c r="C8" s="54">
        <f>SUM(26:26)</f>
        <v>59153135.089468971</v>
      </c>
    </row>
    <row r="9" spans="1:72" ht="12" thickBot="1" x14ac:dyDescent="0.3">
      <c r="A9" s="44">
        <v>10.731199999999999</v>
      </c>
      <c r="B9" s="19" t="s">
        <v>64</v>
      </c>
      <c r="C9" s="55">
        <f>C5+C7-C8-C11</f>
        <v>-51058675.724388964</v>
      </c>
    </row>
    <row r="10" spans="1:72" x14ac:dyDescent="0.25">
      <c r="A10" s="99" t="s">
        <v>80</v>
      </c>
      <c r="B10" s="18" t="s">
        <v>23</v>
      </c>
      <c r="C10" s="56">
        <f>C16</f>
        <v>0</v>
      </c>
    </row>
    <row r="11" spans="1:72" x14ac:dyDescent="0.25">
      <c r="A11" s="101" t="s">
        <v>87</v>
      </c>
      <c r="B11" s="18" t="s">
        <v>24</v>
      </c>
      <c r="C11" s="54">
        <f>C26</f>
        <v>23628661.22132</v>
      </c>
    </row>
    <row r="12" spans="1:72" x14ac:dyDescent="0.25">
      <c r="A12" s="107" t="s">
        <v>88</v>
      </c>
    </row>
    <row r="13" spans="1:72" x14ac:dyDescent="0.25">
      <c r="A13" s="38"/>
      <c r="B13" s="10"/>
      <c r="C13" s="57"/>
      <c r="D13" s="10"/>
    </row>
    <row r="14" spans="1:72" s="2" customFormat="1" x14ac:dyDescent="0.25">
      <c r="A14" s="64"/>
      <c r="B14" s="65"/>
      <c r="C14" s="58" t="s">
        <v>56</v>
      </c>
      <c r="D14" s="66"/>
      <c r="E14" s="66">
        <v>46176</v>
      </c>
      <c r="F14" s="66">
        <v>46177</v>
      </c>
      <c r="G14" s="66">
        <v>46178</v>
      </c>
      <c r="H14" s="66">
        <v>46179</v>
      </c>
      <c r="I14" s="66">
        <v>46180</v>
      </c>
      <c r="J14" s="66">
        <v>46181</v>
      </c>
      <c r="K14" s="66">
        <v>46182</v>
      </c>
      <c r="L14" s="66">
        <v>46183</v>
      </c>
      <c r="M14" s="66">
        <v>46184</v>
      </c>
      <c r="N14" s="66">
        <v>46185</v>
      </c>
      <c r="O14" s="66">
        <v>46186</v>
      </c>
      <c r="P14" s="66">
        <v>46187</v>
      </c>
      <c r="Q14" s="66">
        <v>46188</v>
      </c>
      <c r="R14" s="66">
        <v>46189</v>
      </c>
      <c r="S14" s="66">
        <v>46190</v>
      </c>
      <c r="T14" s="66">
        <v>46191</v>
      </c>
      <c r="U14" s="66">
        <v>46192</v>
      </c>
      <c r="V14" s="66">
        <v>46193</v>
      </c>
      <c r="W14" s="66">
        <v>46194</v>
      </c>
      <c r="X14" s="66">
        <v>46195</v>
      </c>
      <c r="Y14" s="66">
        <v>46196</v>
      </c>
      <c r="Z14" s="66">
        <v>46197</v>
      </c>
      <c r="AA14" s="66">
        <v>46198</v>
      </c>
      <c r="AB14" s="66">
        <v>46199</v>
      </c>
      <c r="AC14" s="66">
        <v>46200</v>
      </c>
      <c r="AD14" s="66">
        <v>46201</v>
      </c>
      <c r="AE14" s="66">
        <v>46202</v>
      </c>
      <c r="AF14" s="66">
        <v>46203</v>
      </c>
      <c r="AG14" s="66">
        <v>46204</v>
      </c>
      <c r="AH14" s="66">
        <v>46205</v>
      </c>
      <c r="AI14" s="66">
        <v>46206</v>
      </c>
      <c r="AJ14" s="66">
        <v>46207</v>
      </c>
      <c r="AK14" s="66">
        <v>46208</v>
      </c>
      <c r="AL14" s="66">
        <v>46209</v>
      </c>
      <c r="AM14" s="66">
        <v>46210</v>
      </c>
      <c r="AN14" s="66">
        <v>46211</v>
      </c>
      <c r="AO14" s="66">
        <v>46212</v>
      </c>
      <c r="AP14" s="66">
        <v>46213</v>
      </c>
      <c r="AQ14" s="66">
        <v>46214</v>
      </c>
      <c r="AR14" s="66">
        <v>46215</v>
      </c>
      <c r="AS14" s="66">
        <v>46216</v>
      </c>
      <c r="AT14" s="66">
        <v>46217</v>
      </c>
      <c r="AU14" s="66">
        <v>46218</v>
      </c>
      <c r="AV14" s="66">
        <v>46219</v>
      </c>
      <c r="AW14" s="66">
        <v>46220</v>
      </c>
      <c r="AX14" s="66">
        <v>46221</v>
      </c>
      <c r="AY14" s="66">
        <v>46222</v>
      </c>
      <c r="AZ14" s="66">
        <v>46223</v>
      </c>
      <c r="BA14" s="66">
        <v>46224</v>
      </c>
      <c r="BB14" s="66">
        <v>46225</v>
      </c>
      <c r="BC14" s="66">
        <v>46226</v>
      </c>
      <c r="BD14" s="66">
        <v>46227</v>
      </c>
      <c r="BE14" s="66">
        <v>46228</v>
      </c>
      <c r="BF14" s="66">
        <v>46229</v>
      </c>
      <c r="BG14" s="66">
        <v>46230</v>
      </c>
      <c r="BH14" s="66">
        <v>46231</v>
      </c>
      <c r="BI14" s="66">
        <v>46232</v>
      </c>
      <c r="BJ14" s="66">
        <v>46233</v>
      </c>
      <c r="BK14" s="66">
        <v>46234</v>
      </c>
      <c r="BL14" s="66">
        <v>46235</v>
      </c>
      <c r="BM14" s="66">
        <v>46236</v>
      </c>
      <c r="BN14" s="66">
        <v>46237</v>
      </c>
      <c r="BO14" s="66">
        <v>46238</v>
      </c>
      <c r="BP14" s="66">
        <v>46239</v>
      </c>
      <c r="BQ14" s="66">
        <v>46240</v>
      </c>
      <c r="BR14" s="66">
        <v>46241</v>
      </c>
      <c r="BS14" s="66">
        <v>46242</v>
      </c>
      <c r="BT14" s="66">
        <v>46243</v>
      </c>
    </row>
    <row r="15" spans="1:72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</row>
    <row r="16" spans="1:72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O16" si="0">SUM(E17:E25)</f>
        <v>0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29">
        <f t="shared" si="0"/>
        <v>0</v>
      </c>
      <c r="J16" s="29">
        <f t="shared" si="0"/>
        <v>3961336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135">
        <f t="shared" si="0"/>
        <v>0</v>
      </c>
      <c r="O16" s="135">
        <f t="shared" si="0"/>
        <v>0</v>
      </c>
      <c r="P16" s="135">
        <f t="shared" si="0"/>
        <v>0</v>
      </c>
      <c r="Q16" s="29">
        <f t="shared" si="0"/>
        <v>2000000</v>
      </c>
      <c r="R16" s="29">
        <f t="shared" si="0"/>
        <v>0</v>
      </c>
      <c r="S16" s="29">
        <f t="shared" si="0"/>
        <v>0</v>
      </c>
      <c r="T16" s="29">
        <f t="shared" si="0"/>
        <v>8129628.8064000001</v>
      </c>
      <c r="U16" s="29">
        <f t="shared" si="0"/>
        <v>0</v>
      </c>
      <c r="V16" s="135">
        <f t="shared" si="0"/>
        <v>0</v>
      </c>
      <c r="W16" s="135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135">
        <f t="shared" si="0"/>
        <v>0</v>
      </c>
      <c r="AE16" s="135">
        <f t="shared" si="0"/>
        <v>0</v>
      </c>
      <c r="AF16" s="29">
        <f t="shared" si="0"/>
        <v>3012101.7600000002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135">
        <f t="shared" si="0"/>
        <v>0</v>
      </c>
      <c r="AK16" s="135">
        <f t="shared" si="0"/>
        <v>0</v>
      </c>
      <c r="AL16" s="29">
        <f t="shared" si="0"/>
        <v>0</v>
      </c>
      <c r="AM16" s="29">
        <f t="shared" si="0"/>
        <v>3012101.7600000002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135">
        <f t="shared" si="0"/>
        <v>0</v>
      </c>
      <c r="AR16" s="135">
        <f t="shared" si="0"/>
        <v>0</v>
      </c>
      <c r="AS16" s="29">
        <f t="shared" si="0"/>
        <v>0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135">
        <f t="shared" si="0"/>
        <v>0</v>
      </c>
      <c r="AY16" s="135">
        <f t="shared" si="0"/>
        <v>0</v>
      </c>
      <c r="AZ16" s="29">
        <f t="shared" si="0"/>
        <v>0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4330985</v>
      </c>
      <c r="BE16" s="135">
        <f t="shared" si="0"/>
        <v>0</v>
      </c>
      <c r="BF16" s="135">
        <f t="shared" si="0"/>
        <v>0</v>
      </c>
      <c r="BG16" s="29">
        <f t="shared" si="0"/>
        <v>0</v>
      </c>
      <c r="BH16" s="29">
        <f t="shared" si="0"/>
        <v>0</v>
      </c>
      <c r="BI16" s="29">
        <f t="shared" si="0"/>
        <v>0</v>
      </c>
      <c r="BJ16" s="29">
        <f t="shared" si="0"/>
        <v>0</v>
      </c>
      <c r="BK16" s="29">
        <f t="shared" si="0"/>
        <v>0</v>
      </c>
      <c r="BL16" s="135">
        <f t="shared" si="0"/>
        <v>0</v>
      </c>
      <c r="BM16" s="135">
        <f t="shared" si="0"/>
        <v>0</v>
      </c>
      <c r="BN16" s="29">
        <f t="shared" si="0"/>
        <v>3012101.7600000002</v>
      </c>
      <c r="BO16" s="29">
        <f t="shared" si="0"/>
        <v>0</v>
      </c>
      <c r="BP16" s="29">
        <f t="shared" ref="BP16:BT16" si="1">SUM(BP17:BP25)</f>
        <v>0</v>
      </c>
      <c r="BQ16" s="29">
        <f t="shared" si="1"/>
        <v>0</v>
      </c>
      <c r="BR16" s="29">
        <f t="shared" si="1"/>
        <v>0</v>
      </c>
      <c r="BS16" s="29">
        <f t="shared" si="1"/>
        <v>0</v>
      </c>
      <c r="BT16" s="29">
        <f t="shared" si="1"/>
        <v>0</v>
      </c>
    </row>
    <row r="17" spans="1:72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</row>
    <row r="18" spans="1:72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>
        <v>1000000</v>
      </c>
      <c r="K18" s="30"/>
      <c r="L18" s="30"/>
      <c r="M18" s="30"/>
      <c r="N18" s="30"/>
      <c r="O18" s="30"/>
      <c r="P18" s="30"/>
      <c r="Q18" s="30">
        <v>2000000</v>
      </c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</row>
    <row r="19" spans="1:72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</row>
    <row r="20" spans="1:72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>
        <v>4330985</v>
      </c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</row>
    <row r="21" spans="1:72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</row>
    <row r="22" spans="1:72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</row>
    <row r="23" spans="1:72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>
        <f>96084*A3</f>
        <v>8129628.8064000001</v>
      </c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</row>
    <row r="24" spans="1:72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>
        <f>35000*A3</f>
        <v>2961336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F24" s="30">
        <f>35600*A3</f>
        <v>3012101.7600000002</v>
      </c>
      <c r="AG24" s="30"/>
      <c r="AH24" s="30"/>
      <c r="AI24" s="30"/>
      <c r="AJ24" s="30"/>
      <c r="AK24" s="30"/>
      <c r="AL24" s="30"/>
      <c r="AM24" s="30">
        <f>35600*A3</f>
        <v>3012101.7600000002</v>
      </c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165">
        <f>35600*A3</f>
        <v>3012101.7600000002</v>
      </c>
      <c r="BO24" s="30"/>
      <c r="BP24" s="30"/>
      <c r="BQ24" s="30"/>
      <c r="BR24" s="30"/>
      <c r="BS24" s="30"/>
      <c r="BT24" s="30"/>
    </row>
    <row r="25" spans="1:72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</row>
    <row r="26" spans="1:72" s="4" customFormat="1" x14ac:dyDescent="0.2">
      <c r="A26" s="41" t="s">
        <v>1</v>
      </c>
      <c r="B26" s="22"/>
      <c r="C26" s="34">
        <f>SUM(C28:C77)</f>
        <v>23628661.22132</v>
      </c>
      <c r="D26" s="34"/>
      <c r="E26" s="34">
        <f t="shared" ref="E26:BO26" si="2">SUM(E27:E78)</f>
        <v>436935.33333333337</v>
      </c>
      <c r="F26" s="34">
        <f t="shared" si="2"/>
        <v>851325.97402597393</v>
      </c>
      <c r="G26" s="34">
        <f t="shared" si="2"/>
        <v>2871706.2313290038</v>
      </c>
      <c r="H26" s="34">
        <f t="shared" si="2"/>
        <v>0</v>
      </c>
      <c r="I26" s="34">
        <f t="shared" si="2"/>
        <v>0</v>
      </c>
      <c r="J26" s="34">
        <f t="shared" si="2"/>
        <v>3023475.9970779223</v>
      </c>
      <c r="K26" s="34">
        <f t="shared" si="2"/>
        <v>183878.29609090911</v>
      </c>
      <c r="L26" s="34">
        <f t="shared" si="2"/>
        <v>600491.5</v>
      </c>
      <c r="M26" s="34">
        <f t="shared" si="2"/>
        <v>327394.22033333336</v>
      </c>
      <c r="N26" s="34">
        <f t="shared" si="2"/>
        <v>0</v>
      </c>
      <c r="O26" s="34">
        <f t="shared" si="2"/>
        <v>0</v>
      </c>
      <c r="P26" s="34">
        <f t="shared" si="2"/>
        <v>0</v>
      </c>
      <c r="Q26" s="34">
        <f t="shared" si="2"/>
        <v>1202156.5711818181</v>
      </c>
      <c r="R26" s="34">
        <f t="shared" si="2"/>
        <v>308765.02808000002</v>
      </c>
      <c r="S26" s="34">
        <f t="shared" si="2"/>
        <v>438557.96077090909</v>
      </c>
      <c r="T26" s="34">
        <f t="shared" si="2"/>
        <v>6537178.7279418185</v>
      </c>
      <c r="U26" s="34">
        <f t="shared" si="2"/>
        <v>1859978.79416</v>
      </c>
      <c r="V26" s="34">
        <f t="shared" si="2"/>
        <v>0</v>
      </c>
      <c r="W26" s="34">
        <f t="shared" si="2"/>
        <v>0</v>
      </c>
      <c r="X26" s="34">
        <f t="shared" si="2"/>
        <v>641250.88501333329</v>
      </c>
      <c r="Y26" s="34">
        <f t="shared" si="2"/>
        <v>343223.55167999998</v>
      </c>
      <c r="Z26" s="34">
        <f t="shared" si="2"/>
        <v>507413.05621333327</v>
      </c>
      <c r="AA26" s="34">
        <f t="shared" si="2"/>
        <v>326787.88501333329</v>
      </c>
      <c r="AB26" s="34">
        <f t="shared" si="2"/>
        <v>501745.02609333326</v>
      </c>
      <c r="AC26" s="34">
        <f t="shared" si="2"/>
        <v>0</v>
      </c>
      <c r="AD26" s="34">
        <f t="shared" si="2"/>
        <v>0</v>
      </c>
      <c r="AE26" s="34">
        <f t="shared" si="2"/>
        <v>316023.88501333329</v>
      </c>
      <c r="AF26" s="34">
        <f t="shared" si="2"/>
        <v>3686157.9924569698</v>
      </c>
      <c r="AG26" s="34">
        <f t="shared" si="2"/>
        <v>667101.73076333338</v>
      </c>
      <c r="AH26" s="34">
        <f t="shared" si="2"/>
        <v>1183700.9503236362</v>
      </c>
      <c r="AI26" s="34">
        <f t="shared" si="2"/>
        <v>909139.21818181803</v>
      </c>
      <c r="AJ26" s="34">
        <f t="shared" si="2"/>
        <v>0</v>
      </c>
      <c r="AK26" s="34">
        <f t="shared" si="2"/>
        <v>0</v>
      </c>
      <c r="AL26" s="34">
        <f t="shared" si="2"/>
        <v>232566.46077090906</v>
      </c>
      <c r="AM26" s="34">
        <f t="shared" si="2"/>
        <v>378109.83898181817</v>
      </c>
      <c r="AN26" s="34">
        <f t="shared" si="2"/>
        <v>729091.48172363639</v>
      </c>
      <c r="AO26" s="34">
        <f t="shared" si="2"/>
        <v>512962.39066181815</v>
      </c>
      <c r="AP26" s="34">
        <f t="shared" si="2"/>
        <v>51623</v>
      </c>
      <c r="AQ26" s="34">
        <f t="shared" si="2"/>
        <v>0</v>
      </c>
      <c r="AR26" s="34">
        <f t="shared" si="2"/>
        <v>0</v>
      </c>
      <c r="AS26" s="34">
        <f t="shared" si="2"/>
        <v>2013041.0208000001</v>
      </c>
      <c r="AT26" s="34">
        <f t="shared" si="2"/>
        <v>378109.83898181817</v>
      </c>
      <c r="AU26" s="34">
        <f t="shared" si="2"/>
        <v>107956.33333333334</v>
      </c>
      <c r="AV26" s="34">
        <f t="shared" si="2"/>
        <v>173458.35756363635</v>
      </c>
      <c r="AW26" s="34">
        <f t="shared" si="2"/>
        <v>356728.35756363638</v>
      </c>
      <c r="AX26" s="34">
        <f t="shared" si="2"/>
        <v>0</v>
      </c>
      <c r="AY26" s="34">
        <f t="shared" si="2"/>
        <v>0</v>
      </c>
      <c r="AZ26" s="34">
        <f t="shared" si="2"/>
        <v>173458.35756363635</v>
      </c>
      <c r="BA26" s="34">
        <f t="shared" si="2"/>
        <v>173458.35756363635</v>
      </c>
      <c r="BB26" s="34">
        <f t="shared" si="2"/>
        <v>173458.35756363635</v>
      </c>
      <c r="BC26" s="34">
        <f t="shared" si="2"/>
        <v>0</v>
      </c>
      <c r="BD26" s="34">
        <f t="shared" si="2"/>
        <v>1600000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si="2"/>
        <v>746062.9</v>
      </c>
      <c r="BO26" s="34">
        <f t="shared" si="2"/>
        <v>0</v>
      </c>
      <c r="BP26" s="34">
        <f t="shared" ref="BP26:BT26" si="3">SUM(BP27:BP78)</f>
        <v>0</v>
      </c>
      <c r="BQ26" s="34">
        <f t="shared" si="3"/>
        <v>0</v>
      </c>
      <c r="BR26" s="34">
        <f t="shared" si="3"/>
        <v>0</v>
      </c>
      <c r="BS26" s="34">
        <f t="shared" si="3"/>
        <v>0</v>
      </c>
      <c r="BT26" s="34">
        <f t="shared" si="3"/>
        <v>0</v>
      </c>
    </row>
    <row r="27" spans="1:72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</row>
    <row r="28" spans="1:72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</row>
    <row r="29" spans="1:72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</row>
    <row r="30" spans="1:72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>
        <f>8399365/3</f>
        <v>2799788.3333333335</v>
      </c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</row>
    <row r="31" spans="1:72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90">
        <f>291375+137118</f>
        <v>428493</v>
      </c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</row>
    <row r="32" spans="1:72" s="1" customFormat="1" x14ac:dyDescent="0.2">
      <c r="A32" s="36" t="s">
        <v>7</v>
      </c>
      <c r="B32" s="23" t="s">
        <v>8</v>
      </c>
      <c r="C32" s="60"/>
      <c r="D32" s="24"/>
      <c r="E32" s="24"/>
      <c r="F32" s="24">
        <f>488746/0.77</f>
        <v>634735.06493506487</v>
      </c>
      <c r="G32" s="24"/>
      <c r="H32" s="24"/>
      <c r="I32" s="24"/>
      <c r="J32" s="24"/>
      <c r="K32" s="24"/>
      <c r="L32" s="24">
        <v>350000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</row>
    <row r="33" spans="1:72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O33" s="24"/>
      <c r="P33" s="24"/>
      <c r="Q33" s="24">
        <v>271506</v>
      </c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>
        <v>271506</v>
      </c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</row>
    <row r="34" spans="1:72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>
        <f>100113.9/2</f>
        <v>50056.95</v>
      </c>
      <c r="K34" s="24"/>
      <c r="L34" s="24"/>
      <c r="M34" s="24">
        <v>50000</v>
      </c>
      <c r="N34" s="24"/>
      <c r="O34" s="24"/>
      <c r="P34" s="24"/>
      <c r="Q34" s="24"/>
      <c r="R34" s="24">
        <v>50000</v>
      </c>
      <c r="S34" s="24"/>
      <c r="T34" s="24">
        <f>100113.9/2</f>
        <v>50056.95</v>
      </c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</row>
    <row r="35" spans="1:72" s="1" customFormat="1" x14ac:dyDescent="0.2">
      <c r="A35" s="36" t="s">
        <v>71</v>
      </c>
      <c r="B35" s="23"/>
      <c r="C35" s="60"/>
      <c r="D35" s="24"/>
      <c r="E35" s="24"/>
      <c r="F35" s="24"/>
      <c r="G35" s="24">
        <v>40000</v>
      </c>
      <c r="H35" s="24"/>
      <c r="I35" s="24"/>
      <c r="K35" s="24"/>
      <c r="L35" s="24"/>
      <c r="M35" s="24"/>
      <c r="N35" s="24"/>
      <c r="O35" s="24"/>
      <c r="P35" s="24"/>
      <c r="Q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>
        <v>200113.9</v>
      </c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>
        <v>200113.9</v>
      </c>
      <c r="BO35" s="24"/>
      <c r="BP35" s="24"/>
      <c r="BQ35" s="24"/>
      <c r="BR35" s="24"/>
      <c r="BS35" s="24"/>
      <c r="BT35" s="24"/>
    </row>
    <row r="36" spans="1:72" s="1" customFormat="1" x14ac:dyDescent="0.2">
      <c r="A36" s="36" t="s">
        <v>53</v>
      </c>
      <c r="B36" s="23"/>
      <c r="C36" s="60"/>
      <c r="D36" s="24"/>
      <c r="E36" s="24"/>
      <c r="F36" s="24"/>
      <c r="G36" s="24">
        <f>545949/6</f>
        <v>90991.5</v>
      </c>
      <c r="H36" s="24"/>
      <c r="I36" s="24"/>
      <c r="J36" s="24">
        <f t="shared" ref="J36:U36" si="4">545949/6</f>
        <v>90991.5</v>
      </c>
      <c r="K36" s="24"/>
      <c r="L36" s="24">
        <f t="shared" si="4"/>
        <v>90991.5</v>
      </c>
      <c r="M36" s="24"/>
      <c r="O36" s="24"/>
      <c r="P36" s="24"/>
      <c r="Q36" s="24">
        <f t="shared" si="4"/>
        <v>90991.5</v>
      </c>
      <c r="R36" s="24"/>
      <c r="S36" s="24">
        <f t="shared" si="4"/>
        <v>90991.5</v>
      </c>
      <c r="T36" s="24">
        <v>140000</v>
      </c>
      <c r="U36" s="24">
        <f t="shared" si="4"/>
        <v>90991.5</v>
      </c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>
        <v>545949</v>
      </c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>
        <v>545949</v>
      </c>
      <c r="BO36" s="24"/>
      <c r="BP36" s="24"/>
      <c r="BQ36" s="24"/>
      <c r="BR36" s="24"/>
      <c r="BS36" s="24"/>
      <c r="BT36" s="24"/>
    </row>
    <row r="37" spans="1:72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</row>
    <row r="38" spans="1:72" s="71" customFormat="1" x14ac:dyDescent="0.2">
      <c r="A38" s="69" t="s">
        <v>14</v>
      </c>
      <c r="B38" s="25" t="s">
        <v>30</v>
      </c>
      <c r="C38" s="70"/>
      <c r="D38" s="24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100">
        <v>774474</v>
      </c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</row>
    <row r="39" spans="1:72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108">
        <f>156160/6+1026.67+1026.67</f>
        <v>28080.006666666668</v>
      </c>
      <c r="H39" s="24"/>
      <c r="I39" s="24"/>
      <c r="J39" s="24"/>
      <c r="K39" s="24"/>
      <c r="L39" s="24"/>
      <c r="M39" s="100">
        <f>312320/10</f>
        <v>31232</v>
      </c>
      <c r="N39" s="24"/>
      <c r="O39" s="24"/>
      <c r="P39" s="24"/>
      <c r="Q39" s="24"/>
      <c r="R39" s="100">
        <f>312320/10</f>
        <v>31232</v>
      </c>
      <c r="S39" s="24"/>
      <c r="T39" s="24"/>
      <c r="U39" s="100">
        <f>312320/10</f>
        <v>31232</v>
      </c>
      <c r="V39" s="24"/>
      <c r="W39" s="24"/>
      <c r="X39" s="108">
        <f>312320/10</f>
        <v>31232</v>
      </c>
      <c r="Y39" s="24"/>
      <c r="Z39" s="108">
        <f>312320/10</f>
        <v>31232</v>
      </c>
      <c r="AA39" s="24"/>
      <c r="AB39" s="108">
        <f>312320/10</f>
        <v>31232</v>
      </c>
      <c r="AC39" s="24"/>
      <c r="AD39" s="24"/>
      <c r="AE39" s="108">
        <v>124838</v>
      </c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</row>
    <row r="40" spans="1:72" s="71" customFormat="1" x14ac:dyDescent="0.2">
      <c r="A40" s="69" t="s">
        <v>117</v>
      </c>
      <c r="B40" s="25" t="s">
        <v>119</v>
      </c>
      <c r="C40" s="70">
        <f>691000-25000</f>
        <v>666000</v>
      </c>
      <c r="D40" s="24"/>
      <c r="E40" s="108">
        <v>25000</v>
      </c>
      <c r="F40" s="108">
        <f>91000/2</f>
        <v>45500</v>
      </c>
      <c r="G40" s="108">
        <v>25000</v>
      </c>
      <c r="H40" s="24"/>
      <c r="I40" s="24"/>
      <c r="J40" s="108">
        <f>91000/2</f>
        <v>45500</v>
      </c>
      <c r="K40" s="108">
        <v>25000</v>
      </c>
      <c r="L40" s="24"/>
      <c r="M40" s="108">
        <v>25000</v>
      </c>
      <c r="O40" s="24"/>
      <c r="P40" s="24"/>
      <c r="Q40" s="108">
        <f>25000+25000</f>
        <v>50000</v>
      </c>
      <c r="R40" s="24"/>
      <c r="S40" s="24"/>
      <c r="T40" s="108">
        <v>150000</v>
      </c>
      <c r="U40" s="108">
        <v>100000</v>
      </c>
      <c r="V40" s="24"/>
      <c r="W40" s="24"/>
      <c r="X40" s="24"/>
      <c r="Y40" s="108">
        <v>100000</v>
      </c>
      <c r="Z40" s="108">
        <v>75000</v>
      </c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</row>
    <row r="41" spans="1:72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100">
        <v>235200</v>
      </c>
      <c r="H41" s="24"/>
      <c r="I41" s="24"/>
      <c r="J41" s="24"/>
      <c r="K41" s="24"/>
      <c r="L41" s="24"/>
      <c r="N41" s="24"/>
      <c r="O41" s="24"/>
      <c r="P41" s="24"/>
      <c r="Q41" s="108">
        <f>510600/2</f>
        <v>255300</v>
      </c>
      <c r="R41" s="24"/>
      <c r="S41" s="24"/>
      <c r="T41" s="24"/>
      <c r="U41" s="129">
        <f>510600/2</f>
        <v>255300</v>
      </c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</row>
    <row r="42" spans="1:72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</f>
        <v>315000</v>
      </c>
      <c r="D42" s="24"/>
      <c r="F42" s="129">
        <v>25000</v>
      </c>
      <c r="H42" s="24"/>
      <c r="I42" s="24"/>
      <c r="J42" s="129">
        <v>25000</v>
      </c>
      <c r="L42" s="129">
        <f>30000/2</f>
        <v>15000</v>
      </c>
      <c r="M42" s="24"/>
      <c r="O42" s="24"/>
      <c r="P42" s="24"/>
      <c r="R42" s="129">
        <f>95000/2</f>
        <v>47500</v>
      </c>
      <c r="S42" s="24"/>
      <c r="T42" s="129">
        <f>95000/2</f>
        <v>47500</v>
      </c>
      <c r="V42" s="24"/>
      <c r="W42" s="24"/>
      <c r="X42" s="129">
        <f>30000/2</f>
        <v>15000</v>
      </c>
      <c r="Y42" s="129">
        <v>40000</v>
      </c>
      <c r="Z42" s="129">
        <v>25000</v>
      </c>
      <c r="AA42" s="129">
        <v>25000</v>
      </c>
      <c r="AB42" s="129">
        <v>50000</v>
      </c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</row>
    <row r="43" spans="1:72" s="71" customFormat="1" x14ac:dyDescent="0.2">
      <c r="A43" s="69" t="s">
        <v>15</v>
      </c>
      <c r="B43" s="25" t="s">
        <v>31</v>
      </c>
      <c r="C43" s="70">
        <f>2480914-516230-48700-50000-50000-50000-43000</f>
        <v>1722984</v>
      </c>
      <c r="D43" s="24"/>
      <c r="E43" s="108">
        <f t="shared" ref="E43:AA43" si="5">(515224/4)/3</f>
        <v>42935.333333333336</v>
      </c>
      <c r="F43" s="24"/>
      <c r="G43" s="140">
        <f>195080/4+5112</f>
        <v>53882</v>
      </c>
      <c r="H43" s="24"/>
      <c r="I43" s="24"/>
      <c r="J43" s="108">
        <f>(45000+65224)/2</f>
        <v>55112</v>
      </c>
      <c r="K43" s="140">
        <f t="shared" ref="K43" si="6">195080/4</f>
        <v>48770</v>
      </c>
      <c r="M43" s="108">
        <f>(516230/10)/2</f>
        <v>25811.5</v>
      </c>
      <c r="O43" s="24"/>
      <c r="P43" s="24"/>
      <c r="Q43" s="108">
        <f>516230/10</f>
        <v>51623</v>
      </c>
      <c r="R43" s="108">
        <f>(516230/10)/2</f>
        <v>25811.5</v>
      </c>
      <c r="S43" s="108">
        <f t="shared" ref="S43:AU43" si="7">516230/10</f>
        <v>51623</v>
      </c>
      <c r="T43" s="108">
        <f t="shared" si="7"/>
        <v>51623</v>
      </c>
      <c r="U43" s="108">
        <f>516230/10</f>
        <v>51623</v>
      </c>
      <c r="V43" s="24"/>
      <c r="W43" s="24"/>
      <c r="X43" s="108">
        <f>516230/10</f>
        <v>51623</v>
      </c>
      <c r="Y43" s="108">
        <f>516230/10+15224</f>
        <v>66847</v>
      </c>
      <c r="Z43" s="108">
        <f t="shared" ref="Z43" si="8">516230/10</f>
        <v>51623</v>
      </c>
      <c r="AA43" s="108">
        <f t="shared" si="5"/>
        <v>42935.333333333336</v>
      </c>
      <c r="AB43" s="108">
        <f>516230/10</f>
        <v>51623</v>
      </c>
      <c r="AC43" s="24"/>
      <c r="AD43" s="24"/>
      <c r="AF43" s="108">
        <f t="shared" ref="AF43:AI43" si="9">516230/10</f>
        <v>51623</v>
      </c>
      <c r="AG43" s="108">
        <f t="shared" si="9"/>
        <v>51623</v>
      </c>
      <c r="AH43" s="108">
        <f t="shared" si="9"/>
        <v>51623</v>
      </c>
      <c r="AI43" s="108">
        <f t="shared" si="9"/>
        <v>51623</v>
      </c>
      <c r="AJ43" s="24"/>
      <c r="AK43" s="24"/>
      <c r="AL43" s="108">
        <f t="shared" ref="AL43:AP43" si="10">516230/10</f>
        <v>51623</v>
      </c>
      <c r="AM43" s="108">
        <f t="shared" si="10"/>
        <v>51623</v>
      </c>
      <c r="AN43" s="108">
        <f t="shared" si="10"/>
        <v>51623</v>
      </c>
      <c r="AO43" s="108">
        <f t="shared" si="10"/>
        <v>51623</v>
      </c>
      <c r="AP43" s="108">
        <f t="shared" si="10"/>
        <v>51623</v>
      </c>
      <c r="AQ43" s="24"/>
      <c r="AR43" s="24"/>
      <c r="AS43" s="100">
        <v>516230</v>
      </c>
      <c r="AT43" s="108">
        <f>516230/10</f>
        <v>51623</v>
      </c>
      <c r="AU43" s="108">
        <f t="shared" si="7"/>
        <v>51623</v>
      </c>
      <c r="AV43" s="24"/>
      <c r="AW43" s="98">
        <f>515224/4+54464</f>
        <v>183270</v>
      </c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</row>
    <row r="44" spans="1:72" s="71" customFormat="1" x14ac:dyDescent="0.2">
      <c r="A44" s="69" t="s">
        <v>16</v>
      </c>
      <c r="B44" s="25" t="s">
        <v>32</v>
      </c>
      <c r="C44" s="70">
        <f>449410-99410-50000+15000-25000-25000-36000</f>
        <v>229000</v>
      </c>
      <c r="D44" s="24"/>
      <c r="E44" s="167">
        <f>449410-99410-50000+15000-25000-25000-36000</f>
        <v>229000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</row>
    <row r="45" spans="1:72" s="71" customFormat="1" x14ac:dyDescent="0.2">
      <c r="A45" s="69" t="s">
        <v>85</v>
      </c>
      <c r="B45" s="25" t="s">
        <v>47</v>
      </c>
      <c r="C45" s="70"/>
      <c r="D45" s="24"/>
      <c r="E45" s="24"/>
      <c r="F45" s="24"/>
      <c r="G45" s="28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100">
        <f>2997.5*A6</f>
        <v>217497.70075000002</v>
      </c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</row>
    <row r="46" spans="1:72" s="71" customFormat="1" x14ac:dyDescent="0.2">
      <c r="A46" s="69" t="s">
        <v>143</v>
      </c>
      <c r="B46" s="25" t="s">
        <v>45</v>
      </c>
      <c r="C46" s="24">
        <f>188496*A9</f>
        <v>2022788.2751999998</v>
      </c>
      <c r="D46" s="24"/>
      <c r="E46" s="24"/>
      <c r="F46" s="24"/>
      <c r="G46" s="28"/>
      <c r="H46" s="24"/>
      <c r="I46" s="24"/>
      <c r="J46" s="24"/>
      <c r="K46" s="24"/>
      <c r="L46" s="24"/>
      <c r="M46" s="24"/>
      <c r="N46" s="28"/>
      <c r="O46" s="24"/>
      <c r="P46" s="24"/>
      <c r="R46" s="24"/>
      <c r="S46" s="108">
        <f t="shared" ref="S46:AL46" si="11">(188496*$A$9)/15</f>
        <v>134852.55167999998</v>
      </c>
      <c r="T46" s="108">
        <f t="shared" si="11"/>
        <v>134852.55167999998</v>
      </c>
      <c r="V46" s="24"/>
      <c r="W46" s="24"/>
      <c r="X46" s="108">
        <f>(188496*$A$9)/15</f>
        <v>134852.55167999998</v>
      </c>
      <c r="Y46" s="108">
        <f t="shared" ref="Y46:AB46" si="12">(188496*$A$9)/15</f>
        <v>134852.55167999998</v>
      </c>
      <c r="Z46" s="108">
        <f t="shared" si="12"/>
        <v>134852.55167999998</v>
      </c>
      <c r="AA46" s="108">
        <f t="shared" si="12"/>
        <v>134852.55167999998</v>
      </c>
      <c r="AB46" s="108">
        <f t="shared" si="12"/>
        <v>134852.55167999998</v>
      </c>
      <c r="AC46" s="24"/>
      <c r="AD46" s="24"/>
      <c r="AE46" s="108">
        <f>(188496*$A$9)/15</f>
        <v>134852.55167999998</v>
      </c>
      <c r="AF46" s="108">
        <f t="shared" ref="AF46:AH46" si="13">(188496*$A$9)/15</f>
        <v>134852.55167999998</v>
      </c>
      <c r="AG46" s="108">
        <f t="shared" si="13"/>
        <v>134852.55167999998</v>
      </c>
      <c r="AH46" s="108">
        <f t="shared" si="13"/>
        <v>134852.55167999998</v>
      </c>
      <c r="AI46" s="28"/>
      <c r="AJ46" s="24"/>
      <c r="AK46" s="24"/>
      <c r="AL46" s="108">
        <f t="shared" si="11"/>
        <v>134852.55167999998</v>
      </c>
      <c r="AM46" s="24"/>
      <c r="AN46" s="108">
        <f>((188496*$A$9)/15)*2</f>
        <v>269705.10335999995</v>
      </c>
      <c r="AO46" s="108">
        <f>(188496*$A$9)/15</f>
        <v>134852.55167999998</v>
      </c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</row>
    <row r="47" spans="1:72" s="71" customFormat="1" x14ac:dyDescent="0.2">
      <c r="A47" s="69" t="s">
        <v>120</v>
      </c>
      <c r="B47" s="25" t="s">
        <v>121</v>
      </c>
      <c r="C47" s="120">
        <f>507000+1014000-47000-56000</f>
        <v>1418000</v>
      </c>
      <c r="D47" s="24"/>
      <c r="F47" s="108">
        <f>(1014000/11)/2</f>
        <v>46090.909090909088</v>
      </c>
      <c r="G47" s="28"/>
      <c r="H47" s="24"/>
      <c r="I47" s="24"/>
      <c r="J47" s="24"/>
      <c r="K47" s="108">
        <f>(1014000/11)/2</f>
        <v>46090.909090909088</v>
      </c>
      <c r="L47" s="24"/>
      <c r="M47" s="108">
        <f t="shared" ref="M47:AB47" si="14">507000/9</f>
        <v>56333.333333333336</v>
      </c>
      <c r="N47" s="28"/>
      <c r="O47" s="24"/>
      <c r="P47" s="24"/>
      <c r="Q47" s="108">
        <f t="shared" ref="Q47:AT47" si="15">1014000/11</f>
        <v>92181.818181818177</v>
      </c>
      <c r="R47" s="24"/>
      <c r="T47" s="108">
        <f t="shared" si="15"/>
        <v>92181.818181818177</v>
      </c>
      <c r="V47" s="24"/>
      <c r="W47" s="24"/>
      <c r="X47" s="108">
        <f>507000/9</f>
        <v>56333.333333333336</v>
      </c>
      <c r="Y47" s="24"/>
      <c r="Z47" s="108">
        <f t="shared" si="14"/>
        <v>56333.333333333336</v>
      </c>
      <c r="AA47" s="24"/>
      <c r="AB47" s="108">
        <f t="shared" si="14"/>
        <v>56333.333333333336</v>
      </c>
      <c r="AC47" s="24"/>
      <c r="AD47" s="24"/>
      <c r="AE47" s="108">
        <f t="shared" ref="AE47:AU47" si="16">507000/9</f>
        <v>56333.333333333336</v>
      </c>
      <c r="AF47" s="108">
        <f>(1014000/11)*2+9333.33</f>
        <v>193696.96636363634</v>
      </c>
      <c r="AG47" s="108">
        <f t="shared" si="16"/>
        <v>56333.333333333336</v>
      </c>
      <c r="AH47" s="108">
        <f>(1014000/11+88393.5*$A$9)/6</f>
        <v>173458.35756363635</v>
      </c>
      <c r="AI47" s="108">
        <f t="shared" ref="AI47:AM47" si="17">1014000/11</f>
        <v>92181.818181818177</v>
      </c>
      <c r="AJ47" s="24"/>
      <c r="AK47" s="24"/>
      <c r="AL47" s="108">
        <f>(1014000/11)/2</f>
        <v>46090.909090909088</v>
      </c>
      <c r="AM47" s="108">
        <f t="shared" si="17"/>
        <v>92181.818181818177</v>
      </c>
      <c r="AN47" s="108">
        <f>(1014000/11+88393.5*$A$9)/6</f>
        <v>173458.35756363635</v>
      </c>
      <c r="AO47" s="108">
        <f t="shared" si="15"/>
        <v>92181.818181818177</v>
      </c>
      <c r="AP47" s="24"/>
      <c r="AQ47" s="24"/>
      <c r="AR47" s="24"/>
      <c r="AS47" s="108">
        <v>991000</v>
      </c>
      <c r="AT47" s="108">
        <f t="shared" si="15"/>
        <v>92181.818181818177</v>
      </c>
      <c r="AU47" s="108">
        <f t="shared" si="16"/>
        <v>56333.333333333336</v>
      </c>
      <c r="AV47" s="108">
        <f>(1014000/11+88393.5*$A$9)/6</f>
        <v>173458.35756363635</v>
      </c>
      <c r="AW47" s="108">
        <f>(1014000/11+88393.5*$A$9)/6</f>
        <v>173458.35756363635</v>
      </c>
      <c r="AX47" s="24"/>
      <c r="AY47" s="24"/>
      <c r="AZ47" s="108">
        <f>(1014000/11+88393.5*$A$9)/6</f>
        <v>173458.35756363635</v>
      </c>
      <c r="BA47" s="108">
        <f>(1014000/11+88393.5*$A$9)/6</f>
        <v>173458.35756363635</v>
      </c>
      <c r="BB47" s="108">
        <f>(1014000/11+88393.5*$A$9)/6</f>
        <v>173458.35756363635</v>
      </c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</row>
    <row r="48" spans="1:72" s="73" customFormat="1" x14ac:dyDescent="0.2">
      <c r="A48" s="69" t="s">
        <v>22</v>
      </c>
      <c r="B48" s="25" t="s">
        <v>48</v>
      </c>
      <c r="C48" s="137"/>
      <c r="D48" s="72"/>
      <c r="E48" s="72"/>
      <c r="F48" s="72"/>
      <c r="G48" s="28"/>
      <c r="H48" s="72"/>
      <c r="I48" s="72"/>
      <c r="J48" s="24"/>
      <c r="K48" s="72"/>
      <c r="M48" s="72"/>
      <c r="N48" s="72"/>
      <c r="O48" s="72"/>
      <c r="P48" s="72"/>
      <c r="Q48" s="72"/>
      <c r="R48" s="160">
        <f t="shared" ref="R48:AH48" si="18">(52206*$A$9+2988*$A$6)/10</f>
        <v>77704.141080000001</v>
      </c>
      <c r="S48" s="108">
        <f>(1014000/11)/2</f>
        <v>46090.909090909088</v>
      </c>
      <c r="T48" s="160">
        <f t="shared" si="18"/>
        <v>77704.141080000001</v>
      </c>
      <c r="U48" s="160">
        <f>((52206*$A$9+2988*$A$6)/10)*2</f>
        <v>155408.28216</v>
      </c>
      <c r="V48" s="72"/>
      <c r="W48" s="72"/>
      <c r="Y48" s="72"/>
      <c r="Z48" s="160">
        <f>(52206*$A$9)/6</f>
        <v>93372.171199999997</v>
      </c>
      <c r="AA48" s="72"/>
      <c r="AB48" s="160">
        <f>(52206*$A$9+2988*$A$6)/10</f>
        <v>77704.141080000001</v>
      </c>
      <c r="AC48" s="72"/>
      <c r="AD48" s="72"/>
      <c r="AE48" s="72"/>
      <c r="AF48" s="160">
        <f t="shared" ref="AF48" si="19">(52206*$A$9+2988*$A$6)/10</f>
        <v>77704.141080000001</v>
      </c>
      <c r="AH48" s="160">
        <f t="shared" si="18"/>
        <v>77704.141080000001</v>
      </c>
      <c r="AI48" s="166">
        <f>62000*$A$9</f>
        <v>665334.39999999991</v>
      </c>
      <c r="AJ48" s="72"/>
      <c r="AK48" s="72"/>
      <c r="AM48" s="160">
        <f>(109170*$A$9)/5</f>
        <v>234305.0208</v>
      </c>
      <c r="AN48" s="160">
        <f t="shared" ref="AN48:AO48" si="20">(109170*$A$9)/5</f>
        <v>234305.0208</v>
      </c>
      <c r="AO48" s="160">
        <f t="shared" si="20"/>
        <v>234305.0208</v>
      </c>
      <c r="AP48" s="72"/>
      <c r="AQ48" s="72"/>
      <c r="AR48" s="72"/>
      <c r="AS48" s="160">
        <f t="shared" ref="AS48:AT48" si="21">(109170*$A$9)/5</f>
        <v>234305.0208</v>
      </c>
      <c r="AT48" s="160">
        <f t="shared" si="21"/>
        <v>234305.0208</v>
      </c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</row>
    <row r="49" spans="1:72" s="73" customFormat="1" x14ac:dyDescent="0.2">
      <c r="A49" s="69" t="s">
        <v>108</v>
      </c>
      <c r="B49" s="25" t="s">
        <v>109</v>
      </c>
      <c r="C49" s="120"/>
      <c r="D49" s="72"/>
      <c r="E49" s="72"/>
      <c r="F49" s="72"/>
      <c r="G49" s="28"/>
      <c r="H49" s="72"/>
      <c r="I49" s="72"/>
      <c r="J49" s="138">
        <f>50531.25/2</f>
        <v>25265.625</v>
      </c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</row>
    <row r="50" spans="1:72" s="71" customFormat="1" x14ac:dyDescent="0.2">
      <c r="A50" s="69" t="s">
        <v>36</v>
      </c>
      <c r="B50" s="25" t="s">
        <v>37</v>
      </c>
      <c r="C50" s="130"/>
      <c r="D50" s="24"/>
      <c r="E50" s="24"/>
      <c r="F50" s="24"/>
      <c r="G50" s="28"/>
      <c r="H50" s="24"/>
      <c r="I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138">
        <f>50531.25/2</f>
        <v>25265.625</v>
      </c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</row>
    <row r="51" spans="1:72" s="71" customFormat="1" x14ac:dyDescent="0.2">
      <c r="A51" s="69" t="s">
        <v>86</v>
      </c>
      <c r="B51" s="25" t="s">
        <v>35</v>
      </c>
      <c r="C51" s="70"/>
      <c r="D51" s="77"/>
      <c r="E51" s="24"/>
      <c r="F51" s="24"/>
      <c r="G51" s="28"/>
      <c r="H51" s="24"/>
      <c r="I51" s="24"/>
      <c r="J51" s="24"/>
      <c r="K51" s="24"/>
      <c r="L51" s="24"/>
      <c r="N51" s="24"/>
      <c r="O51" s="24"/>
      <c r="P51" s="24"/>
      <c r="Q51" s="100">
        <f>490*A6</f>
        <v>35554.253000000004</v>
      </c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100">
        <f>2850*A6</f>
        <v>206795.14500000002</v>
      </c>
      <c r="AH51" s="24"/>
      <c r="AI51" s="95">
        <v>100000</v>
      </c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</row>
    <row r="52" spans="1:72" s="71" customFormat="1" x14ac:dyDescent="0.2">
      <c r="A52" s="69" t="s">
        <v>29</v>
      </c>
      <c r="B52" s="25" t="s">
        <v>43</v>
      </c>
      <c r="C52" s="70">
        <f>439750-19750-25000-25000-25000</f>
        <v>345000</v>
      </c>
      <c r="D52" s="24"/>
      <c r="E52" s="95">
        <v>25000</v>
      </c>
      <c r="F52" s="24"/>
      <c r="G52" s="28"/>
      <c r="H52" s="24"/>
      <c r="I52" s="24"/>
      <c r="J52" s="95">
        <v>25000</v>
      </c>
      <c r="K52" s="24"/>
      <c r="L52" s="95">
        <v>25000</v>
      </c>
      <c r="M52" s="24"/>
      <c r="O52" s="24"/>
      <c r="P52" s="24"/>
      <c r="Q52" s="95">
        <v>50000</v>
      </c>
      <c r="R52" s="95">
        <v>25000</v>
      </c>
      <c r="S52" s="24"/>
      <c r="T52" s="95">
        <v>25000</v>
      </c>
      <c r="V52" s="24"/>
      <c r="W52" s="24"/>
      <c r="X52" s="95">
        <v>25000</v>
      </c>
      <c r="Y52" s="24"/>
      <c r="Z52" s="24"/>
      <c r="AA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</row>
    <row r="53" spans="1:72" s="71" customFormat="1" x14ac:dyDescent="0.2">
      <c r="A53" s="69" t="s">
        <v>141</v>
      </c>
      <c r="B53" s="25" t="s">
        <v>142</v>
      </c>
      <c r="C53" s="7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100">
        <v>55053.72</v>
      </c>
      <c r="U53" s="28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</row>
    <row r="54" spans="1:72" s="71" customFormat="1" x14ac:dyDescent="0.2">
      <c r="A54" s="69" t="s">
        <v>146</v>
      </c>
      <c r="B54" s="25" t="s">
        <v>147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100">
        <v>90000</v>
      </c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</row>
    <row r="55" spans="1:72" s="71" customFormat="1" x14ac:dyDescent="0.2">
      <c r="A55" s="69" t="s">
        <v>149</v>
      </c>
      <c r="B55" s="25" t="s">
        <v>148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8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</row>
    <row r="56" spans="1:72" s="71" customFormat="1" x14ac:dyDescent="0.2">
      <c r="A56" s="69" t="s">
        <v>124</v>
      </c>
      <c r="B56" s="25" t="s">
        <v>125</v>
      </c>
      <c r="C56" s="7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100">
        <v>203210</v>
      </c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</row>
    <row r="57" spans="1:72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100">
        <v>1524</v>
      </c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</row>
    <row r="58" spans="1:72" s="71" customFormat="1" x14ac:dyDescent="0.2">
      <c r="A58" s="69" t="s">
        <v>90</v>
      </c>
      <c r="B58" s="25" t="s">
        <v>91</v>
      </c>
      <c r="C58" s="70">
        <f>912000+1012000-100000-100000-75000-75000-75000-75000-75000-75000-75000</f>
        <v>1199000</v>
      </c>
      <c r="D58" s="77"/>
      <c r="E58" s="129">
        <v>75000</v>
      </c>
      <c r="G58" s="129">
        <v>75000</v>
      </c>
      <c r="H58" s="24"/>
      <c r="I58" s="24"/>
      <c r="J58" s="129">
        <v>75000</v>
      </c>
      <c r="K58" s="24"/>
      <c r="M58" s="129">
        <v>75000</v>
      </c>
      <c r="O58" s="24"/>
      <c r="P58" s="24"/>
      <c r="Q58" s="129">
        <v>75000</v>
      </c>
      <c r="R58" s="24"/>
      <c r="S58" s="28"/>
      <c r="T58" s="129">
        <v>100000</v>
      </c>
      <c r="U58" s="129">
        <v>100000</v>
      </c>
      <c r="V58" s="24"/>
      <c r="W58" s="24"/>
      <c r="X58" s="129">
        <v>100000</v>
      </c>
      <c r="Y58" s="24"/>
      <c r="AA58" s="129">
        <v>124000</v>
      </c>
      <c r="AB58" s="129">
        <v>100000</v>
      </c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</row>
    <row r="59" spans="1:72" s="71" customFormat="1" x14ac:dyDescent="0.2">
      <c r="A59" s="69" t="s">
        <v>144</v>
      </c>
      <c r="B59" s="25" t="s">
        <v>145</v>
      </c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</row>
    <row r="60" spans="1:72" s="71" customFormat="1" x14ac:dyDescent="0.2">
      <c r="A60" s="69" t="s">
        <v>138</v>
      </c>
      <c r="B60" s="25" t="s">
        <v>136</v>
      </c>
      <c r="C60" s="70"/>
      <c r="D60" s="77"/>
      <c r="E60" s="24"/>
      <c r="F60" s="24"/>
      <c r="G60" s="100">
        <f>(4260*$A$6)/6</f>
        <v>51517.38700000001</v>
      </c>
      <c r="H60" s="24"/>
      <c r="I60" s="24"/>
      <c r="K60" s="100">
        <f t="shared" ref="K60:U60" si="22">(4260*$A$6)/6</f>
        <v>51517.38700000001</v>
      </c>
      <c r="M60" s="100">
        <f t="shared" si="22"/>
        <v>51517.38700000001</v>
      </c>
      <c r="O60" s="24"/>
      <c r="P60" s="24"/>
      <c r="Q60" s="24"/>
      <c r="R60" s="100">
        <f t="shared" si="22"/>
        <v>51517.38700000001</v>
      </c>
      <c r="S60" s="24"/>
      <c r="T60" s="100">
        <f t="shared" si="22"/>
        <v>51517.38700000001</v>
      </c>
      <c r="U60" s="100">
        <f t="shared" si="22"/>
        <v>51517.38700000001</v>
      </c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</row>
    <row r="61" spans="1:72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</row>
    <row r="62" spans="1:72" s="71" customFormat="1" ht="12.75" customHeight="1" x14ac:dyDescent="0.2">
      <c r="A62" s="151" t="s">
        <v>139</v>
      </c>
      <c r="B62" s="152" t="s">
        <v>114</v>
      </c>
      <c r="C62" s="70">
        <f>1732500-693000-200000</f>
        <v>839500</v>
      </c>
      <c r="D62" s="77"/>
      <c r="F62" s="100">
        <v>100000</v>
      </c>
      <c r="H62" s="24"/>
      <c r="I62" s="24"/>
      <c r="J62" s="100">
        <v>100000</v>
      </c>
      <c r="K62" s="28"/>
      <c r="L62" s="100">
        <f>239000/2</f>
        <v>119500</v>
      </c>
      <c r="M62" s="24"/>
      <c r="N62" s="28"/>
      <c r="O62" s="24"/>
      <c r="P62" s="24"/>
      <c r="Q62" s="100">
        <v>100000</v>
      </c>
      <c r="R62" s="28"/>
      <c r="S62" s="100">
        <v>100000</v>
      </c>
      <c r="T62" s="100">
        <f>239000/2</f>
        <v>119500</v>
      </c>
      <c r="U62" s="100">
        <v>200000</v>
      </c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</row>
    <row r="63" spans="1:72" s="71" customFormat="1" x14ac:dyDescent="0.2">
      <c r="A63" s="69" t="s">
        <v>34</v>
      </c>
      <c r="B63" s="25" t="s">
        <v>45</v>
      </c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</row>
    <row r="64" spans="1:72" s="71" customFormat="1" x14ac:dyDescent="0.2">
      <c r="A64" s="69" t="s">
        <v>128</v>
      </c>
      <c r="B64" s="25" t="s">
        <v>129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</row>
    <row r="65" spans="1:72" s="71" customFormat="1" x14ac:dyDescent="0.2">
      <c r="A65" s="69" t="s">
        <v>101</v>
      </c>
      <c r="B65" s="25" t="s">
        <v>130</v>
      </c>
      <c r="C65" s="70">
        <f>110000-25000-25000-10000</f>
        <v>50000</v>
      </c>
      <c r="D65" s="77"/>
      <c r="F65" s="24"/>
      <c r="H65" s="24"/>
      <c r="I65" s="24"/>
      <c r="J65" s="24"/>
      <c r="K65" s="108">
        <f>25000/2</f>
        <v>12500</v>
      </c>
      <c r="L65" s="24"/>
      <c r="M65" s="24"/>
      <c r="N65" s="24"/>
      <c r="O65" s="24"/>
      <c r="P65" s="24"/>
      <c r="Q65" s="24"/>
      <c r="R65" s="24"/>
      <c r="S65" s="24"/>
      <c r="T65" s="108">
        <f>100000/4</f>
        <v>25000</v>
      </c>
      <c r="U65" s="108">
        <f>25000/2</f>
        <v>12500</v>
      </c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</row>
    <row r="66" spans="1:72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</row>
    <row r="67" spans="1:72" s="71" customFormat="1" x14ac:dyDescent="0.2">
      <c r="A67" s="69" t="s">
        <v>38</v>
      </c>
      <c r="B67" s="25" t="s">
        <v>39</v>
      </c>
      <c r="C67" s="70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</row>
    <row r="68" spans="1:72" s="71" customFormat="1" x14ac:dyDescent="0.2">
      <c r="A68" s="69" t="s">
        <v>74</v>
      </c>
      <c r="B68" s="25" t="s">
        <v>131</v>
      </c>
      <c r="C68" s="70"/>
      <c r="D68" s="24"/>
      <c r="E68" s="100">
        <f>80000/2</f>
        <v>40000</v>
      </c>
      <c r="F68" s="24"/>
      <c r="H68" s="24"/>
      <c r="I68" s="24"/>
      <c r="J68" s="100">
        <v>20000</v>
      </c>
      <c r="L68" s="24"/>
      <c r="M68" s="100">
        <v>12500</v>
      </c>
      <c r="O68" s="24"/>
      <c r="P68" s="24"/>
      <c r="Q68" s="100">
        <f>80000/2</f>
        <v>40000</v>
      </c>
      <c r="R68" s="24"/>
      <c r="S68" s="100">
        <v>15000</v>
      </c>
      <c r="T68" s="24"/>
      <c r="U68" s="100">
        <v>11667</v>
      </c>
      <c r="V68" s="24"/>
      <c r="W68" s="24"/>
      <c r="X68" s="100">
        <f>7500+16500</f>
        <v>24000</v>
      </c>
      <c r="Y68" s="24"/>
      <c r="Z68" s="143">
        <v>40000</v>
      </c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</row>
    <row r="69" spans="1:72" s="71" customFormat="1" x14ac:dyDescent="0.2">
      <c r="A69" s="69" t="s">
        <v>74</v>
      </c>
      <c r="B69" s="25" t="s">
        <v>150</v>
      </c>
      <c r="C69" s="164">
        <v>3567700</v>
      </c>
      <c r="D69" s="24"/>
      <c r="E69" s="114"/>
      <c r="F69" s="11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</row>
    <row r="70" spans="1:72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</row>
    <row r="71" spans="1:72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</row>
    <row r="72" spans="1:72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</row>
    <row r="73" spans="1:72" s="5" customFormat="1" x14ac:dyDescent="0.2">
      <c r="A73" s="36" t="s">
        <v>49</v>
      </c>
      <c r="B73" s="12"/>
      <c r="C73" s="13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>
        <v>1400000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</row>
    <row r="74" spans="1:72" s="5" customFormat="1" x14ac:dyDescent="0.2">
      <c r="A74" s="36" t="s">
        <v>57</v>
      </c>
      <c r="B74" s="12"/>
      <c r="C74" s="68"/>
      <c r="D74" s="26"/>
      <c r="E74" s="13"/>
      <c r="F74" s="13"/>
      <c r="G74" s="139">
        <f>1749467.21/0.77</f>
        <v>2272035.3376623373</v>
      </c>
      <c r="H74" s="13"/>
      <c r="I74" s="13"/>
      <c r="J74" s="139">
        <f>1933893.44/0.77</f>
        <v>2511549.9220779222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68">
        <v>1600000</v>
      </c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</row>
    <row r="75" spans="1:72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9"/>
      <c r="K75" s="13"/>
      <c r="L75" s="13"/>
      <c r="M75" s="13"/>
      <c r="N75" s="13"/>
      <c r="O75" s="13"/>
      <c r="P75" s="13"/>
      <c r="Q75" s="13"/>
      <c r="R75" s="13"/>
      <c r="S75" s="13"/>
      <c r="T75" s="13">
        <f>4600*$A$3</f>
        <v>389204.16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</row>
    <row r="76" spans="1:72" s="5" customFormat="1" x14ac:dyDescent="0.2">
      <c r="A76" s="42" t="s">
        <v>151</v>
      </c>
      <c r="B76" s="12"/>
      <c r="C76" s="68">
        <f>(10000*10)*A6</f>
        <v>7255970.0000000009</v>
      </c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26">
        <f>C76/2</f>
        <v>3627985.0000000005</v>
      </c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</row>
    <row r="77" spans="1:72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</row>
    <row r="78" spans="1:72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</row>
    <row r="79" spans="1:72" s="84" customFormat="1" x14ac:dyDescent="0.2">
      <c r="A79" s="81" t="s">
        <v>66</v>
      </c>
      <c r="B79" s="82"/>
      <c r="C79" s="63"/>
      <c r="D79" s="83"/>
      <c r="E79" s="83">
        <f>$C$5+E16-E26</f>
        <v>3827930.1666666665</v>
      </c>
      <c r="F79" s="83">
        <f t="shared" ref="F79:BP79" si="23">E79+F16-F26</f>
        <v>2976604.1926406925</v>
      </c>
      <c r="G79" s="83">
        <f t="shared" si="23"/>
        <v>104897.96131168865</v>
      </c>
      <c r="H79" s="83">
        <f t="shared" si="23"/>
        <v>104897.96131168865</v>
      </c>
      <c r="I79" s="83">
        <f t="shared" si="23"/>
        <v>104897.96131168865</v>
      </c>
      <c r="J79" s="83">
        <f t="shared" si="23"/>
        <v>1042757.9642337663</v>
      </c>
      <c r="K79" s="83">
        <f t="shared" si="23"/>
        <v>858879.66814285726</v>
      </c>
      <c r="L79" s="83">
        <f t="shared" si="23"/>
        <v>258388.16814285726</v>
      </c>
      <c r="M79" s="83">
        <f t="shared" si="23"/>
        <v>-69006.052190476097</v>
      </c>
      <c r="N79" s="83">
        <f t="shared" si="23"/>
        <v>-69006.052190476097</v>
      </c>
      <c r="O79" s="83">
        <f t="shared" si="23"/>
        <v>-69006.052190476097</v>
      </c>
      <c r="P79" s="83">
        <f t="shared" si="23"/>
        <v>-69006.052190476097</v>
      </c>
      <c r="Q79" s="83">
        <f t="shared" si="23"/>
        <v>728837.37662770576</v>
      </c>
      <c r="R79" s="83">
        <f t="shared" si="23"/>
        <v>420072.34854770574</v>
      </c>
      <c r="S79" s="83">
        <f t="shared" si="23"/>
        <v>-18485.612223203352</v>
      </c>
      <c r="T79" s="83">
        <f t="shared" si="23"/>
        <v>1573964.4662349783</v>
      </c>
      <c r="U79" s="83">
        <f t="shared" si="23"/>
        <v>-286014.32792502176</v>
      </c>
      <c r="V79" s="83">
        <f t="shared" si="23"/>
        <v>-286014.32792502176</v>
      </c>
      <c r="W79" s="83">
        <f t="shared" si="23"/>
        <v>-286014.32792502176</v>
      </c>
      <c r="X79" s="83">
        <f t="shared" si="23"/>
        <v>-927265.21293835505</v>
      </c>
      <c r="Y79" s="83">
        <f t="shared" si="23"/>
        <v>-1270488.7646183551</v>
      </c>
      <c r="Z79" s="83">
        <f t="shared" si="23"/>
        <v>-1777901.8208316884</v>
      </c>
      <c r="AA79" s="83">
        <f t="shared" si="23"/>
        <v>-2104689.7058450216</v>
      </c>
      <c r="AB79" s="83">
        <f t="shared" si="23"/>
        <v>-2606434.7319383547</v>
      </c>
      <c r="AC79" s="83">
        <f t="shared" si="23"/>
        <v>-2606434.7319383547</v>
      </c>
      <c r="AD79" s="83">
        <f t="shared" si="23"/>
        <v>-2606434.7319383547</v>
      </c>
      <c r="AE79" s="83">
        <f t="shared" si="23"/>
        <v>-2922458.6169516882</v>
      </c>
      <c r="AF79" s="83">
        <f t="shared" si="23"/>
        <v>-3596514.8494086578</v>
      </c>
      <c r="AG79" s="83">
        <f t="shared" si="23"/>
        <v>-4263616.5801719911</v>
      </c>
      <c r="AH79" s="83">
        <f t="shared" si="23"/>
        <v>-5447317.5304956269</v>
      </c>
      <c r="AI79" s="83">
        <f t="shared" si="23"/>
        <v>-6356456.7486774446</v>
      </c>
      <c r="AJ79" s="83">
        <f t="shared" si="23"/>
        <v>-6356456.7486774446</v>
      </c>
      <c r="AK79" s="83">
        <f t="shared" si="23"/>
        <v>-6356456.7486774446</v>
      </c>
      <c r="AL79" s="83">
        <f t="shared" si="23"/>
        <v>-6589023.2094483534</v>
      </c>
      <c r="AM79" s="83">
        <f t="shared" si="23"/>
        <v>-3955031.2884301711</v>
      </c>
      <c r="AN79" s="83">
        <f t="shared" si="23"/>
        <v>-4684122.7701538075</v>
      </c>
      <c r="AO79" s="83">
        <f t="shared" si="23"/>
        <v>-5197085.1608156255</v>
      </c>
      <c r="AP79" s="83">
        <f t="shared" si="23"/>
        <v>-5248708.1608156255</v>
      </c>
      <c r="AQ79" s="83">
        <f t="shared" si="23"/>
        <v>-5248708.1608156255</v>
      </c>
      <c r="AR79" s="83">
        <f t="shared" si="23"/>
        <v>-5248708.1608156255</v>
      </c>
      <c r="AS79" s="83">
        <f t="shared" si="23"/>
        <v>-7261749.1816156255</v>
      </c>
      <c r="AT79" s="83">
        <f t="shared" si="23"/>
        <v>-7639859.0205974439</v>
      </c>
      <c r="AU79" s="83">
        <f t="shared" si="23"/>
        <v>-7747815.3539307769</v>
      </c>
      <c r="AV79" s="83">
        <f t="shared" si="23"/>
        <v>-7921273.7114944132</v>
      </c>
      <c r="AW79" s="83">
        <f t="shared" si="23"/>
        <v>-8278002.0690580495</v>
      </c>
      <c r="AX79" s="83">
        <f t="shared" si="23"/>
        <v>-8278002.0690580495</v>
      </c>
      <c r="AY79" s="83">
        <f t="shared" si="23"/>
        <v>-8278002.0690580495</v>
      </c>
      <c r="AZ79" s="83">
        <f t="shared" si="23"/>
        <v>-8451460.4266216867</v>
      </c>
      <c r="BA79" s="83">
        <f t="shared" si="23"/>
        <v>-8624918.7841853239</v>
      </c>
      <c r="BB79" s="83">
        <f t="shared" si="23"/>
        <v>-8798377.1417489611</v>
      </c>
      <c r="BC79" s="83">
        <f t="shared" si="23"/>
        <v>-8798377.1417489611</v>
      </c>
      <c r="BD79" s="83">
        <f t="shared" si="23"/>
        <v>-6067392.1417489611</v>
      </c>
      <c r="BE79" s="83">
        <f t="shared" si="23"/>
        <v>-6067392.1417489611</v>
      </c>
      <c r="BF79" s="83">
        <f t="shared" si="23"/>
        <v>-6067392.1417489611</v>
      </c>
      <c r="BG79" s="83">
        <f t="shared" si="23"/>
        <v>-6067392.1417489611</v>
      </c>
      <c r="BH79" s="83">
        <f t="shared" si="23"/>
        <v>-6067392.1417489611</v>
      </c>
      <c r="BI79" s="83">
        <f t="shared" si="23"/>
        <v>-6067392.1417489611</v>
      </c>
      <c r="BJ79" s="83">
        <f t="shared" si="23"/>
        <v>-6067392.1417489611</v>
      </c>
      <c r="BK79" s="83">
        <f t="shared" si="23"/>
        <v>-6067392.1417489611</v>
      </c>
      <c r="BL79" s="83">
        <f t="shared" si="23"/>
        <v>-6067392.1417489611</v>
      </c>
      <c r="BM79" s="83">
        <f t="shared" si="23"/>
        <v>-6067392.1417489611</v>
      </c>
      <c r="BN79" s="83">
        <f t="shared" si="23"/>
        <v>-3801353.2817489607</v>
      </c>
      <c r="BO79" s="83">
        <f t="shared" si="23"/>
        <v>-3801353.2817489607</v>
      </c>
      <c r="BP79" s="83">
        <f t="shared" si="23"/>
        <v>-3801353.2817489607</v>
      </c>
      <c r="BQ79" s="83">
        <f t="shared" ref="BQ79:BT79" si="24">BP79+BQ16-BQ26</f>
        <v>-3801353.2817489607</v>
      </c>
      <c r="BR79" s="83">
        <f t="shared" si="24"/>
        <v>-3801353.2817489607</v>
      </c>
      <c r="BS79" s="83">
        <f t="shared" si="24"/>
        <v>-3801353.2817489607</v>
      </c>
      <c r="BT79" s="83">
        <f t="shared" si="24"/>
        <v>-3801353.2817489607</v>
      </c>
    </row>
    <row r="81" spans="1:72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</row>
    <row r="82" spans="1:72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</row>
    <row r="83" spans="1:72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</row>
    <row r="84" spans="1:72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</row>
    <row r="85" spans="1:72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</row>
    <row r="86" spans="1:72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</row>
    <row r="88" spans="1:72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U88"/>
  <sheetViews>
    <sheetView topLeftCell="B18" workbookViewId="0">
      <selection activeCell="J38" sqref="J38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4.5703125" style="3" customWidth="1"/>
    <col min="6" max="6" width="11.85546875" style="3" customWidth="1"/>
    <col min="7" max="7" width="12.42578125" style="3" customWidth="1"/>
    <col min="8" max="8" width="14.85546875" style="3" customWidth="1"/>
    <col min="9" max="9" width="13" style="3" customWidth="1"/>
    <col min="10" max="10" width="12.7109375" style="3" customWidth="1"/>
    <col min="11" max="11" width="11.85546875" style="3" customWidth="1"/>
    <col min="12" max="12" width="13.140625" style="3" customWidth="1"/>
    <col min="13" max="13" width="11.7109375" style="3" customWidth="1"/>
    <col min="14" max="14" width="12.5703125" style="3" customWidth="1"/>
    <col min="15" max="15" width="15.7109375" style="3" customWidth="1"/>
    <col min="16" max="16" width="12.7109375" style="3" customWidth="1"/>
    <col min="17" max="18" width="12.85546875" style="3" customWidth="1"/>
    <col min="19" max="20" width="11.85546875" style="3" customWidth="1"/>
    <col min="21" max="21" width="13" style="3" customWidth="1"/>
    <col min="22" max="22" width="12.28515625" style="3" customWidth="1"/>
    <col min="23" max="23" width="12.140625" style="3" customWidth="1"/>
    <col min="24" max="24" width="11.140625" style="3" customWidth="1"/>
    <col min="25" max="25" width="12.7109375" style="3" customWidth="1"/>
    <col min="26" max="26" width="11.140625" style="3" customWidth="1"/>
    <col min="27" max="27" width="11.7109375" style="3" customWidth="1"/>
    <col min="28" max="28" width="11.5703125" style="3" customWidth="1"/>
    <col min="29" max="30" width="10.85546875" style="3" customWidth="1"/>
    <col min="31" max="31" width="12.85546875" style="3" customWidth="1"/>
    <col min="32" max="32" width="12" style="3" customWidth="1"/>
    <col min="33" max="33" width="11.140625" style="3" customWidth="1"/>
    <col min="34" max="34" width="12.7109375" style="3" customWidth="1"/>
    <col min="35" max="35" width="11.42578125" style="3" customWidth="1"/>
    <col min="36" max="36" width="11.7109375" style="3" customWidth="1"/>
    <col min="37" max="37" width="10.5703125" style="3" customWidth="1"/>
    <col min="38" max="38" width="12" style="3" customWidth="1"/>
    <col min="39" max="39" width="11.140625" style="3" customWidth="1"/>
    <col min="40" max="40" width="10.42578125" style="3" customWidth="1"/>
    <col min="41" max="41" width="10.28515625" style="3" bestFit="1" customWidth="1"/>
    <col min="42" max="42" width="10.42578125" style="3" customWidth="1"/>
    <col min="43" max="43" width="12.5703125" style="3" customWidth="1"/>
    <col min="44" max="44" width="13.28515625" style="3" customWidth="1"/>
    <col min="45" max="45" width="12.140625" style="3" customWidth="1"/>
    <col min="46" max="46" width="12.42578125" style="3" customWidth="1"/>
    <col min="47" max="47" width="12.28515625" style="3" customWidth="1"/>
    <col min="48" max="48" width="10.28515625" style="3" customWidth="1"/>
    <col min="49" max="49" width="11.28515625" style="3" customWidth="1"/>
    <col min="50" max="50" width="11.85546875" style="3" customWidth="1"/>
    <col min="51" max="51" width="12.28515625" style="3" customWidth="1"/>
    <col min="52" max="52" width="11.140625" style="3" customWidth="1"/>
    <col min="53" max="53" width="10.5703125" style="3" customWidth="1"/>
    <col min="54" max="54" width="10.85546875" style="3" customWidth="1"/>
    <col min="55" max="55" width="12" style="3" customWidth="1"/>
    <col min="56" max="56" width="10" style="3" customWidth="1"/>
    <col min="57" max="57" width="11.140625" style="3" customWidth="1"/>
    <col min="58" max="58" width="12.5703125" style="3" customWidth="1"/>
    <col min="59" max="59" width="12.140625" style="3" customWidth="1"/>
    <col min="60" max="60" width="12.42578125" style="3" customWidth="1"/>
    <col min="61" max="61" width="12" style="3" customWidth="1"/>
    <col min="62" max="62" width="14.85546875" style="3" customWidth="1"/>
    <col min="63" max="63" width="11.5703125" style="3" customWidth="1"/>
    <col min="64" max="64" width="13.7109375" style="3" customWidth="1"/>
    <col min="65" max="65" width="12.42578125" style="3" customWidth="1"/>
    <col min="66" max="66" width="10.85546875" style="3" customWidth="1"/>
    <col min="67" max="67" width="12.140625" style="3" customWidth="1"/>
    <col min="68" max="68" width="11.85546875" style="3" customWidth="1"/>
    <col min="69" max="69" width="12.7109375" style="3" customWidth="1"/>
    <col min="70" max="70" width="12.42578125" style="3" customWidth="1"/>
    <col min="71" max="71" width="11.140625" style="3" customWidth="1"/>
    <col min="72" max="72" width="11.5703125" style="3" customWidth="1"/>
    <col min="73" max="73" width="12.28515625" style="3" customWidth="1"/>
    <col min="74" max="16384" width="9" style="3"/>
  </cols>
  <sheetData>
    <row r="1" spans="1:73" ht="12" thickBot="1" x14ac:dyDescent="0.3"/>
    <row r="2" spans="1:73" s="1" customFormat="1" x14ac:dyDescent="0.2">
      <c r="A2" s="43" t="s">
        <v>50</v>
      </c>
      <c r="B2" s="15" t="s">
        <v>27</v>
      </c>
      <c r="C2" s="50">
        <v>4727667.3600000003</v>
      </c>
    </row>
    <row r="3" spans="1:73" s="1" customFormat="1" ht="12" thickBot="1" x14ac:dyDescent="0.25">
      <c r="A3" s="44">
        <v>86.249899999999997</v>
      </c>
      <c r="B3" s="15" t="s">
        <v>28</v>
      </c>
      <c r="C3" s="50">
        <v>10778.95</v>
      </c>
    </row>
    <row r="4" spans="1:73" s="8" customFormat="1" ht="12" thickBot="1" x14ac:dyDescent="0.25">
      <c r="A4" s="45"/>
      <c r="B4" s="15" t="s">
        <v>25</v>
      </c>
      <c r="C4" s="51">
        <v>0</v>
      </c>
    </row>
    <row r="5" spans="1:73" s="6" customFormat="1" x14ac:dyDescent="0.2">
      <c r="A5" s="43" t="s">
        <v>51</v>
      </c>
      <c r="B5" s="49" t="s">
        <v>26</v>
      </c>
      <c r="C5" s="52">
        <f>SUM(C2:C4)</f>
        <v>4738446.3100000005</v>
      </c>
    </row>
    <row r="6" spans="1:73" s="6" customFormat="1" ht="12" thickBot="1" x14ac:dyDescent="0.25">
      <c r="A6" s="44">
        <v>71.553200000000004</v>
      </c>
      <c r="B6" s="16"/>
      <c r="C6" s="53"/>
      <c r="D6" s="17"/>
    </row>
    <row r="7" spans="1:73" s="6" customFormat="1" ht="12" thickBot="1" x14ac:dyDescent="0.25">
      <c r="A7" s="105" t="s">
        <v>51</v>
      </c>
      <c r="B7" s="18" t="s">
        <v>127</v>
      </c>
      <c r="C7" s="54">
        <f>SUM(16:16)</f>
        <v>23517471.211600002</v>
      </c>
    </row>
    <row r="8" spans="1:73" x14ac:dyDescent="0.25">
      <c r="A8" s="43" t="s">
        <v>52</v>
      </c>
      <c r="B8" s="18" t="s">
        <v>126</v>
      </c>
      <c r="C8" s="54">
        <f>SUM(26:26)</f>
        <v>52057088.038555324</v>
      </c>
    </row>
    <row r="9" spans="1:73" ht="12" thickBot="1" x14ac:dyDescent="0.3">
      <c r="A9" s="44">
        <v>10.5762</v>
      </c>
      <c r="B9" s="19" t="s">
        <v>64</v>
      </c>
      <c r="C9" s="55">
        <f>C5+C7-C8-C11</f>
        <v>-47888714.398275323</v>
      </c>
    </row>
    <row r="10" spans="1:73" x14ac:dyDescent="0.25">
      <c r="A10" s="99" t="s">
        <v>80</v>
      </c>
      <c r="B10" s="18" t="s">
        <v>23</v>
      </c>
      <c r="C10" s="56">
        <f>C16</f>
        <v>0</v>
      </c>
    </row>
    <row r="11" spans="1:73" x14ac:dyDescent="0.25">
      <c r="A11" s="101" t="s">
        <v>87</v>
      </c>
      <c r="B11" s="18" t="s">
        <v>24</v>
      </c>
      <c r="C11" s="54">
        <f>C26</f>
        <v>24087543.88132</v>
      </c>
    </row>
    <row r="12" spans="1:73" x14ac:dyDescent="0.25">
      <c r="A12" s="107" t="s">
        <v>88</v>
      </c>
    </row>
    <row r="13" spans="1:73" x14ac:dyDescent="0.25">
      <c r="A13" s="38"/>
      <c r="B13" s="10"/>
      <c r="C13" s="57"/>
      <c r="D13" s="10"/>
    </row>
    <row r="14" spans="1:73" s="2" customFormat="1" x14ac:dyDescent="0.25">
      <c r="A14" s="64"/>
      <c r="B14" s="65"/>
      <c r="C14" s="58" t="s">
        <v>56</v>
      </c>
      <c r="D14" s="66"/>
      <c r="E14" s="66">
        <v>46175</v>
      </c>
      <c r="F14" s="66">
        <v>46176</v>
      </c>
      <c r="G14" s="66">
        <v>46177</v>
      </c>
      <c r="H14" s="66">
        <v>46178</v>
      </c>
      <c r="I14" s="66">
        <v>46179</v>
      </c>
      <c r="J14" s="66">
        <v>46180</v>
      </c>
      <c r="K14" s="66">
        <v>46181</v>
      </c>
      <c r="L14" s="66">
        <v>46182</v>
      </c>
      <c r="M14" s="66">
        <v>46183</v>
      </c>
      <c r="N14" s="66">
        <v>46184</v>
      </c>
      <c r="O14" s="66">
        <v>46185</v>
      </c>
      <c r="P14" s="66">
        <v>46186</v>
      </c>
      <c r="Q14" s="66">
        <v>46187</v>
      </c>
      <c r="R14" s="66">
        <v>46188</v>
      </c>
      <c r="S14" s="66">
        <v>46189</v>
      </c>
      <c r="T14" s="66">
        <v>46190</v>
      </c>
      <c r="U14" s="66">
        <v>46191</v>
      </c>
      <c r="V14" s="66">
        <v>46192</v>
      </c>
      <c r="W14" s="66">
        <v>46193</v>
      </c>
      <c r="X14" s="66">
        <v>46194</v>
      </c>
      <c r="Y14" s="66">
        <v>46195</v>
      </c>
      <c r="Z14" s="66">
        <v>46196</v>
      </c>
      <c r="AA14" s="66">
        <v>46197</v>
      </c>
      <c r="AB14" s="66">
        <v>46198</v>
      </c>
      <c r="AC14" s="66">
        <v>46199</v>
      </c>
      <c r="AD14" s="66">
        <v>46200</v>
      </c>
      <c r="AE14" s="66">
        <v>46201</v>
      </c>
      <c r="AF14" s="66">
        <v>46202</v>
      </c>
      <c r="AG14" s="66">
        <v>46203</v>
      </c>
      <c r="AH14" s="66">
        <v>46204</v>
      </c>
      <c r="AI14" s="66">
        <v>46205</v>
      </c>
      <c r="AJ14" s="66">
        <v>46206</v>
      </c>
      <c r="AK14" s="66">
        <v>46207</v>
      </c>
      <c r="AL14" s="66">
        <v>46208</v>
      </c>
      <c r="AM14" s="66">
        <v>46209</v>
      </c>
      <c r="AN14" s="66">
        <v>46210</v>
      </c>
      <c r="AO14" s="66">
        <v>46211</v>
      </c>
      <c r="AP14" s="66">
        <v>46212</v>
      </c>
      <c r="AQ14" s="66">
        <v>46213</v>
      </c>
      <c r="AR14" s="66">
        <v>46214</v>
      </c>
      <c r="AS14" s="66">
        <v>46215</v>
      </c>
      <c r="AT14" s="66">
        <v>46216</v>
      </c>
      <c r="AU14" s="66">
        <v>46217</v>
      </c>
      <c r="AV14" s="66">
        <v>46218</v>
      </c>
      <c r="AW14" s="66">
        <v>46219</v>
      </c>
      <c r="AX14" s="66">
        <v>46220</v>
      </c>
      <c r="AY14" s="66">
        <v>46221</v>
      </c>
      <c r="AZ14" s="66">
        <v>46222</v>
      </c>
      <c r="BA14" s="66">
        <v>46223</v>
      </c>
      <c r="BB14" s="66">
        <v>46224</v>
      </c>
      <c r="BC14" s="66">
        <v>46225</v>
      </c>
      <c r="BD14" s="66">
        <v>46226</v>
      </c>
      <c r="BE14" s="66">
        <v>46227</v>
      </c>
      <c r="BF14" s="66">
        <v>46228</v>
      </c>
      <c r="BG14" s="66">
        <v>46229</v>
      </c>
      <c r="BH14" s="66">
        <v>46230</v>
      </c>
      <c r="BI14" s="66">
        <v>46231</v>
      </c>
      <c r="BJ14" s="66">
        <v>46232</v>
      </c>
      <c r="BK14" s="66">
        <v>46233</v>
      </c>
      <c r="BL14" s="66">
        <v>46234</v>
      </c>
      <c r="BM14" s="66">
        <v>46235</v>
      </c>
      <c r="BN14" s="66">
        <v>46236</v>
      </c>
      <c r="BO14" s="66">
        <v>46237</v>
      </c>
      <c r="BP14" s="66">
        <v>46238</v>
      </c>
      <c r="BQ14" s="66">
        <v>46239</v>
      </c>
      <c r="BR14" s="66">
        <v>46240</v>
      </c>
      <c r="BS14" s="66">
        <v>46241</v>
      </c>
      <c r="BT14" s="66">
        <v>46242</v>
      </c>
      <c r="BU14" s="66">
        <v>46243</v>
      </c>
    </row>
    <row r="15" spans="1:73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</row>
    <row r="16" spans="1:73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O16" si="0">SUM(E17:E25)</f>
        <v>0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29">
        <f t="shared" si="0"/>
        <v>0</v>
      </c>
      <c r="J16" s="29">
        <f t="shared" si="0"/>
        <v>0</v>
      </c>
      <c r="K16" s="29">
        <f t="shared" si="0"/>
        <v>4018746.5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135">
        <f t="shared" si="0"/>
        <v>0</v>
      </c>
      <c r="P16" s="135">
        <f t="shared" si="0"/>
        <v>0</v>
      </c>
      <c r="Q16" s="135">
        <f t="shared" si="0"/>
        <v>0</v>
      </c>
      <c r="R16" s="29">
        <f t="shared" si="0"/>
        <v>2000000</v>
      </c>
      <c r="S16" s="29">
        <f t="shared" si="0"/>
        <v>0</v>
      </c>
      <c r="T16" s="29">
        <f t="shared" si="0"/>
        <v>0</v>
      </c>
      <c r="U16" s="29">
        <f t="shared" si="0"/>
        <v>8287235.3915999997</v>
      </c>
      <c r="V16" s="29">
        <f t="shared" si="0"/>
        <v>0</v>
      </c>
      <c r="W16" s="135">
        <f t="shared" si="0"/>
        <v>0</v>
      </c>
      <c r="X16" s="135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135">
        <f t="shared" si="0"/>
        <v>0</v>
      </c>
      <c r="AF16" s="135">
        <f t="shared" si="0"/>
        <v>0</v>
      </c>
      <c r="AG16" s="29">
        <f t="shared" si="0"/>
        <v>3070496.44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135">
        <f t="shared" si="0"/>
        <v>0</v>
      </c>
      <c r="AL16" s="135">
        <f t="shared" si="0"/>
        <v>0</v>
      </c>
      <c r="AM16" s="29">
        <f t="shared" si="0"/>
        <v>0</v>
      </c>
      <c r="AN16" s="29">
        <f t="shared" si="0"/>
        <v>3070496.44</v>
      </c>
      <c r="AO16" s="29">
        <f t="shared" si="0"/>
        <v>0</v>
      </c>
      <c r="AP16" s="29">
        <f t="shared" si="0"/>
        <v>0</v>
      </c>
      <c r="AQ16" s="29">
        <f t="shared" si="0"/>
        <v>0</v>
      </c>
      <c r="AR16" s="135">
        <f t="shared" si="0"/>
        <v>0</v>
      </c>
      <c r="AS16" s="135">
        <f t="shared" si="0"/>
        <v>0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135">
        <f t="shared" si="0"/>
        <v>0</v>
      </c>
      <c r="AZ16" s="135">
        <f t="shared" si="0"/>
        <v>0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135">
        <f t="shared" si="0"/>
        <v>0</v>
      </c>
      <c r="BG16" s="135">
        <f t="shared" si="0"/>
        <v>0</v>
      </c>
      <c r="BH16" s="29">
        <f t="shared" si="0"/>
        <v>0</v>
      </c>
      <c r="BI16" s="29">
        <f t="shared" si="0"/>
        <v>0</v>
      </c>
      <c r="BJ16" s="29">
        <f t="shared" si="0"/>
        <v>0</v>
      </c>
      <c r="BK16" s="29">
        <f t="shared" si="0"/>
        <v>0</v>
      </c>
      <c r="BL16" s="29">
        <f t="shared" si="0"/>
        <v>0</v>
      </c>
      <c r="BM16" s="135">
        <f t="shared" si="0"/>
        <v>0</v>
      </c>
      <c r="BN16" s="135">
        <f t="shared" si="0"/>
        <v>0</v>
      </c>
      <c r="BO16" s="29">
        <f t="shared" si="0"/>
        <v>3070496.44</v>
      </c>
      <c r="BP16" s="29">
        <f t="shared" ref="BP16:BU16" si="1">SUM(BP17:BP25)</f>
        <v>0</v>
      </c>
      <c r="BQ16" s="29">
        <f t="shared" si="1"/>
        <v>0</v>
      </c>
      <c r="BR16" s="29">
        <f t="shared" si="1"/>
        <v>0</v>
      </c>
      <c r="BS16" s="29">
        <f t="shared" si="1"/>
        <v>0</v>
      </c>
      <c r="BT16" s="29">
        <f t="shared" si="1"/>
        <v>0</v>
      </c>
      <c r="BU16" s="29">
        <f t="shared" si="1"/>
        <v>0</v>
      </c>
    </row>
    <row r="17" spans="1:73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</row>
    <row r="18" spans="1:73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>
        <v>1000000</v>
      </c>
      <c r="L18" s="30"/>
      <c r="M18" s="30"/>
      <c r="N18" s="30"/>
      <c r="O18" s="30"/>
      <c r="P18" s="30"/>
      <c r="Q18" s="30"/>
      <c r="R18" s="30">
        <v>2000000</v>
      </c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</row>
    <row r="19" spans="1:73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</row>
    <row r="20" spans="1:73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</row>
    <row r="21" spans="1:73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</row>
    <row r="22" spans="1:73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</row>
    <row r="23" spans="1:73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>
        <f>96084*A3</f>
        <v>8287235.3915999997</v>
      </c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</row>
    <row r="24" spans="1:73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>
        <f>35000*A3</f>
        <v>3018746.5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G24" s="30">
        <f>35600*A3</f>
        <v>3070496.44</v>
      </c>
      <c r="AH24" s="30"/>
      <c r="AI24" s="30"/>
      <c r="AJ24" s="30"/>
      <c r="AK24" s="30"/>
      <c r="AL24" s="30"/>
      <c r="AM24" s="30"/>
      <c r="AN24" s="30">
        <f>35600*A3</f>
        <v>3070496.44</v>
      </c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165">
        <f>35600*A3</f>
        <v>3070496.44</v>
      </c>
      <c r="BP24" s="30"/>
      <c r="BQ24" s="30"/>
      <c r="BR24" s="30"/>
      <c r="BS24" s="30"/>
      <c r="BT24" s="30"/>
      <c r="BU24" s="30"/>
    </row>
    <row r="25" spans="1:73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</row>
    <row r="26" spans="1:73" s="4" customFormat="1" x14ac:dyDescent="0.2">
      <c r="A26" s="41" t="s">
        <v>1</v>
      </c>
      <c r="B26" s="22"/>
      <c r="C26" s="34">
        <f>SUM(C28:C77)</f>
        <v>24087543.88132</v>
      </c>
      <c r="D26" s="34"/>
      <c r="E26" s="34">
        <f t="shared" ref="E26:BO26" si="2">SUM(E27:E78)</f>
        <v>423987.80900000001</v>
      </c>
      <c r="F26" s="34">
        <f t="shared" si="2"/>
        <v>364268.66666666669</v>
      </c>
      <c r="G26" s="34">
        <f t="shared" si="2"/>
        <v>1033886.883116883</v>
      </c>
      <c r="H26" s="34">
        <f t="shared" si="2"/>
        <v>2820991.6163290041</v>
      </c>
      <c r="I26" s="34">
        <f t="shared" si="2"/>
        <v>0</v>
      </c>
      <c r="J26" s="34">
        <f t="shared" si="2"/>
        <v>0</v>
      </c>
      <c r="K26" s="34">
        <f t="shared" si="2"/>
        <v>3235692.2531688311</v>
      </c>
      <c r="L26" s="34">
        <f t="shared" si="2"/>
        <v>189761.5</v>
      </c>
      <c r="M26" s="34">
        <f t="shared" si="2"/>
        <v>645991.5</v>
      </c>
      <c r="N26" s="34">
        <f t="shared" si="2"/>
        <v>518482.60533333331</v>
      </c>
      <c r="O26" s="34">
        <f t="shared" si="2"/>
        <v>0</v>
      </c>
      <c r="P26" s="34">
        <f t="shared" si="2"/>
        <v>0</v>
      </c>
      <c r="Q26" s="34">
        <f t="shared" si="2"/>
        <v>0</v>
      </c>
      <c r="R26" s="34">
        <f t="shared" si="2"/>
        <v>1225663.3861818181</v>
      </c>
      <c r="S26" s="34">
        <f t="shared" si="2"/>
        <v>180326.20587999999</v>
      </c>
      <c r="T26" s="34">
        <f t="shared" si="2"/>
        <v>305384.25167999999</v>
      </c>
      <c r="U26" s="34">
        <f t="shared" si="2"/>
        <v>2588946.0957418182</v>
      </c>
      <c r="V26" s="34">
        <f t="shared" si="2"/>
        <v>1212260.1501236362</v>
      </c>
      <c r="W26" s="34">
        <f t="shared" si="2"/>
        <v>0</v>
      </c>
      <c r="X26" s="34">
        <f t="shared" si="2"/>
        <v>0</v>
      </c>
      <c r="Y26" s="34">
        <f t="shared" si="2"/>
        <v>888303.09301333339</v>
      </c>
      <c r="Z26" s="34">
        <f t="shared" si="2"/>
        <v>377745.75968000002</v>
      </c>
      <c r="AA26" s="34">
        <f t="shared" si="2"/>
        <v>449116.60921333334</v>
      </c>
      <c r="AB26" s="34">
        <f t="shared" si="2"/>
        <v>221931.00210424242</v>
      </c>
      <c r="AC26" s="34">
        <f t="shared" si="2"/>
        <v>548687.2988933333</v>
      </c>
      <c r="AD26" s="34">
        <f t="shared" si="2"/>
        <v>0</v>
      </c>
      <c r="AE26" s="34">
        <f t="shared" si="2"/>
        <v>0</v>
      </c>
      <c r="AF26" s="34">
        <f t="shared" si="2"/>
        <v>497346.09301333333</v>
      </c>
      <c r="AG26" s="34">
        <f t="shared" si="2"/>
        <v>3356498.5392133333</v>
      </c>
      <c r="AH26" s="34">
        <f t="shared" si="2"/>
        <v>450064.7615133333</v>
      </c>
      <c r="AI26" s="34">
        <f t="shared" si="2"/>
        <v>889867.71818181826</v>
      </c>
      <c r="AJ26" s="34">
        <f t="shared" si="2"/>
        <v>220399.02406181817</v>
      </c>
      <c r="AK26" s="34">
        <f t="shared" si="2"/>
        <v>0</v>
      </c>
      <c r="AL26" s="34">
        <f t="shared" si="2"/>
        <v>0</v>
      </c>
      <c r="AM26" s="34">
        <f t="shared" si="2"/>
        <v>415448.51047999994</v>
      </c>
      <c r="AN26" s="34">
        <f t="shared" si="2"/>
        <v>481965.92748181813</v>
      </c>
      <c r="AO26" s="34">
        <f t="shared" si="2"/>
        <v>650316.58016000001</v>
      </c>
      <c r="AP26" s="34">
        <f t="shared" si="2"/>
        <v>507630.32866181812</v>
      </c>
      <c r="AQ26" s="34">
        <f t="shared" si="2"/>
        <v>415448.51047999994</v>
      </c>
      <c r="AR26" s="34">
        <f t="shared" si="2"/>
        <v>0</v>
      </c>
      <c r="AS26" s="34">
        <f t="shared" si="2"/>
        <v>0</v>
      </c>
      <c r="AT26" s="34">
        <f t="shared" si="2"/>
        <v>1911640.7596800001</v>
      </c>
      <c r="AU26" s="34">
        <f t="shared" si="2"/>
        <v>143804.81818181818</v>
      </c>
      <c r="AV26" s="34">
        <f t="shared" si="2"/>
        <v>51623</v>
      </c>
      <c r="AW26" s="34">
        <f t="shared" si="2"/>
        <v>0</v>
      </c>
      <c r="AX26" s="34">
        <f t="shared" si="2"/>
        <v>0</v>
      </c>
      <c r="AY26" s="34">
        <f t="shared" si="2"/>
        <v>0</v>
      </c>
      <c r="AZ26" s="34">
        <f t="shared" si="2"/>
        <v>0</v>
      </c>
      <c r="BA26" s="34">
        <f t="shared" si="2"/>
        <v>0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si="2"/>
        <v>0</v>
      </c>
      <c r="BO26" s="34">
        <f t="shared" si="2"/>
        <v>746062.9</v>
      </c>
      <c r="BP26" s="34">
        <f t="shared" ref="BP26:BU26" si="3">SUM(BP27:BP78)</f>
        <v>0</v>
      </c>
      <c r="BQ26" s="34">
        <f t="shared" si="3"/>
        <v>0</v>
      </c>
      <c r="BR26" s="34">
        <f t="shared" si="3"/>
        <v>0</v>
      </c>
      <c r="BS26" s="34">
        <f t="shared" si="3"/>
        <v>0</v>
      </c>
      <c r="BT26" s="34">
        <f t="shared" si="3"/>
        <v>0</v>
      </c>
      <c r="BU26" s="34">
        <f t="shared" si="3"/>
        <v>0</v>
      </c>
    </row>
    <row r="27" spans="1:73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</row>
    <row r="28" spans="1:73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</row>
    <row r="29" spans="1:73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</row>
    <row r="30" spans="1:73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>
        <f>8399365/3</f>
        <v>2799788.3333333335</v>
      </c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</row>
    <row r="31" spans="1:73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90">
        <f>291375+137118</f>
        <v>428493</v>
      </c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</row>
    <row r="32" spans="1:73" s="1" customFormat="1" x14ac:dyDescent="0.2">
      <c r="A32" s="36" t="s">
        <v>7</v>
      </c>
      <c r="B32" s="23" t="s">
        <v>8</v>
      </c>
      <c r="C32" s="60"/>
      <c r="D32" s="24"/>
      <c r="F32" s="24"/>
      <c r="G32" s="24">
        <f>488746/0.77</f>
        <v>634735.06493506487</v>
      </c>
      <c r="H32" s="24"/>
      <c r="I32" s="24"/>
      <c r="J32" s="24"/>
      <c r="K32" s="24"/>
      <c r="L32" s="24"/>
      <c r="M32" s="24">
        <v>350000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</row>
    <row r="33" spans="1:73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P33" s="24"/>
      <c r="Q33" s="24"/>
      <c r="R33" s="24">
        <v>271506</v>
      </c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>
        <v>271506</v>
      </c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</row>
    <row r="34" spans="1:73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</row>
    <row r="35" spans="1:73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>
        <v>100113.9</v>
      </c>
      <c r="L35" s="24"/>
      <c r="M35" s="24"/>
      <c r="N35" s="24">
        <v>100000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>
        <v>200113.9</v>
      </c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>
        <v>200113.9</v>
      </c>
      <c r="BP35" s="24"/>
      <c r="BQ35" s="24"/>
      <c r="BR35" s="24"/>
      <c r="BS35" s="24"/>
      <c r="BT35" s="24"/>
      <c r="BU35" s="24"/>
    </row>
    <row r="36" spans="1:73" s="1" customFormat="1" x14ac:dyDescent="0.2">
      <c r="A36" s="36" t="s">
        <v>53</v>
      </c>
      <c r="B36" s="23"/>
      <c r="C36" s="60"/>
      <c r="D36" s="24"/>
      <c r="E36" s="24"/>
      <c r="F36" s="24"/>
      <c r="G36" s="24"/>
      <c r="H36" s="24">
        <f>545949/6</f>
        <v>90991.5</v>
      </c>
      <c r="I36" s="24"/>
      <c r="J36" s="24"/>
      <c r="K36" s="24">
        <f t="shared" ref="K36:R36" si="4">545949/6</f>
        <v>90991.5</v>
      </c>
      <c r="L36" s="24">
        <f t="shared" si="4"/>
        <v>90991.5</v>
      </c>
      <c r="M36" s="24">
        <f t="shared" si="4"/>
        <v>90991.5</v>
      </c>
      <c r="N36" s="24">
        <f t="shared" si="4"/>
        <v>90991.5</v>
      </c>
      <c r="P36" s="24"/>
      <c r="Q36" s="24"/>
      <c r="R36" s="24">
        <f t="shared" si="4"/>
        <v>90991.5</v>
      </c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>
        <v>545949</v>
      </c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>
        <v>545949</v>
      </c>
      <c r="BP36" s="24"/>
      <c r="BQ36" s="24"/>
      <c r="BR36" s="24"/>
      <c r="BS36" s="24"/>
      <c r="BT36" s="24"/>
      <c r="BU36" s="24"/>
    </row>
    <row r="37" spans="1:73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</row>
    <row r="38" spans="1:73" s="71" customFormat="1" x14ac:dyDescent="0.2">
      <c r="A38" s="69" t="s">
        <v>14</v>
      </c>
      <c r="B38" s="25" t="s">
        <v>30</v>
      </c>
      <c r="C38" s="70"/>
      <c r="D38" s="24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</row>
    <row r="39" spans="1:73" s="71" customFormat="1" x14ac:dyDescent="0.2">
      <c r="A39" s="69" t="s">
        <v>115</v>
      </c>
      <c r="B39" s="25" t="s">
        <v>116</v>
      </c>
      <c r="C39" s="70"/>
      <c r="D39" s="24"/>
      <c r="E39" s="108">
        <f>156160/6</f>
        <v>26026.666666666668</v>
      </c>
      <c r="F39" s="24"/>
      <c r="G39" s="24"/>
      <c r="H39" s="108">
        <f>156160/6+1026.67+1026.67</f>
        <v>28080.006666666668</v>
      </c>
      <c r="I39" s="24"/>
      <c r="J39" s="24"/>
      <c r="K39" s="24"/>
      <c r="L39" s="24"/>
      <c r="M39" s="24"/>
      <c r="N39" s="100">
        <f>312320/10</f>
        <v>31232</v>
      </c>
      <c r="O39" s="24"/>
      <c r="P39" s="24"/>
      <c r="Q39" s="24"/>
      <c r="R39" s="24"/>
      <c r="S39" s="100">
        <f>312320/10</f>
        <v>31232</v>
      </c>
      <c r="T39" s="24"/>
      <c r="U39" s="24"/>
      <c r="V39" s="100">
        <f>312320/10</f>
        <v>31232</v>
      </c>
      <c r="W39" s="24"/>
      <c r="X39" s="24"/>
      <c r="Y39" s="108">
        <f>312320/10</f>
        <v>31232</v>
      </c>
      <c r="Z39" s="24"/>
      <c r="AA39" s="108">
        <f>312320/10</f>
        <v>31232</v>
      </c>
      <c r="AB39" s="24"/>
      <c r="AC39" s="108">
        <f>312320/10</f>
        <v>31232</v>
      </c>
      <c r="AD39" s="24"/>
      <c r="AE39" s="24"/>
      <c r="AF39" s="108">
        <v>124838</v>
      </c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</row>
    <row r="40" spans="1:73" s="71" customFormat="1" x14ac:dyDescent="0.2">
      <c r="A40" s="69" t="s">
        <v>117</v>
      </c>
      <c r="B40" s="25" t="s">
        <v>119</v>
      </c>
      <c r="C40" s="70">
        <v>691000</v>
      </c>
      <c r="D40" s="24"/>
      <c r="E40" s="108">
        <v>25000</v>
      </c>
      <c r="F40" s="108">
        <f>100000/2</f>
        <v>50000</v>
      </c>
      <c r="G40" s="108">
        <f>91000/2</f>
        <v>45500</v>
      </c>
      <c r="H40" s="108">
        <f>100000/2</f>
        <v>50000</v>
      </c>
      <c r="I40" s="24"/>
      <c r="J40" s="24"/>
      <c r="K40" s="108">
        <f>91000/2</f>
        <v>45500</v>
      </c>
      <c r="L40" s="108">
        <v>50000</v>
      </c>
      <c r="M40" s="24"/>
      <c r="N40" s="108">
        <v>50000</v>
      </c>
      <c r="P40" s="24"/>
      <c r="Q40" s="24"/>
      <c r="R40" s="108">
        <v>25000</v>
      </c>
      <c r="S40" s="24"/>
      <c r="T40" s="24"/>
      <c r="U40" s="108">
        <v>150000</v>
      </c>
      <c r="V40" s="108">
        <v>100000</v>
      </c>
      <c r="W40" s="24"/>
      <c r="X40" s="24"/>
      <c r="Y40" s="24"/>
      <c r="Z40" s="108">
        <v>100000</v>
      </c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</row>
    <row r="41" spans="1:73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100">
        <v>235200</v>
      </c>
      <c r="I41" s="24"/>
      <c r="J41" s="24"/>
      <c r="K41" s="24"/>
      <c r="L41" s="24"/>
      <c r="M41" s="24"/>
      <c r="O41" s="24"/>
      <c r="P41" s="24"/>
      <c r="Q41" s="24"/>
      <c r="R41" s="108">
        <f>510600/2</f>
        <v>255300</v>
      </c>
      <c r="S41" s="24"/>
      <c r="T41" s="24"/>
      <c r="U41" s="24"/>
      <c r="V41" s="100">
        <f>510600/2</f>
        <v>255300</v>
      </c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</row>
    <row r="42" spans="1:73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</f>
        <v>315000</v>
      </c>
      <c r="D42" s="24"/>
      <c r="E42" s="24"/>
      <c r="F42" s="129">
        <v>50000</v>
      </c>
      <c r="G42" s="129">
        <v>50000</v>
      </c>
      <c r="I42" s="24"/>
      <c r="J42" s="24"/>
      <c r="K42" s="129">
        <f>50000/2</f>
        <v>25000</v>
      </c>
      <c r="M42" s="129">
        <v>30000</v>
      </c>
      <c r="N42" s="24"/>
      <c r="P42" s="24"/>
      <c r="Q42" s="24"/>
      <c r="S42" s="129">
        <f>95000/2</f>
        <v>47500</v>
      </c>
      <c r="T42" s="24"/>
      <c r="U42" s="129">
        <f>95000/2</f>
        <v>47500</v>
      </c>
      <c r="W42" s="24"/>
      <c r="X42" s="24"/>
      <c r="Y42" s="129">
        <f>50000/2</f>
        <v>25000</v>
      </c>
      <c r="Z42" s="129">
        <v>40000</v>
      </c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</row>
    <row r="43" spans="1:73" s="71" customFormat="1" x14ac:dyDescent="0.2">
      <c r="A43" s="69" t="s">
        <v>15</v>
      </c>
      <c r="B43" s="25" t="s">
        <v>31</v>
      </c>
      <c r="C43" s="70">
        <f>2480914-516230-48700-50000-50000-50000</f>
        <v>1765984</v>
      </c>
      <c r="D43" s="24"/>
      <c r="E43" s="108">
        <f>(515224/4)/3</f>
        <v>42935.333333333336</v>
      </c>
      <c r="F43" s="108">
        <f t="shared" ref="F43:AB43" si="5">(515224/4)/3</f>
        <v>42935.333333333336</v>
      </c>
      <c r="G43" s="24"/>
      <c r="H43" s="140">
        <f>195080/4+5112</f>
        <v>53882</v>
      </c>
      <c r="I43" s="24"/>
      <c r="J43" s="24"/>
      <c r="K43" s="108">
        <f>(45000+65224)/2</f>
        <v>55112</v>
      </c>
      <c r="L43" s="140">
        <f t="shared" ref="L43" si="6">195080/4</f>
        <v>48770</v>
      </c>
      <c r="N43" s="108">
        <f t="shared" ref="N43:AA43" si="7">516230/10</f>
        <v>51623</v>
      </c>
      <c r="P43" s="24"/>
      <c r="Q43" s="24"/>
      <c r="R43" s="108">
        <f>516230/10</f>
        <v>51623</v>
      </c>
      <c r="T43" s="108">
        <f t="shared" ref="T43:AV43" si="8">516230/10</f>
        <v>51623</v>
      </c>
      <c r="U43" s="108">
        <f t="shared" si="8"/>
        <v>51623</v>
      </c>
      <c r="V43" s="108">
        <f>516230/10</f>
        <v>51623</v>
      </c>
      <c r="W43" s="24"/>
      <c r="X43" s="24"/>
      <c r="Y43" s="108">
        <f>516230/10</f>
        <v>51623</v>
      </c>
      <c r="Z43" s="108">
        <f>516230/10+15224</f>
        <v>66847</v>
      </c>
      <c r="AA43" s="108">
        <f t="shared" si="7"/>
        <v>51623</v>
      </c>
      <c r="AB43" s="108">
        <f t="shared" si="5"/>
        <v>42935.333333333336</v>
      </c>
      <c r="AC43" s="108">
        <f>516230/10</f>
        <v>51623</v>
      </c>
      <c r="AD43" s="24"/>
      <c r="AE43" s="24"/>
      <c r="AF43" s="98">
        <f>515224/4+54464</f>
        <v>183270</v>
      </c>
      <c r="AG43" s="108">
        <f t="shared" ref="AG43:AJ43" si="9">516230/10</f>
        <v>51623</v>
      </c>
      <c r="AH43" s="108">
        <f t="shared" si="9"/>
        <v>51623</v>
      </c>
      <c r="AI43" s="108">
        <f t="shared" si="9"/>
        <v>51623</v>
      </c>
      <c r="AJ43" s="108">
        <f t="shared" si="9"/>
        <v>51623</v>
      </c>
      <c r="AK43" s="24"/>
      <c r="AL43" s="24"/>
      <c r="AM43" s="108">
        <f t="shared" ref="AM43:AQ43" si="10">516230/10</f>
        <v>51623</v>
      </c>
      <c r="AN43" s="108">
        <f t="shared" si="10"/>
        <v>51623</v>
      </c>
      <c r="AO43" s="108">
        <f t="shared" si="10"/>
        <v>51623</v>
      </c>
      <c r="AP43" s="108">
        <f t="shared" si="10"/>
        <v>51623</v>
      </c>
      <c r="AQ43" s="108">
        <f t="shared" si="10"/>
        <v>51623</v>
      </c>
      <c r="AR43" s="24"/>
      <c r="AS43" s="24"/>
      <c r="AT43" s="100">
        <v>516230</v>
      </c>
      <c r="AU43" s="108">
        <f>516230/10</f>
        <v>51623</v>
      </c>
      <c r="AV43" s="108">
        <f t="shared" si="8"/>
        <v>51623</v>
      </c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</row>
    <row r="44" spans="1:73" s="71" customFormat="1" x14ac:dyDescent="0.2">
      <c r="A44" s="69" t="s">
        <v>16</v>
      </c>
      <c r="B44" s="25" t="s">
        <v>32</v>
      </c>
      <c r="C44" s="70">
        <f>449410-99410-50000+15000-25000-25000</f>
        <v>265000</v>
      </c>
      <c r="D44" s="24"/>
      <c r="E44" s="108">
        <f>(172350+10000)/5</f>
        <v>36470</v>
      </c>
      <c r="G44" s="108">
        <f t="shared" ref="G44:Z44" si="11">(172350+10000)/5</f>
        <v>36470</v>
      </c>
      <c r="H44" s="28"/>
      <c r="I44" s="24"/>
      <c r="J44" s="24"/>
      <c r="K44" s="108">
        <v>50000</v>
      </c>
      <c r="L44" s="24"/>
      <c r="M44" s="108">
        <v>50000</v>
      </c>
      <c r="N44" s="24"/>
      <c r="O44" s="24"/>
      <c r="P44" s="24"/>
      <c r="Q44" s="24"/>
      <c r="R44" s="24"/>
      <c r="S44" s="24"/>
      <c r="T44" s="24"/>
      <c r="U44" s="108">
        <f>(172350+10000)/5+4120</f>
        <v>40590</v>
      </c>
      <c r="V44" s="24"/>
      <c r="W44" s="24"/>
      <c r="X44" s="24"/>
      <c r="Y44" s="24"/>
      <c r="Z44" s="108">
        <f t="shared" si="11"/>
        <v>36470</v>
      </c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</row>
    <row r="45" spans="1:73" s="71" customFormat="1" x14ac:dyDescent="0.2">
      <c r="A45" s="69" t="s">
        <v>85</v>
      </c>
      <c r="B45" s="25" t="s">
        <v>47</v>
      </c>
      <c r="C45" s="70"/>
      <c r="D45" s="24"/>
      <c r="E45" s="24"/>
      <c r="F45" s="24"/>
      <c r="G45" s="24"/>
      <c r="H45" s="28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100">
        <f>(2997.5*$A$6)/2</f>
        <v>107240.3585</v>
      </c>
      <c r="AI45" s="24"/>
      <c r="AJ45" s="24"/>
      <c r="AK45" s="24"/>
      <c r="AL45" s="24"/>
      <c r="AM45" s="24"/>
      <c r="AN45" s="100">
        <f>(2997.5*$A$6)/2</f>
        <v>107240.3585</v>
      </c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</row>
    <row r="46" spans="1:73" s="71" customFormat="1" x14ac:dyDescent="0.2">
      <c r="A46" s="69" t="s">
        <v>143</v>
      </c>
      <c r="B46" s="25" t="s">
        <v>45</v>
      </c>
      <c r="C46" s="24">
        <f>188496*A9</f>
        <v>1993571.3951999999</v>
      </c>
      <c r="D46" s="24"/>
      <c r="E46" s="24"/>
      <c r="F46" s="24"/>
      <c r="G46" s="24"/>
      <c r="H46" s="28"/>
      <c r="I46" s="24"/>
      <c r="J46" s="24"/>
      <c r="K46" s="24"/>
      <c r="L46" s="24"/>
      <c r="M46" s="24"/>
      <c r="N46" s="24"/>
      <c r="O46" s="28"/>
      <c r="P46" s="24"/>
      <c r="Q46" s="24"/>
      <c r="S46" s="24"/>
      <c r="T46" s="108">
        <f t="shared" ref="T46:AM46" si="12">(188496*$A$9)/15</f>
        <v>132904.75967999999</v>
      </c>
      <c r="U46" s="108">
        <f t="shared" si="12"/>
        <v>132904.75967999999</v>
      </c>
      <c r="W46" s="24"/>
      <c r="X46" s="24"/>
      <c r="Y46" s="108">
        <f>(188496*$A$9)/15</f>
        <v>132904.75967999999</v>
      </c>
      <c r="Z46" s="108">
        <f t="shared" ref="Z46:AC46" si="13">(188496*$A$9)/15</f>
        <v>132904.75967999999</v>
      </c>
      <c r="AA46" s="108">
        <f t="shared" si="13"/>
        <v>132904.75967999999</v>
      </c>
      <c r="AB46" s="108">
        <f t="shared" si="13"/>
        <v>132904.75967999999</v>
      </c>
      <c r="AC46" s="108">
        <f t="shared" si="13"/>
        <v>132904.75967999999</v>
      </c>
      <c r="AD46" s="24"/>
      <c r="AE46" s="24"/>
      <c r="AF46" s="108">
        <f>(188496*$A$9)/15</f>
        <v>132904.75967999999</v>
      </c>
      <c r="AH46" s="108">
        <f t="shared" ref="AH46:AT46" si="14">(188496*$A$9)/15</f>
        <v>132904.75967999999</v>
      </c>
      <c r="AJ46" s="28"/>
      <c r="AK46" s="24"/>
      <c r="AL46" s="24"/>
      <c r="AM46" s="108">
        <f t="shared" si="12"/>
        <v>132904.75967999999</v>
      </c>
      <c r="AN46" s="24"/>
      <c r="AO46" s="108">
        <f>((188496*$A$9)/15)*2</f>
        <v>265809.51935999998</v>
      </c>
      <c r="AP46" s="108">
        <f>(188496*$A$9)/15</f>
        <v>132904.75967999999</v>
      </c>
      <c r="AQ46" s="108">
        <f t="shared" si="14"/>
        <v>132904.75967999999</v>
      </c>
      <c r="AR46" s="24"/>
      <c r="AS46" s="24"/>
      <c r="AT46" s="108">
        <f t="shared" si="14"/>
        <v>132904.75967999999</v>
      </c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</row>
    <row r="47" spans="1:73" s="71" customFormat="1" x14ac:dyDescent="0.2">
      <c r="A47" s="69" t="s">
        <v>120</v>
      </c>
      <c r="B47" s="25" t="s">
        <v>121</v>
      </c>
      <c r="C47" s="120">
        <f>507000+1014000-47000-56000</f>
        <v>1418000</v>
      </c>
      <c r="D47" s="24"/>
      <c r="F47" s="108">
        <f t="shared" ref="F47:AH47" si="15">507000/9</f>
        <v>56333.333333333336</v>
      </c>
      <c r="G47" s="108">
        <f>1014000/11</f>
        <v>92181.818181818177</v>
      </c>
      <c r="H47" s="28"/>
      <c r="I47" s="24"/>
      <c r="J47" s="24"/>
      <c r="K47" s="108">
        <f>(1014000/11)/2</f>
        <v>46090.909090909088</v>
      </c>
      <c r="M47" s="24"/>
      <c r="N47" s="108">
        <f t="shared" ref="N47:AC47" si="16">507000/9</f>
        <v>56333.333333333336</v>
      </c>
      <c r="O47" s="28"/>
      <c r="P47" s="24"/>
      <c r="Q47" s="24"/>
      <c r="R47" s="108">
        <f t="shared" ref="R47:AU47" si="17">1014000/11</f>
        <v>92181.818181818177</v>
      </c>
      <c r="S47" s="24"/>
      <c r="U47" s="108">
        <f t="shared" si="17"/>
        <v>92181.818181818177</v>
      </c>
      <c r="V47" s="108">
        <f>(1014000/11)*2+9333.33</f>
        <v>193696.96636363634</v>
      </c>
      <c r="W47" s="24"/>
      <c r="X47" s="24"/>
      <c r="Y47" s="108">
        <f>507000/9</f>
        <v>56333.333333333336</v>
      </c>
      <c r="Z47" s="24"/>
      <c r="AA47" s="108">
        <f t="shared" si="16"/>
        <v>56333.333333333336</v>
      </c>
      <c r="AB47" s="108">
        <f>(1014000/11)/2</f>
        <v>46090.909090909088</v>
      </c>
      <c r="AC47" s="108">
        <f t="shared" si="16"/>
        <v>56333.333333333336</v>
      </c>
      <c r="AD47" s="24"/>
      <c r="AE47" s="24"/>
      <c r="AF47" s="108">
        <f t="shared" si="15"/>
        <v>56333.333333333336</v>
      </c>
      <c r="AG47" s="24"/>
      <c r="AH47" s="108">
        <f t="shared" si="15"/>
        <v>56333.333333333336</v>
      </c>
      <c r="AI47" s="108">
        <f t="shared" ref="AI47:AN47" si="18">1014000/11</f>
        <v>92181.818181818177</v>
      </c>
      <c r="AJ47" s="108">
        <f t="shared" si="18"/>
        <v>92181.818181818177</v>
      </c>
      <c r="AK47" s="24"/>
      <c r="AL47" s="24"/>
      <c r="AM47" s="24"/>
      <c r="AN47" s="108">
        <f t="shared" si="18"/>
        <v>92181.818181818177</v>
      </c>
      <c r="AO47" s="24"/>
      <c r="AP47" s="108">
        <f t="shared" si="17"/>
        <v>92181.818181818177</v>
      </c>
      <c r="AQ47" s="24"/>
      <c r="AR47" s="24"/>
      <c r="AS47" s="24"/>
      <c r="AT47" s="108">
        <v>991000</v>
      </c>
      <c r="AU47" s="108">
        <f t="shared" si="17"/>
        <v>92181.818181818177</v>
      </c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</row>
    <row r="48" spans="1:73" s="73" customFormat="1" x14ac:dyDescent="0.2">
      <c r="A48" s="69" t="s">
        <v>22</v>
      </c>
      <c r="B48" s="25" t="s">
        <v>48</v>
      </c>
      <c r="C48" s="137"/>
      <c r="D48" s="72"/>
      <c r="E48" s="72"/>
      <c r="F48" s="72"/>
      <c r="G48" s="72"/>
      <c r="H48" s="28"/>
      <c r="I48" s="72"/>
      <c r="J48" s="72"/>
      <c r="L48" s="72"/>
      <c r="M48" s="24"/>
      <c r="N48" s="72"/>
      <c r="O48" s="72"/>
      <c r="P48" s="72"/>
      <c r="Q48" s="72"/>
      <c r="R48" s="72"/>
      <c r="S48" s="160">
        <f t="shared" ref="S48:AJ48" si="19">(52206*$A$9+2988*$A$6)/10</f>
        <v>76594.205879999994</v>
      </c>
      <c r="U48" s="160">
        <f t="shared" si="19"/>
        <v>76594.205879999994</v>
      </c>
      <c r="V48" s="160">
        <f>((52206*$A$9+2988*$A$6)/10)*2</f>
        <v>153188.41175999999</v>
      </c>
      <c r="W48" s="72"/>
      <c r="X48" s="72"/>
      <c r="Z48" s="72"/>
      <c r="AA48" s="160">
        <f>(52206*$A$9)/6</f>
        <v>92023.516199999998</v>
      </c>
      <c r="AB48" s="72"/>
      <c r="AC48" s="160">
        <f>(52206*$A$9+2988*$A$6)/10</f>
        <v>76594.205879999994</v>
      </c>
      <c r="AD48" s="72"/>
      <c r="AE48" s="72"/>
      <c r="AF48" s="72"/>
      <c r="AG48" s="160">
        <f t="shared" ref="AG48" si="20">(52206*$A$9+2988*$A$6)/10</f>
        <v>76594.205879999994</v>
      </c>
      <c r="AI48" s="72"/>
      <c r="AJ48" s="160">
        <f t="shared" si="19"/>
        <v>76594.205879999994</v>
      </c>
      <c r="AK48" s="72"/>
      <c r="AL48" s="72"/>
      <c r="AM48" s="138">
        <f>(109170*$A$9)/5</f>
        <v>230920.75079999998</v>
      </c>
      <c r="AN48" s="138">
        <f>(109170*$A$9)/5</f>
        <v>230920.75079999998</v>
      </c>
      <c r="AO48" s="138">
        <f t="shared" ref="AO48:AQ48" si="21">(109170*$A$9)/5</f>
        <v>230920.75079999998</v>
      </c>
      <c r="AP48" s="138">
        <f t="shared" si="21"/>
        <v>230920.75079999998</v>
      </c>
      <c r="AQ48" s="138">
        <f t="shared" si="21"/>
        <v>230920.75079999998</v>
      </c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</row>
    <row r="49" spans="1:73" s="73" customFormat="1" x14ac:dyDescent="0.2">
      <c r="A49" s="69" t="s">
        <v>108</v>
      </c>
      <c r="B49" s="25" t="s">
        <v>109</v>
      </c>
      <c r="C49" s="120"/>
      <c r="D49" s="72"/>
      <c r="E49" s="72"/>
      <c r="F49" s="72"/>
      <c r="G49" s="72"/>
      <c r="H49" s="28"/>
      <c r="I49" s="72"/>
      <c r="J49" s="72"/>
      <c r="K49" s="138">
        <v>50531.25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</row>
    <row r="50" spans="1:73" s="71" customFormat="1" x14ac:dyDescent="0.2">
      <c r="A50" s="69" t="s">
        <v>36</v>
      </c>
      <c r="B50" s="25" t="s">
        <v>37</v>
      </c>
      <c r="C50" s="130"/>
      <c r="D50" s="24"/>
      <c r="E50" s="100">
        <f>1307.5*A6</f>
        <v>93555.809000000008</v>
      </c>
      <c r="F50" s="24"/>
      <c r="G50" s="24"/>
      <c r="H50" s="28"/>
      <c r="I50" s="24"/>
      <c r="J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</row>
    <row r="51" spans="1:73" s="71" customFormat="1" x14ac:dyDescent="0.2">
      <c r="A51" s="69" t="s">
        <v>86</v>
      </c>
      <c r="B51" s="25" t="s">
        <v>35</v>
      </c>
      <c r="C51" s="70"/>
      <c r="D51" s="77"/>
      <c r="E51" s="28"/>
      <c r="F51" s="24"/>
      <c r="G51" s="24"/>
      <c r="H51" s="28"/>
      <c r="I51" s="24"/>
      <c r="J51" s="24"/>
      <c r="K51" s="24"/>
      <c r="L51" s="24"/>
      <c r="M51" s="24"/>
      <c r="O51" s="24"/>
      <c r="P51" s="24"/>
      <c r="Q51" s="24"/>
      <c r="R51" s="100">
        <f>490*A6</f>
        <v>35061.067999999999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100">
        <f>(2850*$A$6)/2</f>
        <v>101963.31000000001</v>
      </c>
      <c r="AI51" s="24"/>
      <c r="AJ51" s="24"/>
      <c r="AK51" s="24"/>
      <c r="AL51" s="24"/>
      <c r="AM51" s="24"/>
      <c r="AN51" s="24"/>
      <c r="AO51" s="100">
        <f>(2850*$A$6)/2</f>
        <v>101963.31000000001</v>
      </c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</row>
    <row r="52" spans="1:73" s="71" customFormat="1" x14ac:dyDescent="0.2">
      <c r="A52" s="69" t="s">
        <v>29</v>
      </c>
      <c r="B52" s="25" t="s">
        <v>43</v>
      </c>
      <c r="C52" s="70">
        <f>439750-19750-25000-25000-25000</f>
        <v>345000</v>
      </c>
      <c r="D52" s="24"/>
      <c r="E52" s="24"/>
      <c r="F52" s="95">
        <v>25000</v>
      </c>
      <c r="G52" s="24"/>
      <c r="H52" s="28"/>
      <c r="I52" s="24"/>
      <c r="J52" s="24"/>
      <c r="K52" s="95">
        <v>25000</v>
      </c>
      <c r="L52" s="24"/>
      <c r="M52" s="95">
        <v>25000</v>
      </c>
      <c r="N52" s="24"/>
      <c r="P52" s="24"/>
      <c r="Q52" s="24"/>
      <c r="R52" s="95">
        <v>50000</v>
      </c>
      <c r="S52" s="95">
        <v>25000</v>
      </c>
      <c r="U52" s="95">
        <v>25000</v>
      </c>
      <c r="W52" s="24"/>
      <c r="X52" s="24"/>
      <c r="Y52" s="95">
        <v>25000</v>
      </c>
      <c r="Z52" s="24"/>
      <c r="AA52" s="24"/>
      <c r="AB52" s="24"/>
      <c r="AC52" s="95">
        <v>100000</v>
      </c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</row>
    <row r="53" spans="1:73" s="71" customFormat="1" x14ac:dyDescent="0.2">
      <c r="A53" s="69" t="s">
        <v>141</v>
      </c>
      <c r="B53" s="25" t="s">
        <v>142</v>
      </c>
      <c r="C53" s="7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100">
        <v>55053.72</v>
      </c>
      <c r="U53" s="24"/>
      <c r="V53" s="95">
        <f>50000+14750</f>
        <v>64750</v>
      </c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</row>
    <row r="54" spans="1:73" s="71" customFormat="1" x14ac:dyDescent="0.2">
      <c r="A54" s="69" t="s">
        <v>146</v>
      </c>
      <c r="B54" s="25" t="s">
        <v>147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100">
        <v>90000</v>
      </c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</row>
    <row r="55" spans="1:73" s="71" customFormat="1" x14ac:dyDescent="0.2">
      <c r="A55" s="69" t="s">
        <v>149</v>
      </c>
      <c r="B55" s="25" t="s">
        <v>148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8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</row>
    <row r="56" spans="1:73" s="71" customFormat="1" x14ac:dyDescent="0.2">
      <c r="A56" s="69" t="s">
        <v>124</v>
      </c>
      <c r="B56" s="25" t="s">
        <v>125</v>
      </c>
      <c r="C56" s="7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100">
        <v>203210</v>
      </c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</row>
    <row r="57" spans="1:73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100">
        <v>1524</v>
      </c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</row>
    <row r="58" spans="1:73" s="71" customFormat="1" x14ac:dyDescent="0.2">
      <c r="A58" s="69" t="s">
        <v>90</v>
      </c>
      <c r="B58" s="25" t="s">
        <v>91</v>
      </c>
      <c r="C58" s="70">
        <f>912000+1012000-100000-100000-75000-75000-75000-75000-75000-75000-75000</f>
        <v>1199000</v>
      </c>
      <c r="D58" s="77"/>
      <c r="E58" s="28"/>
      <c r="F58" s="129">
        <v>75000</v>
      </c>
      <c r="G58" s="129">
        <v>75000</v>
      </c>
      <c r="I58" s="24"/>
      <c r="J58" s="24"/>
      <c r="K58" s="129">
        <v>75000</v>
      </c>
      <c r="M58" s="24"/>
      <c r="N58" s="129">
        <v>75000</v>
      </c>
      <c r="P58" s="24"/>
      <c r="Q58" s="24"/>
      <c r="R58" s="129">
        <v>124000</v>
      </c>
      <c r="S58" s="24"/>
      <c r="T58" s="28"/>
      <c r="U58" s="129">
        <v>100000</v>
      </c>
      <c r="V58" s="129">
        <v>100000</v>
      </c>
      <c r="W58" s="24"/>
      <c r="X58" s="24"/>
      <c r="Y58" s="129">
        <v>100000</v>
      </c>
      <c r="Z58" s="24"/>
      <c r="AA58" s="129">
        <v>75000</v>
      </c>
      <c r="AB58" s="24"/>
      <c r="AC58" s="129">
        <v>100000</v>
      </c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</row>
    <row r="59" spans="1:73" s="71" customFormat="1" x14ac:dyDescent="0.2">
      <c r="A59" s="69" t="s">
        <v>144</v>
      </c>
      <c r="B59" s="25" t="s">
        <v>145</v>
      </c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</row>
    <row r="60" spans="1:73" s="71" customFormat="1" x14ac:dyDescent="0.2">
      <c r="A60" s="69" t="s">
        <v>138</v>
      </c>
      <c r="B60" s="25" t="s">
        <v>136</v>
      </c>
      <c r="C60" s="70"/>
      <c r="D60" s="77"/>
      <c r="E60" s="24"/>
      <c r="F60" s="24"/>
      <c r="G60" s="24"/>
      <c r="H60" s="100">
        <f>(4260*$A$6)/6</f>
        <v>50802.772000000004</v>
      </c>
      <c r="I60" s="24"/>
      <c r="J60" s="24"/>
      <c r="K60" s="100">
        <f t="shared" ref="K60:V60" si="22">(4260*$A$6)/6</f>
        <v>50802.772000000004</v>
      </c>
      <c r="M60" s="24"/>
      <c r="N60" s="100">
        <f t="shared" si="22"/>
        <v>50802.772000000004</v>
      </c>
      <c r="P60" s="24"/>
      <c r="Q60" s="24"/>
      <c r="R60" s="24"/>
      <c r="S60" s="24"/>
      <c r="T60" s="100">
        <f t="shared" si="22"/>
        <v>50802.772000000004</v>
      </c>
      <c r="U60" s="100">
        <f t="shared" si="22"/>
        <v>50802.772000000004</v>
      </c>
      <c r="V60" s="100">
        <f t="shared" si="22"/>
        <v>50802.772000000004</v>
      </c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</row>
    <row r="61" spans="1:73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</row>
    <row r="62" spans="1:73" s="71" customFormat="1" ht="12.75" customHeight="1" x14ac:dyDescent="0.2">
      <c r="A62" s="151" t="s">
        <v>139</v>
      </c>
      <c r="B62" s="152" t="s">
        <v>114</v>
      </c>
      <c r="C62" s="70">
        <f>1732500-693000</f>
        <v>1039500</v>
      </c>
      <c r="D62" s="77"/>
      <c r="E62" s="100">
        <v>200000</v>
      </c>
      <c r="G62" s="100">
        <v>100000</v>
      </c>
      <c r="I62" s="24"/>
      <c r="J62" s="24"/>
      <c r="K62" s="100">
        <v>100000</v>
      </c>
      <c r="L62" s="28"/>
      <c r="M62" s="100">
        <v>100000</v>
      </c>
      <c r="N62" s="24"/>
      <c r="O62" s="28"/>
      <c r="P62" s="24"/>
      <c r="Q62" s="24"/>
      <c r="R62" s="100">
        <v>100000</v>
      </c>
      <c r="S62" s="28"/>
      <c r="U62" s="24"/>
      <c r="V62" s="100">
        <v>200000</v>
      </c>
      <c r="W62" s="24"/>
      <c r="X62" s="24"/>
      <c r="Y62" s="100">
        <v>239000</v>
      </c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</row>
    <row r="63" spans="1:73" s="71" customFormat="1" x14ac:dyDescent="0.2">
      <c r="A63" s="69" t="s">
        <v>34</v>
      </c>
      <c r="B63" s="25" t="s">
        <v>45</v>
      </c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</row>
    <row r="64" spans="1:73" s="71" customFormat="1" x14ac:dyDescent="0.2">
      <c r="A64" s="69" t="s">
        <v>128</v>
      </c>
      <c r="B64" s="25" t="s">
        <v>129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</row>
    <row r="65" spans="1:73" s="71" customFormat="1" x14ac:dyDescent="0.2">
      <c r="A65" s="69" t="s">
        <v>101</v>
      </c>
      <c r="B65" s="25" t="s">
        <v>130</v>
      </c>
      <c r="C65" s="70">
        <f>110000-25000-25000-10000</f>
        <v>50000</v>
      </c>
      <c r="D65" s="77"/>
      <c r="E65" s="24"/>
      <c r="F65" s="108">
        <v>25000</v>
      </c>
      <c r="G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108">
        <f>100000/4</f>
        <v>25000</v>
      </c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</row>
    <row r="66" spans="1:73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</row>
    <row r="67" spans="1:73" s="71" customFormat="1" x14ac:dyDescent="0.2">
      <c r="A67" s="69" t="s">
        <v>38</v>
      </c>
      <c r="B67" s="25" t="s">
        <v>39</v>
      </c>
      <c r="C67" s="70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</row>
    <row r="68" spans="1:73" s="71" customFormat="1" x14ac:dyDescent="0.2">
      <c r="A68" s="69" t="s">
        <v>74</v>
      </c>
      <c r="B68" s="25" t="s">
        <v>131</v>
      </c>
      <c r="C68" s="70"/>
      <c r="D68" s="24"/>
      <c r="E68" s="24"/>
      <c r="F68" s="100">
        <f>80000/2</f>
        <v>40000</v>
      </c>
      <c r="G68" s="24"/>
      <c r="H68" s="143">
        <v>40000</v>
      </c>
      <c r="I68" s="24"/>
      <c r="J68" s="24"/>
      <c r="K68" s="100">
        <f>20000/2</f>
        <v>10000</v>
      </c>
      <c r="M68" s="24"/>
      <c r="N68" s="100">
        <v>12500</v>
      </c>
      <c r="P68" s="24"/>
      <c r="Q68" s="24"/>
      <c r="R68" s="100">
        <f>80000/2</f>
        <v>40000</v>
      </c>
      <c r="S68" s="24"/>
      <c r="T68" s="100">
        <v>15000</v>
      </c>
      <c r="U68" s="24"/>
      <c r="V68" s="100">
        <v>11667</v>
      </c>
      <c r="W68" s="24"/>
      <c r="X68" s="24"/>
      <c r="Y68" s="100">
        <f>7500+16500</f>
        <v>24000</v>
      </c>
      <c r="Z68" s="24"/>
      <c r="AA68" s="100">
        <f>20000/2</f>
        <v>10000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</row>
    <row r="69" spans="1:73" s="71" customFormat="1" x14ac:dyDescent="0.2">
      <c r="A69" s="69" t="s">
        <v>74</v>
      </c>
      <c r="B69" s="25" t="s">
        <v>150</v>
      </c>
      <c r="C69" s="164">
        <v>3567700</v>
      </c>
      <c r="D69" s="24"/>
      <c r="E69" s="24"/>
      <c r="F69" s="114"/>
      <c r="G69" s="11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</row>
    <row r="70" spans="1:73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</row>
    <row r="71" spans="1:73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</row>
    <row r="72" spans="1:73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</row>
    <row r="73" spans="1:73" s="5" customFormat="1" x14ac:dyDescent="0.2">
      <c r="A73" s="36" t="s">
        <v>49</v>
      </c>
      <c r="B73" s="12"/>
      <c r="C73" s="13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>
        <v>1400000</v>
      </c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</row>
    <row r="74" spans="1:73" s="5" customFormat="1" x14ac:dyDescent="0.2">
      <c r="A74" s="36" t="s">
        <v>57</v>
      </c>
      <c r="B74" s="12"/>
      <c r="C74" s="68"/>
      <c r="D74" s="26"/>
      <c r="F74" s="13"/>
      <c r="G74" s="13"/>
      <c r="H74" s="139">
        <f>1749467.21/0.77</f>
        <v>2272035.3376623373</v>
      </c>
      <c r="I74" s="13"/>
      <c r="J74" s="13"/>
      <c r="K74" s="139">
        <f>1933893.44/0.77</f>
        <v>2511549.9220779222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</row>
    <row r="75" spans="1:73" s="5" customFormat="1" x14ac:dyDescent="0.2">
      <c r="A75" s="36" t="s">
        <v>61</v>
      </c>
      <c r="B75" s="12"/>
      <c r="C75" s="13">
        <f>4600*$A$3</f>
        <v>396749.54</v>
      </c>
      <c r="D75" s="26"/>
      <c r="E75" s="13"/>
      <c r="F75" s="13"/>
      <c r="G75" s="13"/>
      <c r="H75" s="13"/>
      <c r="I75" s="13"/>
      <c r="J75" s="13"/>
      <c r="K75" s="139"/>
      <c r="L75" s="13"/>
      <c r="M75" s="13"/>
      <c r="N75" s="13"/>
      <c r="O75" s="13"/>
      <c r="P75" s="13"/>
      <c r="Q75" s="13"/>
      <c r="R75" s="13"/>
      <c r="S75" s="13"/>
      <c r="T75" s="13"/>
      <c r="U75" s="13">
        <f>4600*$A$3</f>
        <v>396749.54</v>
      </c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</row>
    <row r="76" spans="1:73" s="5" customFormat="1" x14ac:dyDescent="0.2">
      <c r="A76" s="42" t="s">
        <v>151</v>
      </c>
      <c r="B76" s="12"/>
      <c r="C76" s="68">
        <f>(10000*10)*A6</f>
        <v>7155320</v>
      </c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</row>
    <row r="77" spans="1:73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</row>
    <row r="78" spans="1:73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</row>
    <row r="79" spans="1:73" s="84" customFormat="1" x14ac:dyDescent="0.2">
      <c r="A79" s="81" t="s">
        <v>66</v>
      </c>
      <c r="B79" s="82"/>
      <c r="C79" s="63"/>
      <c r="D79" s="83"/>
      <c r="E79" s="83">
        <f>$C$5+E16-E26</f>
        <v>4314458.5010000002</v>
      </c>
      <c r="F79" s="83">
        <f t="shared" ref="F79:BP79" si="23">E79+F16-F26</f>
        <v>3950189.8343333337</v>
      </c>
      <c r="G79" s="83">
        <f t="shared" si="23"/>
        <v>2916302.9512164509</v>
      </c>
      <c r="H79" s="83">
        <f t="shared" si="23"/>
        <v>95311.334887446836</v>
      </c>
      <c r="I79" s="83">
        <f t="shared" si="23"/>
        <v>95311.334887446836</v>
      </c>
      <c r="J79" s="83">
        <f t="shared" si="23"/>
        <v>95311.334887446836</v>
      </c>
      <c r="K79" s="83">
        <f t="shared" si="23"/>
        <v>878365.58171861572</v>
      </c>
      <c r="L79" s="83">
        <f t="shared" si="23"/>
        <v>688604.08171861572</v>
      </c>
      <c r="M79" s="83">
        <f t="shared" si="23"/>
        <v>42612.581718615722</v>
      </c>
      <c r="N79" s="83">
        <f t="shared" si="23"/>
        <v>-475870.02361471759</v>
      </c>
      <c r="O79" s="83">
        <f t="shared" si="23"/>
        <v>-475870.02361471759</v>
      </c>
      <c r="P79" s="83">
        <f t="shared" si="23"/>
        <v>-475870.02361471759</v>
      </c>
      <c r="Q79" s="83">
        <f t="shared" si="23"/>
        <v>-475870.02361471759</v>
      </c>
      <c r="R79" s="83">
        <f t="shared" si="23"/>
        <v>298466.59020346426</v>
      </c>
      <c r="S79" s="83">
        <f t="shared" si="23"/>
        <v>118140.38432346427</v>
      </c>
      <c r="T79" s="83">
        <f t="shared" si="23"/>
        <v>-187243.86735653572</v>
      </c>
      <c r="U79" s="83">
        <f t="shared" si="23"/>
        <v>5511045.4285016451</v>
      </c>
      <c r="V79" s="83">
        <f t="shared" si="23"/>
        <v>4298785.2783780089</v>
      </c>
      <c r="W79" s="83">
        <f t="shared" si="23"/>
        <v>4298785.2783780089</v>
      </c>
      <c r="X79" s="83">
        <f t="shared" si="23"/>
        <v>4298785.2783780089</v>
      </c>
      <c r="Y79" s="83">
        <f t="shared" si="23"/>
        <v>3410482.1853646757</v>
      </c>
      <c r="Z79" s="83">
        <f t="shared" si="23"/>
        <v>3032736.4256846756</v>
      </c>
      <c r="AA79" s="83">
        <f t="shared" si="23"/>
        <v>2583619.816471342</v>
      </c>
      <c r="AB79" s="83">
        <f t="shared" si="23"/>
        <v>2361688.8143670997</v>
      </c>
      <c r="AC79" s="83">
        <f t="shared" si="23"/>
        <v>1813001.5154737663</v>
      </c>
      <c r="AD79" s="83">
        <f t="shared" si="23"/>
        <v>1813001.5154737663</v>
      </c>
      <c r="AE79" s="83">
        <f t="shared" si="23"/>
        <v>1813001.5154737663</v>
      </c>
      <c r="AF79" s="83">
        <f t="shared" si="23"/>
        <v>1315655.4224604329</v>
      </c>
      <c r="AG79" s="83">
        <f t="shared" si="23"/>
        <v>1029653.3232470993</v>
      </c>
      <c r="AH79" s="83">
        <f t="shared" si="23"/>
        <v>579588.56173376599</v>
      </c>
      <c r="AI79" s="83">
        <f t="shared" si="23"/>
        <v>-310279.15644805226</v>
      </c>
      <c r="AJ79" s="83">
        <f t="shared" si="23"/>
        <v>-530678.18050987041</v>
      </c>
      <c r="AK79" s="83">
        <f t="shared" si="23"/>
        <v>-530678.18050987041</v>
      </c>
      <c r="AL79" s="83">
        <f t="shared" si="23"/>
        <v>-530678.18050987041</v>
      </c>
      <c r="AM79" s="83">
        <f t="shared" si="23"/>
        <v>-946126.69098987035</v>
      </c>
      <c r="AN79" s="83">
        <f t="shared" si="23"/>
        <v>1642403.8215283118</v>
      </c>
      <c r="AO79" s="83">
        <f t="shared" si="23"/>
        <v>992087.24136831181</v>
      </c>
      <c r="AP79" s="83">
        <f t="shared" si="23"/>
        <v>484456.91270649369</v>
      </c>
      <c r="AQ79" s="83">
        <f t="shared" si="23"/>
        <v>69008.402226493752</v>
      </c>
      <c r="AR79" s="83">
        <f t="shared" si="23"/>
        <v>69008.402226493752</v>
      </c>
      <c r="AS79" s="83">
        <f t="shared" si="23"/>
        <v>69008.402226493752</v>
      </c>
      <c r="AT79" s="83">
        <f t="shared" si="23"/>
        <v>-1842632.3574535064</v>
      </c>
      <c r="AU79" s="83">
        <f t="shared" si="23"/>
        <v>-1986437.1756353246</v>
      </c>
      <c r="AV79" s="83">
        <f t="shared" si="23"/>
        <v>-2038060.1756353246</v>
      </c>
      <c r="AW79" s="83">
        <f t="shared" si="23"/>
        <v>-2038060.1756353246</v>
      </c>
      <c r="AX79" s="83">
        <f t="shared" si="23"/>
        <v>-2038060.1756353246</v>
      </c>
      <c r="AY79" s="83">
        <f t="shared" si="23"/>
        <v>-2038060.1756353246</v>
      </c>
      <c r="AZ79" s="83">
        <f t="shared" si="23"/>
        <v>-2038060.1756353246</v>
      </c>
      <c r="BA79" s="83">
        <f t="shared" si="23"/>
        <v>-2038060.1756353246</v>
      </c>
      <c r="BB79" s="83">
        <f t="shared" si="23"/>
        <v>-2038060.1756353246</v>
      </c>
      <c r="BC79" s="83">
        <f t="shared" si="23"/>
        <v>-2038060.1756353246</v>
      </c>
      <c r="BD79" s="83">
        <f t="shared" si="23"/>
        <v>-2038060.1756353246</v>
      </c>
      <c r="BE79" s="83">
        <f t="shared" si="23"/>
        <v>-2038060.1756353246</v>
      </c>
      <c r="BF79" s="83">
        <f t="shared" si="23"/>
        <v>-2038060.1756353246</v>
      </c>
      <c r="BG79" s="83">
        <f t="shared" si="23"/>
        <v>-2038060.1756353246</v>
      </c>
      <c r="BH79" s="83">
        <f t="shared" si="23"/>
        <v>-2038060.1756353246</v>
      </c>
      <c r="BI79" s="83">
        <f t="shared" si="23"/>
        <v>-2038060.1756353246</v>
      </c>
      <c r="BJ79" s="83">
        <f t="shared" si="23"/>
        <v>-2038060.1756353246</v>
      </c>
      <c r="BK79" s="83">
        <f t="shared" si="23"/>
        <v>-2038060.1756353246</v>
      </c>
      <c r="BL79" s="83">
        <f t="shared" si="23"/>
        <v>-2038060.1756353246</v>
      </c>
      <c r="BM79" s="83">
        <f t="shared" si="23"/>
        <v>-2038060.1756353246</v>
      </c>
      <c r="BN79" s="83">
        <f t="shared" si="23"/>
        <v>-2038060.1756353246</v>
      </c>
      <c r="BO79" s="83">
        <f t="shared" si="23"/>
        <v>286373.36436467536</v>
      </c>
      <c r="BP79" s="83">
        <f t="shared" si="23"/>
        <v>286373.36436467536</v>
      </c>
      <c r="BQ79" s="83">
        <f t="shared" ref="BQ79:BU79" si="24">BP79+BQ16-BQ26</f>
        <v>286373.36436467536</v>
      </c>
      <c r="BR79" s="83">
        <f t="shared" si="24"/>
        <v>286373.36436467536</v>
      </c>
      <c r="BS79" s="83">
        <f t="shared" si="24"/>
        <v>286373.36436467536</v>
      </c>
      <c r="BT79" s="83">
        <f t="shared" si="24"/>
        <v>286373.36436467536</v>
      </c>
      <c r="BU79" s="83">
        <f t="shared" si="24"/>
        <v>286373.36436467536</v>
      </c>
    </row>
    <row r="81" spans="1:73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</row>
    <row r="82" spans="1:73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</row>
    <row r="83" spans="1:73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</row>
    <row r="84" spans="1:73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</row>
    <row r="85" spans="1:73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</row>
    <row r="86" spans="1:73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</row>
    <row r="88" spans="1:73" x14ac:dyDescent="0.25">
      <c r="B88" s="14"/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8"/>
  <sheetViews>
    <sheetView topLeftCell="B13" workbookViewId="0">
      <selection activeCell="I31" sqref="I31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2" style="3" customWidth="1"/>
    <col min="6" max="6" width="14.5703125" style="3" customWidth="1"/>
    <col min="7" max="7" width="11.85546875" style="3" customWidth="1"/>
    <col min="8" max="8" width="12.42578125" style="3" customWidth="1"/>
    <col min="9" max="9" width="14.85546875" style="3" customWidth="1"/>
    <col min="10" max="10" width="13" style="3" customWidth="1"/>
    <col min="11" max="11" width="12.7109375" style="3" customWidth="1"/>
    <col min="12" max="12" width="11.85546875" style="3" customWidth="1"/>
    <col min="13" max="13" width="13.140625" style="3" customWidth="1"/>
    <col min="14" max="14" width="11.7109375" style="3" customWidth="1"/>
    <col min="15" max="15" width="12.5703125" style="3" customWidth="1"/>
    <col min="16" max="16" width="15.7109375" style="3" customWidth="1"/>
    <col min="17" max="17" width="12.7109375" style="3" customWidth="1"/>
    <col min="18" max="19" width="12.85546875" style="3" customWidth="1"/>
    <col min="20" max="21" width="11.85546875" style="3" customWidth="1"/>
    <col min="22" max="22" width="13" style="3" customWidth="1"/>
    <col min="23" max="23" width="12.28515625" style="3" customWidth="1"/>
    <col min="24" max="24" width="12.140625" style="3" customWidth="1"/>
    <col min="25" max="25" width="11.140625" style="3" customWidth="1"/>
    <col min="26" max="26" width="12.7109375" style="3" customWidth="1"/>
    <col min="27" max="27" width="11.140625" style="3" customWidth="1"/>
    <col min="28" max="28" width="11.7109375" style="3" customWidth="1"/>
    <col min="29" max="29" width="11.5703125" style="3" customWidth="1"/>
    <col min="30" max="31" width="10.85546875" style="3" customWidth="1"/>
    <col min="32" max="32" width="12.85546875" style="3" customWidth="1"/>
    <col min="33" max="33" width="12" style="3" customWidth="1"/>
    <col min="34" max="34" width="11.140625" style="3" customWidth="1"/>
    <col min="35" max="35" width="12.7109375" style="3" customWidth="1"/>
    <col min="36" max="36" width="11.42578125" style="3" customWidth="1"/>
    <col min="37" max="37" width="11.7109375" style="3" customWidth="1"/>
    <col min="38" max="38" width="10.5703125" style="3" customWidth="1"/>
    <col min="39" max="39" width="12" style="3" customWidth="1"/>
    <col min="40" max="40" width="11.140625" style="3" customWidth="1"/>
    <col min="41" max="41" width="10.42578125" style="3" customWidth="1"/>
    <col min="42" max="42" width="10.28515625" style="3" bestFit="1" customWidth="1"/>
    <col min="43" max="43" width="10.42578125" style="3" customWidth="1"/>
    <col min="44" max="44" width="12.5703125" style="3" customWidth="1"/>
    <col min="45" max="45" width="13.28515625" style="3" customWidth="1"/>
    <col min="46" max="46" width="12.140625" style="3" customWidth="1"/>
    <col min="47" max="47" width="12.42578125" style="3" customWidth="1"/>
    <col min="48" max="48" width="12.28515625" style="3" customWidth="1"/>
    <col min="49" max="49" width="10.28515625" style="3" customWidth="1"/>
    <col min="50" max="50" width="11.28515625" style="3" customWidth="1"/>
    <col min="51" max="51" width="11.85546875" style="3" customWidth="1"/>
    <col min="52" max="52" width="12.28515625" style="3" customWidth="1"/>
    <col min="53" max="53" width="11.140625" style="3" customWidth="1"/>
    <col min="54" max="54" width="10.5703125" style="3" customWidth="1"/>
    <col min="55" max="55" width="10.85546875" style="3" customWidth="1"/>
    <col min="56" max="56" width="12" style="3" customWidth="1"/>
    <col min="57" max="57" width="10" style="3" customWidth="1"/>
    <col min="58" max="58" width="11.140625" style="3" customWidth="1"/>
    <col min="59" max="59" width="12.5703125" style="3" customWidth="1"/>
    <col min="60" max="60" width="12.140625" style="3" customWidth="1"/>
    <col min="61" max="61" width="12.42578125" style="3" customWidth="1"/>
    <col min="62" max="62" width="12" style="3" customWidth="1"/>
    <col min="63" max="63" width="14.85546875" style="3" customWidth="1"/>
    <col min="64" max="64" width="11.5703125" style="3" customWidth="1"/>
    <col min="65" max="65" width="13.7109375" style="3" customWidth="1"/>
    <col min="66" max="66" width="12.42578125" style="3" customWidth="1"/>
    <col min="67" max="67" width="10.85546875" style="3" customWidth="1"/>
    <col min="68" max="68" width="12.140625" style="3" customWidth="1"/>
    <col min="69" max="69" width="11.85546875" style="3" customWidth="1"/>
    <col min="70" max="70" width="12.7109375" style="3" customWidth="1"/>
    <col min="71" max="71" width="12.42578125" style="3" customWidth="1"/>
    <col min="72" max="72" width="11.140625" style="3" customWidth="1"/>
    <col min="73" max="73" width="11.5703125" style="3" customWidth="1"/>
    <col min="74" max="74" width="12.28515625" style="3" customWidth="1"/>
    <col min="75" max="16384" width="9" style="3"/>
  </cols>
  <sheetData>
    <row r="1" spans="1:74" ht="12" thickBot="1" x14ac:dyDescent="0.3"/>
    <row r="2" spans="1:74" s="1" customFormat="1" x14ac:dyDescent="0.2">
      <c r="A2" s="43" t="s">
        <v>50</v>
      </c>
      <c r="B2" s="15" t="s">
        <v>27</v>
      </c>
      <c r="C2" s="50">
        <v>999246.36</v>
      </c>
    </row>
    <row r="3" spans="1:74" s="1" customFormat="1" ht="12" thickBot="1" x14ac:dyDescent="0.25">
      <c r="A3" s="44">
        <v>83.6892</v>
      </c>
      <c r="B3" s="15" t="s">
        <v>28</v>
      </c>
      <c r="C3" s="50">
        <v>10778.95</v>
      </c>
    </row>
    <row r="4" spans="1:74" s="8" customFormat="1" ht="12" thickBot="1" x14ac:dyDescent="0.25">
      <c r="A4" s="45"/>
      <c r="B4" s="15" t="s">
        <v>25</v>
      </c>
      <c r="C4" s="51">
        <v>0</v>
      </c>
    </row>
    <row r="5" spans="1:74" s="6" customFormat="1" x14ac:dyDescent="0.2">
      <c r="A5" s="43" t="s">
        <v>51</v>
      </c>
      <c r="B5" s="49" t="s">
        <v>26</v>
      </c>
      <c r="C5" s="52">
        <f>SUM(C2:C4)</f>
        <v>1010025.3099999999</v>
      </c>
    </row>
    <row r="6" spans="1:74" s="6" customFormat="1" ht="12" thickBot="1" x14ac:dyDescent="0.25">
      <c r="A6" s="44">
        <v>71.371499999999997</v>
      </c>
      <c r="B6" s="16"/>
      <c r="C6" s="53"/>
      <c r="D6" s="17"/>
    </row>
    <row r="7" spans="1:74" s="6" customFormat="1" ht="12" thickBot="1" x14ac:dyDescent="0.25">
      <c r="A7" s="105" t="s">
        <v>51</v>
      </c>
      <c r="B7" s="18" t="s">
        <v>127</v>
      </c>
      <c r="C7" s="54">
        <f>SUM(16:16)</f>
        <v>28058321.652799997</v>
      </c>
    </row>
    <row r="8" spans="1:74" x14ac:dyDescent="0.25">
      <c r="A8" s="43" t="s">
        <v>52</v>
      </c>
      <c r="B8" s="18" t="s">
        <v>126</v>
      </c>
      <c r="C8" s="54">
        <f>SUM(26:26)</f>
        <v>51856607.321733594</v>
      </c>
    </row>
    <row r="9" spans="1:74" ht="12" thickBot="1" x14ac:dyDescent="0.3">
      <c r="A9" s="44">
        <v>10.448700000000001</v>
      </c>
      <c r="B9" s="19" t="s">
        <v>64</v>
      </c>
      <c r="C9" s="55">
        <f>C5+C7-C8-C11</f>
        <v>-46950430.460253596</v>
      </c>
    </row>
    <row r="10" spans="1:74" x14ac:dyDescent="0.25">
      <c r="A10" s="99" t="s">
        <v>80</v>
      </c>
      <c r="B10" s="18" t="s">
        <v>23</v>
      </c>
      <c r="C10" s="56">
        <f>C16</f>
        <v>0</v>
      </c>
    </row>
    <row r="11" spans="1:74" x14ac:dyDescent="0.25">
      <c r="A11" s="101" t="s">
        <v>87</v>
      </c>
      <c r="B11" s="18" t="s">
        <v>24</v>
      </c>
      <c r="C11" s="54">
        <f>C26</f>
        <v>24162170.101319999</v>
      </c>
    </row>
    <row r="12" spans="1:74" x14ac:dyDescent="0.25">
      <c r="A12" s="107" t="s">
        <v>88</v>
      </c>
    </row>
    <row r="13" spans="1:74" x14ac:dyDescent="0.25">
      <c r="A13" s="38"/>
      <c r="B13" s="10"/>
      <c r="C13" s="57"/>
      <c r="D13" s="10"/>
    </row>
    <row r="14" spans="1:74" s="2" customFormat="1" x14ac:dyDescent="0.25">
      <c r="A14" s="64"/>
      <c r="B14" s="65"/>
      <c r="C14" s="58" t="s">
        <v>56</v>
      </c>
      <c r="D14" s="66"/>
      <c r="E14" s="66">
        <v>46174</v>
      </c>
      <c r="F14" s="66">
        <v>46175</v>
      </c>
      <c r="G14" s="66">
        <v>46176</v>
      </c>
      <c r="H14" s="66">
        <v>46177</v>
      </c>
      <c r="I14" s="66">
        <v>46178</v>
      </c>
      <c r="J14" s="66">
        <v>46179</v>
      </c>
      <c r="K14" s="66">
        <v>46180</v>
      </c>
      <c r="L14" s="66">
        <v>46181</v>
      </c>
      <c r="M14" s="66">
        <v>46182</v>
      </c>
      <c r="N14" s="66">
        <v>46183</v>
      </c>
      <c r="O14" s="66">
        <v>46184</v>
      </c>
      <c r="P14" s="66">
        <v>46185</v>
      </c>
      <c r="Q14" s="66">
        <v>46186</v>
      </c>
      <c r="R14" s="66">
        <v>46187</v>
      </c>
      <c r="S14" s="66">
        <v>46188</v>
      </c>
      <c r="T14" s="66">
        <v>46189</v>
      </c>
      <c r="U14" s="66">
        <v>46190</v>
      </c>
      <c r="V14" s="66">
        <v>46191</v>
      </c>
      <c r="W14" s="66">
        <v>46192</v>
      </c>
      <c r="X14" s="66">
        <v>46193</v>
      </c>
      <c r="Y14" s="66">
        <v>46194</v>
      </c>
      <c r="Z14" s="66">
        <v>46195</v>
      </c>
      <c r="AA14" s="66">
        <v>46196</v>
      </c>
      <c r="AB14" s="66">
        <v>46197</v>
      </c>
      <c r="AC14" s="66">
        <v>46198</v>
      </c>
      <c r="AD14" s="66">
        <v>46199</v>
      </c>
      <c r="AE14" s="66">
        <v>46200</v>
      </c>
      <c r="AF14" s="66">
        <v>46201</v>
      </c>
      <c r="AG14" s="66">
        <v>46202</v>
      </c>
      <c r="AH14" s="66">
        <v>46203</v>
      </c>
      <c r="AI14" s="66">
        <v>46204</v>
      </c>
      <c r="AJ14" s="66">
        <v>46205</v>
      </c>
      <c r="AK14" s="66">
        <v>46206</v>
      </c>
      <c r="AL14" s="66">
        <v>46207</v>
      </c>
      <c r="AM14" s="66">
        <v>46208</v>
      </c>
      <c r="AN14" s="66">
        <v>46209</v>
      </c>
      <c r="AO14" s="66">
        <v>46210</v>
      </c>
      <c r="AP14" s="66">
        <v>46211</v>
      </c>
      <c r="AQ14" s="66">
        <v>46212</v>
      </c>
      <c r="AR14" s="66">
        <v>46213</v>
      </c>
      <c r="AS14" s="66">
        <v>46214</v>
      </c>
      <c r="AT14" s="66">
        <v>46215</v>
      </c>
      <c r="AU14" s="66">
        <v>46216</v>
      </c>
      <c r="AV14" s="66">
        <v>46217</v>
      </c>
      <c r="AW14" s="66">
        <v>46218</v>
      </c>
      <c r="AX14" s="66">
        <v>46219</v>
      </c>
      <c r="AY14" s="66">
        <v>46220</v>
      </c>
      <c r="AZ14" s="66">
        <v>46221</v>
      </c>
      <c r="BA14" s="66">
        <v>46222</v>
      </c>
      <c r="BB14" s="66">
        <v>46223</v>
      </c>
      <c r="BC14" s="66">
        <v>46224</v>
      </c>
      <c r="BD14" s="66">
        <v>46225</v>
      </c>
      <c r="BE14" s="66">
        <v>46226</v>
      </c>
      <c r="BF14" s="66">
        <v>46227</v>
      </c>
      <c r="BG14" s="66">
        <v>46228</v>
      </c>
      <c r="BH14" s="66">
        <v>46229</v>
      </c>
      <c r="BI14" s="66">
        <v>46230</v>
      </c>
      <c r="BJ14" s="66">
        <v>46231</v>
      </c>
      <c r="BK14" s="66">
        <v>46232</v>
      </c>
      <c r="BL14" s="66">
        <v>46233</v>
      </c>
      <c r="BM14" s="66">
        <v>46234</v>
      </c>
      <c r="BN14" s="66">
        <v>46235</v>
      </c>
      <c r="BO14" s="66">
        <v>46236</v>
      </c>
      <c r="BP14" s="66">
        <v>46237</v>
      </c>
      <c r="BQ14" s="66">
        <v>46238</v>
      </c>
      <c r="BR14" s="66">
        <v>46239</v>
      </c>
      <c r="BS14" s="66">
        <v>46240</v>
      </c>
      <c r="BT14" s="66">
        <v>46241</v>
      </c>
      <c r="BU14" s="66">
        <v>46242</v>
      </c>
      <c r="BV14" s="66">
        <v>46243</v>
      </c>
    </row>
    <row r="15" spans="1:74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</row>
    <row r="16" spans="1:74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M16" si="0">SUM(E17:E25)</f>
        <v>2650000</v>
      </c>
      <c r="F16" s="29">
        <f t="shared" si="0"/>
        <v>0</v>
      </c>
      <c r="G16" s="29">
        <f t="shared" si="0"/>
        <v>1500000</v>
      </c>
      <c r="H16" s="29">
        <f t="shared" si="0"/>
        <v>0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3929122</v>
      </c>
      <c r="M16" s="29">
        <f t="shared" si="0"/>
        <v>0</v>
      </c>
      <c r="N16" s="29">
        <f t="shared" si="0"/>
        <v>1000000</v>
      </c>
      <c r="O16" s="29">
        <f t="shared" si="0"/>
        <v>0</v>
      </c>
      <c r="P16" s="135">
        <f t="shared" si="0"/>
        <v>0</v>
      </c>
      <c r="Q16" s="135">
        <f t="shared" si="0"/>
        <v>0</v>
      </c>
      <c r="R16" s="135">
        <f t="shared" si="0"/>
        <v>0</v>
      </c>
      <c r="S16" s="29">
        <f t="shared" si="0"/>
        <v>2000000</v>
      </c>
      <c r="T16" s="29">
        <f t="shared" si="0"/>
        <v>0</v>
      </c>
      <c r="U16" s="29">
        <f t="shared" si="0"/>
        <v>0</v>
      </c>
      <c r="V16" s="29">
        <f t="shared" si="0"/>
        <v>8041193.0927999998</v>
      </c>
      <c r="W16" s="29">
        <f t="shared" si="0"/>
        <v>0</v>
      </c>
      <c r="X16" s="135">
        <f t="shared" si="0"/>
        <v>0</v>
      </c>
      <c r="Y16" s="135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0</v>
      </c>
      <c r="AF16" s="135">
        <f t="shared" si="0"/>
        <v>0</v>
      </c>
      <c r="AG16" s="135">
        <f t="shared" si="0"/>
        <v>0</v>
      </c>
      <c r="AH16" s="29">
        <f t="shared" si="0"/>
        <v>2979335.52</v>
      </c>
      <c r="AI16" s="29">
        <f t="shared" si="0"/>
        <v>0</v>
      </c>
      <c r="AJ16" s="29">
        <f t="shared" si="0"/>
        <v>0</v>
      </c>
      <c r="AK16" s="29">
        <f t="shared" si="0"/>
        <v>0</v>
      </c>
      <c r="AL16" s="135">
        <f t="shared" si="0"/>
        <v>0</v>
      </c>
      <c r="AM16" s="135">
        <f t="shared" si="0"/>
        <v>0</v>
      </c>
      <c r="AN16" s="29">
        <f t="shared" si="0"/>
        <v>0</v>
      </c>
      <c r="AO16" s="29">
        <f t="shared" si="0"/>
        <v>2979335.52</v>
      </c>
      <c r="AP16" s="29">
        <f t="shared" si="0"/>
        <v>0</v>
      </c>
      <c r="AQ16" s="29">
        <f t="shared" si="0"/>
        <v>0</v>
      </c>
      <c r="AR16" s="29">
        <f t="shared" si="0"/>
        <v>0</v>
      </c>
      <c r="AS16" s="135">
        <f t="shared" si="0"/>
        <v>0</v>
      </c>
      <c r="AT16" s="135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29">
        <f t="shared" si="0"/>
        <v>0</v>
      </c>
      <c r="AZ16" s="135">
        <f t="shared" si="0"/>
        <v>0</v>
      </c>
      <c r="BA16" s="135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29">
        <f t="shared" si="0"/>
        <v>0</v>
      </c>
      <c r="BG16" s="135">
        <f t="shared" si="0"/>
        <v>0</v>
      </c>
      <c r="BH16" s="135">
        <f t="shared" si="0"/>
        <v>0</v>
      </c>
      <c r="BI16" s="29">
        <f t="shared" si="0"/>
        <v>0</v>
      </c>
      <c r="BJ16" s="29">
        <f t="shared" si="0"/>
        <v>0</v>
      </c>
      <c r="BK16" s="29">
        <f t="shared" si="0"/>
        <v>0</v>
      </c>
      <c r="BL16" s="29">
        <f t="shared" si="0"/>
        <v>0</v>
      </c>
      <c r="BM16" s="29">
        <f t="shared" si="0"/>
        <v>0</v>
      </c>
      <c r="BN16" s="135">
        <f t="shared" ref="BN16:BV16" si="1">SUM(BN17:BN25)</f>
        <v>0</v>
      </c>
      <c r="BO16" s="135">
        <f t="shared" si="1"/>
        <v>0</v>
      </c>
      <c r="BP16" s="29">
        <f t="shared" si="1"/>
        <v>2979335.52</v>
      </c>
      <c r="BQ16" s="29">
        <f t="shared" si="1"/>
        <v>0</v>
      </c>
      <c r="BR16" s="29">
        <f t="shared" si="1"/>
        <v>0</v>
      </c>
      <c r="BS16" s="29">
        <f t="shared" si="1"/>
        <v>0</v>
      </c>
      <c r="BT16" s="29">
        <f t="shared" si="1"/>
        <v>0</v>
      </c>
      <c r="BU16" s="29">
        <f t="shared" si="1"/>
        <v>0</v>
      </c>
      <c r="BV16" s="29">
        <f t="shared" si="1"/>
        <v>0</v>
      </c>
    </row>
    <row r="17" spans="1:74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</row>
    <row r="18" spans="1:74" s="80" customFormat="1" x14ac:dyDescent="0.25">
      <c r="A18" s="40" t="s">
        <v>9</v>
      </c>
      <c r="B18" s="21"/>
      <c r="C18" s="59"/>
      <c r="D18" s="30"/>
      <c r="E18" s="31">
        <f>5300000/2</f>
        <v>2650000</v>
      </c>
      <c r="F18" s="30"/>
      <c r="G18" s="30">
        <v>1500000</v>
      </c>
      <c r="H18" s="30"/>
      <c r="I18" s="30"/>
      <c r="J18" s="30"/>
      <c r="K18" s="30"/>
      <c r="L18" s="30">
        <v>1000000</v>
      </c>
      <c r="M18" s="30"/>
      <c r="N18" s="30">
        <v>1000000</v>
      </c>
      <c r="O18" s="30"/>
      <c r="P18" s="30"/>
      <c r="Q18" s="30"/>
      <c r="R18" s="30"/>
      <c r="S18" s="30">
        <v>2000000</v>
      </c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</row>
    <row r="19" spans="1:74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</row>
    <row r="20" spans="1:74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</row>
    <row r="21" spans="1:74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</row>
    <row r="22" spans="1:74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</row>
    <row r="23" spans="1:74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>
        <f>96084*A3</f>
        <v>8041193.0927999998</v>
      </c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</row>
    <row r="24" spans="1:74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>
        <f>35000*A3</f>
        <v>2929122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H24" s="30">
        <f>35600*A3</f>
        <v>2979335.52</v>
      </c>
      <c r="AI24" s="30"/>
      <c r="AJ24" s="30"/>
      <c r="AK24" s="30"/>
      <c r="AL24" s="30"/>
      <c r="AM24" s="30"/>
      <c r="AN24" s="30"/>
      <c r="AO24" s="30">
        <f>35600*A3</f>
        <v>2979335.52</v>
      </c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165">
        <f>35600*A3</f>
        <v>2979335.52</v>
      </c>
      <c r="BQ24" s="30"/>
      <c r="BR24" s="30"/>
      <c r="BS24" s="30"/>
      <c r="BT24" s="30"/>
      <c r="BU24" s="30"/>
      <c r="BV24" s="30"/>
    </row>
    <row r="25" spans="1:74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</row>
    <row r="26" spans="1:74" s="4" customFormat="1" x14ac:dyDescent="0.2">
      <c r="A26" s="41" t="s">
        <v>1</v>
      </c>
      <c r="B26" s="22"/>
      <c r="C26" s="34">
        <f>SUM(C28:C77)</f>
        <v>24162170.101319999</v>
      </c>
      <c r="D26" s="34"/>
      <c r="E26" s="34">
        <f t="shared" ref="E26:BM26" si="2">SUM(E27:E78)</f>
        <v>2693947.6709956708</v>
      </c>
      <c r="F26" s="34">
        <f t="shared" si="2"/>
        <v>829479.93125000002</v>
      </c>
      <c r="G26" s="34">
        <f t="shared" si="2"/>
        <v>364268.66666666669</v>
      </c>
      <c r="H26" s="34">
        <f t="shared" si="2"/>
        <v>121970</v>
      </c>
      <c r="I26" s="34">
        <f t="shared" si="2"/>
        <v>891009.08984848484</v>
      </c>
      <c r="J26" s="34">
        <f t="shared" si="2"/>
        <v>0</v>
      </c>
      <c r="K26" s="34">
        <f t="shared" si="2"/>
        <v>0</v>
      </c>
      <c r="L26" s="34">
        <f t="shared" si="2"/>
        <v>3316654.1552597405</v>
      </c>
      <c r="M26" s="34">
        <f t="shared" si="2"/>
        <v>264435.26500000001</v>
      </c>
      <c r="N26" s="34">
        <f t="shared" si="2"/>
        <v>1079470.083181818</v>
      </c>
      <c r="O26" s="34">
        <f t="shared" si="2"/>
        <v>808625.63333333342</v>
      </c>
      <c r="P26" s="34">
        <f t="shared" si="2"/>
        <v>0</v>
      </c>
      <c r="Q26" s="34">
        <f t="shared" si="2"/>
        <v>0</v>
      </c>
      <c r="R26" s="34">
        <f t="shared" si="2"/>
        <v>0</v>
      </c>
      <c r="S26" s="34">
        <f t="shared" si="2"/>
        <v>1165602.3181818181</v>
      </c>
      <c r="T26" s="34">
        <f t="shared" si="2"/>
        <v>179606.28742000001</v>
      </c>
      <c r="U26" s="34">
        <f t="shared" si="2"/>
        <v>352979.26367999997</v>
      </c>
      <c r="V26" s="34">
        <f t="shared" si="2"/>
        <v>2139071.6492818184</v>
      </c>
      <c r="W26" s="34">
        <f t="shared" si="2"/>
        <v>955391.30620363634</v>
      </c>
      <c r="X26" s="34">
        <f t="shared" si="2"/>
        <v>0</v>
      </c>
      <c r="Y26" s="34">
        <f t="shared" si="2"/>
        <v>0</v>
      </c>
      <c r="Z26" s="34">
        <f t="shared" si="2"/>
        <v>573700.87701333337</v>
      </c>
      <c r="AA26" s="34">
        <f t="shared" si="2"/>
        <v>336143.54368</v>
      </c>
      <c r="AB26" s="34">
        <f t="shared" si="2"/>
        <v>384782.01571333339</v>
      </c>
      <c r="AC26" s="34">
        <f t="shared" si="2"/>
        <v>174237.87701333335</v>
      </c>
      <c r="AD26" s="34">
        <f t="shared" si="2"/>
        <v>446365.16443333332</v>
      </c>
      <c r="AE26" s="34">
        <f t="shared" si="2"/>
        <v>0</v>
      </c>
      <c r="AF26" s="34">
        <f t="shared" si="2"/>
        <v>0</v>
      </c>
      <c r="AG26" s="34">
        <f t="shared" si="2"/>
        <v>495743.87701333332</v>
      </c>
      <c r="AH26" s="34">
        <f t="shared" si="2"/>
        <v>3487081.1644333336</v>
      </c>
      <c r="AI26" s="34">
        <f t="shared" si="2"/>
        <v>656603.72326333332</v>
      </c>
      <c r="AJ26" s="34">
        <f t="shared" si="2"/>
        <v>928988.44368000003</v>
      </c>
      <c r="AK26" s="34">
        <f t="shared" si="2"/>
        <v>219679.10560181818</v>
      </c>
      <c r="AL26" s="34">
        <f t="shared" si="2"/>
        <v>0</v>
      </c>
      <c r="AM26" s="34">
        <f t="shared" si="2"/>
        <v>0</v>
      </c>
      <c r="AN26" s="34">
        <f t="shared" si="2"/>
        <v>1323610.12268</v>
      </c>
      <c r="AO26" s="34">
        <f t="shared" si="2"/>
        <v>143804.81818181818</v>
      </c>
      <c r="AP26" s="34">
        <f t="shared" si="2"/>
        <v>314228.08736</v>
      </c>
      <c r="AQ26" s="34">
        <f t="shared" si="2"/>
        <v>275107.36186181818</v>
      </c>
      <c r="AR26" s="34">
        <f t="shared" si="2"/>
        <v>51623</v>
      </c>
      <c r="AS26" s="34">
        <f t="shared" si="2"/>
        <v>0</v>
      </c>
      <c r="AT26" s="34">
        <f t="shared" si="2"/>
        <v>0</v>
      </c>
      <c r="AU26" s="34">
        <f t="shared" si="2"/>
        <v>1778736</v>
      </c>
      <c r="AV26" s="34">
        <f t="shared" si="2"/>
        <v>143804.81818181818</v>
      </c>
      <c r="AW26" s="34">
        <f t="shared" si="2"/>
        <v>51623</v>
      </c>
      <c r="AX26" s="34">
        <f t="shared" si="2"/>
        <v>0</v>
      </c>
      <c r="AY26" s="34">
        <f t="shared" si="2"/>
        <v>0</v>
      </c>
      <c r="AZ26" s="34">
        <f t="shared" si="2"/>
        <v>0</v>
      </c>
      <c r="BA26" s="34">
        <f t="shared" si="2"/>
        <v>0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ref="BN26:BV26" si="3">SUM(BN27:BN78)</f>
        <v>0</v>
      </c>
      <c r="BO26" s="34">
        <f t="shared" si="3"/>
        <v>0</v>
      </c>
      <c r="BP26" s="34">
        <f t="shared" si="3"/>
        <v>746062.9</v>
      </c>
      <c r="BQ26" s="34">
        <f t="shared" si="3"/>
        <v>0</v>
      </c>
      <c r="BR26" s="34">
        <f t="shared" si="3"/>
        <v>0</v>
      </c>
      <c r="BS26" s="34">
        <f t="shared" si="3"/>
        <v>0</v>
      </c>
      <c r="BT26" s="34">
        <f t="shared" si="3"/>
        <v>0</v>
      </c>
      <c r="BU26" s="34">
        <f t="shared" si="3"/>
        <v>0</v>
      </c>
      <c r="BV26" s="34">
        <f t="shared" si="3"/>
        <v>0</v>
      </c>
    </row>
    <row r="27" spans="1:74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</row>
    <row r="28" spans="1:74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</row>
    <row r="29" spans="1:74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</row>
    <row r="30" spans="1:74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>
        <f>8399365/3</f>
        <v>2799788.3333333335</v>
      </c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</row>
    <row r="31" spans="1:74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90">
        <f>291375+137118</f>
        <v>428493</v>
      </c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</row>
    <row r="32" spans="1:74" s="1" customFormat="1" x14ac:dyDescent="0.2">
      <c r="A32" s="36" t="s">
        <v>7</v>
      </c>
      <c r="B32" s="23" t="s">
        <v>8</v>
      </c>
      <c r="C32" s="60"/>
      <c r="D32" s="24"/>
      <c r="E32" s="24"/>
      <c r="F32" s="24">
        <v>400000</v>
      </c>
      <c r="G32" s="24"/>
      <c r="H32" s="24"/>
      <c r="I32" s="24"/>
      <c r="J32" s="24"/>
      <c r="K32" s="24"/>
      <c r="L32" s="24"/>
      <c r="M32" s="24"/>
      <c r="N32" s="24">
        <v>350000</v>
      </c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</row>
    <row r="33" spans="1:74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24"/>
      <c r="R33" s="24"/>
      <c r="S33" s="24">
        <v>271506</v>
      </c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>
        <v>271506</v>
      </c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</row>
    <row r="34" spans="1:74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</row>
    <row r="35" spans="1:74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>
        <v>100113.9</v>
      </c>
      <c r="M35" s="24"/>
      <c r="N35" s="24"/>
      <c r="O35" s="24">
        <v>100000</v>
      </c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>
        <v>200113.9</v>
      </c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>
        <v>200113.9</v>
      </c>
      <c r="BQ35" s="24"/>
      <c r="BR35" s="24"/>
      <c r="BS35" s="24"/>
      <c r="BT35" s="24"/>
      <c r="BU35" s="24"/>
      <c r="BV35" s="24"/>
    </row>
    <row r="36" spans="1:74" s="1" customFormat="1" x14ac:dyDescent="0.2">
      <c r="A36" s="36" t="s">
        <v>53</v>
      </c>
      <c r="B36" s="23"/>
      <c r="C36" s="60"/>
      <c r="D36" s="24"/>
      <c r="E36" s="24"/>
      <c r="F36" s="24"/>
      <c r="G36" s="24"/>
      <c r="H36" s="24"/>
      <c r="I36" s="24">
        <f>545949/6</f>
        <v>90991.5</v>
      </c>
      <c r="J36" s="24"/>
      <c r="K36" s="24"/>
      <c r="L36" s="24">
        <f t="shared" ref="L36:S36" si="4">545949/6</f>
        <v>90991.5</v>
      </c>
      <c r="M36" s="24">
        <f t="shared" si="4"/>
        <v>90991.5</v>
      </c>
      <c r="N36" s="24">
        <f t="shared" si="4"/>
        <v>90991.5</v>
      </c>
      <c r="O36" s="24">
        <f t="shared" si="4"/>
        <v>90991.5</v>
      </c>
      <c r="Q36" s="24"/>
      <c r="R36" s="24"/>
      <c r="S36" s="24">
        <f t="shared" si="4"/>
        <v>90991.5</v>
      </c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>
        <v>545949</v>
      </c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>
        <v>545949</v>
      </c>
      <c r="BQ36" s="24"/>
      <c r="BR36" s="24"/>
      <c r="BS36" s="24"/>
      <c r="BT36" s="24"/>
      <c r="BU36" s="24"/>
      <c r="BV36" s="24"/>
    </row>
    <row r="37" spans="1:74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</row>
    <row r="38" spans="1:74" s="71" customFormat="1" x14ac:dyDescent="0.2">
      <c r="A38" s="69" t="s">
        <v>14</v>
      </c>
      <c r="B38" s="25" t="s">
        <v>30</v>
      </c>
      <c r="C38" s="70">
        <v>345579</v>
      </c>
      <c r="D38" s="24"/>
      <c r="E38" s="108">
        <v>345579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</row>
    <row r="39" spans="1:74" s="71" customFormat="1" x14ac:dyDescent="0.2">
      <c r="A39" s="69" t="s">
        <v>115</v>
      </c>
      <c r="B39" s="25" t="s">
        <v>116</v>
      </c>
      <c r="C39" s="70"/>
      <c r="D39" s="24"/>
      <c r="E39" s="24"/>
      <c r="F39" s="108">
        <f>156160/6</f>
        <v>26026.666666666668</v>
      </c>
      <c r="G39" s="24"/>
      <c r="H39" s="24"/>
      <c r="I39" s="108">
        <f>156160/6+1026.67+1026.67</f>
        <v>28080.006666666668</v>
      </c>
      <c r="J39" s="24"/>
      <c r="K39" s="24"/>
      <c r="L39" s="24"/>
      <c r="M39" s="24"/>
      <c r="N39" s="24"/>
      <c r="O39" s="100">
        <f>312320/10</f>
        <v>31232</v>
      </c>
      <c r="P39" s="24"/>
      <c r="Q39" s="24"/>
      <c r="R39" s="24"/>
      <c r="S39" s="24"/>
      <c r="T39" s="100">
        <f>312320/10</f>
        <v>31232</v>
      </c>
      <c r="U39" s="24"/>
      <c r="V39" s="24"/>
      <c r="W39" s="100">
        <f>312320/10</f>
        <v>31232</v>
      </c>
      <c r="X39" s="24"/>
      <c r="Y39" s="24"/>
      <c r="Z39" s="108">
        <f>312320/10</f>
        <v>31232</v>
      </c>
      <c r="AA39" s="24"/>
      <c r="AB39" s="108">
        <f>312320/10</f>
        <v>31232</v>
      </c>
      <c r="AC39" s="24"/>
      <c r="AD39" s="108">
        <f>312320/10</f>
        <v>31232</v>
      </c>
      <c r="AE39" s="24"/>
      <c r="AF39" s="24"/>
      <c r="AG39" s="108">
        <v>124838</v>
      </c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</row>
    <row r="40" spans="1:74" s="71" customFormat="1" x14ac:dyDescent="0.2">
      <c r="A40" s="69" t="s">
        <v>117</v>
      </c>
      <c r="B40" s="25" t="s">
        <v>119</v>
      </c>
      <c r="C40" s="70">
        <v>691000</v>
      </c>
      <c r="D40" s="24"/>
      <c r="F40" s="108">
        <f>100000/2</f>
        <v>50000</v>
      </c>
      <c r="G40" s="108">
        <f>100000/2</f>
        <v>50000</v>
      </c>
      <c r="H40" s="108">
        <f>91000/2</f>
        <v>45500</v>
      </c>
      <c r="I40" s="108">
        <f>100000/2</f>
        <v>50000</v>
      </c>
      <c r="J40" s="24"/>
      <c r="K40" s="24"/>
      <c r="L40" s="108">
        <f>91000/2</f>
        <v>45500</v>
      </c>
      <c r="M40" s="108">
        <v>50000</v>
      </c>
      <c r="N40" s="24"/>
      <c r="O40" s="108">
        <v>50000</v>
      </c>
      <c r="Q40" s="24"/>
      <c r="R40" s="24"/>
      <c r="S40" s="24"/>
      <c r="T40" s="24"/>
      <c r="U40" s="24"/>
      <c r="V40" s="108">
        <v>150000</v>
      </c>
      <c r="W40" s="108">
        <v>100000</v>
      </c>
      <c r="X40" s="24"/>
      <c r="Y40" s="24"/>
      <c r="Z40" s="24"/>
      <c r="AA40" s="108">
        <v>100000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</row>
    <row r="41" spans="1:74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100">
        <v>235200</v>
      </c>
      <c r="J41" s="24"/>
      <c r="K41" s="24"/>
      <c r="L41" s="24"/>
      <c r="M41" s="24"/>
      <c r="N41" s="24"/>
      <c r="O41" s="100">
        <f>510600/2</f>
        <v>255300</v>
      </c>
      <c r="P41" s="24"/>
      <c r="Q41" s="24"/>
      <c r="R41" s="24"/>
      <c r="S41" s="108">
        <f>510600/2</f>
        <v>255300</v>
      </c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</row>
    <row r="42" spans="1:74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</f>
        <v>315000</v>
      </c>
      <c r="D42" s="24"/>
      <c r="E42" s="24"/>
      <c r="F42" s="24"/>
      <c r="G42" s="129">
        <v>50000</v>
      </c>
      <c r="H42" s="129">
        <v>40000</v>
      </c>
      <c r="I42" s="129">
        <v>50000</v>
      </c>
      <c r="J42" s="24"/>
      <c r="K42" s="24"/>
      <c r="L42" s="129">
        <v>50000</v>
      </c>
      <c r="N42" s="129">
        <v>30000</v>
      </c>
      <c r="O42" s="24"/>
      <c r="Q42" s="24"/>
      <c r="R42" s="24"/>
      <c r="T42" s="129">
        <f>95000/2</f>
        <v>47500</v>
      </c>
      <c r="U42" s="24"/>
      <c r="V42" s="129">
        <f>95000/2</f>
        <v>47500</v>
      </c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</row>
    <row r="43" spans="1:74" s="71" customFormat="1" x14ac:dyDescent="0.2">
      <c r="A43" s="69" t="s">
        <v>15</v>
      </c>
      <c r="B43" s="25" t="s">
        <v>31</v>
      </c>
      <c r="C43" s="70">
        <f>2480914-516230-48700-50000-50000-50000</f>
        <v>1765984</v>
      </c>
      <c r="D43" s="24"/>
      <c r="E43" s="24"/>
      <c r="F43" s="108">
        <f>(515224/4)/3</f>
        <v>42935.333333333336</v>
      </c>
      <c r="G43" s="108">
        <f t="shared" ref="G43:AC43" si="5">(515224/4)/3</f>
        <v>42935.333333333336</v>
      </c>
      <c r="H43" s="24"/>
      <c r="I43" s="140">
        <f>195080/4+5112</f>
        <v>53882</v>
      </c>
      <c r="J43" s="24"/>
      <c r="K43" s="24"/>
      <c r="L43" s="108">
        <f>(45000+65224)/2</f>
        <v>55112</v>
      </c>
      <c r="M43" s="140">
        <f t="shared" ref="M43" si="6">195080/4</f>
        <v>48770</v>
      </c>
      <c r="N43" s="108">
        <f t="shared" ref="N43:O43" si="7">516230/10</f>
        <v>51623</v>
      </c>
      <c r="O43" s="108">
        <f t="shared" si="7"/>
        <v>51623</v>
      </c>
      <c r="Q43" s="24"/>
      <c r="R43" s="24"/>
      <c r="S43" s="108">
        <f>516230/10</f>
        <v>51623</v>
      </c>
      <c r="U43" s="108">
        <f t="shared" ref="U43:AW43" si="8">516230/10</f>
        <v>51623</v>
      </c>
      <c r="V43" s="108">
        <f t="shared" si="8"/>
        <v>51623</v>
      </c>
      <c r="W43" s="108">
        <f>516230/10</f>
        <v>51623</v>
      </c>
      <c r="X43" s="24"/>
      <c r="Y43" s="24"/>
      <c r="Z43" s="108">
        <f>516230/10</f>
        <v>51623</v>
      </c>
      <c r="AA43" s="108">
        <f>516230/10+15224</f>
        <v>66847</v>
      </c>
      <c r="AB43" s="24"/>
      <c r="AC43" s="108">
        <f t="shared" si="5"/>
        <v>42935.333333333336</v>
      </c>
      <c r="AD43" s="108">
        <f>516230/10</f>
        <v>51623</v>
      </c>
      <c r="AE43" s="24"/>
      <c r="AF43" s="24"/>
      <c r="AG43" s="98">
        <f>515224/4+54464</f>
        <v>183270</v>
      </c>
      <c r="AH43" s="108">
        <f t="shared" ref="AH43:AK43" si="9">516230/10</f>
        <v>51623</v>
      </c>
      <c r="AI43" s="108">
        <f t="shared" si="9"/>
        <v>51623</v>
      </c>
      <c r="AJ43" s="108">
        <f t="shared" si="9"/>
        <v>51623</v>
      </c>
      <c r="AK43" s="108">
        <f t="shared" si="9"/>
        <v>51623</v>
      </c>
      <c r="AL43" s="24"/>
      <c r="AM43" s="24"/>
      <c r="AN43" s="108">
        <f t="shared" ref="AN43:AR43" si="10">516230/10</f>
        <v>51623</v>
      </c>
      <c r="AO43" s="108">
        <f t="shared" si="10"/>
        <v>51623</v>
      </c>
      <c r="AP43" s="108">
        <f t="shared" si="10"/>
        <v>51623</v>
      </c>
      <c r="AQ43" s="108">
        <f t="shared" si="10"/>
        <v>51623</v>
      </c>
      <c r="AR43" s="108">
        <f t="shared" si="10"/>
        <v>51623</v>
      </c>
      <c r="AS43" s="24"/>
      <c r="AT43" s="24"/>
      <c r="AU43" s="100">
        <v>516230</v>
      </c>
      <c r="AV43" s="108">
        <f>516230/10</f>
        <v>51623</v>
      </c>
      <c r="AW43" s="108">
        <f t="shared" si="8"/>
        <v>51623</v>
      </c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</row>
    <row r="44" spans="1:74" s="71" customFormat="1" x14ac:dyDescent="0.2">
      <c r="A44" s="69" t="s">
        <v>16</v>
      </c>
      <c r="B44" s="25" t="s">
        <v>32</v>
      </c>
      <c r="C44" s="70">
        <f>449410-99410-50000+15000-25000-25000</f>
        <v>265000</v>
      </c>
      <c r="D44" s="24"/>
      <c r="E44" s="24"/>
      <c r="F44" s="108">
        <f>(172350+10000)/5</f>
        <v>36470</v>
      </c>
      <c r="H44" s="108">
        <f t="shared" ref="H44:AA44" si="11">(172350+10000)/5</f>
        <v>36470</v>
      </c>
      <c r="I44" s="28"/>
      <c r="J44" s="24"/>
      <c r="K44" s="24"/>
      <c r="L44" s="108">
        <v>50000</v>
      </c>
      <c r="M44" s="24"/>
      <c r="N44" s="108">
        <v>50000</v>
      </c>
      <c r="O44" s="24"/>
      <c r="P44" s="24"/>
      <c r="Q44" s="24"/>
      <c r="R44" s="24"/>
      <c r="S44" s="24"/>
      <c r="T44" s="24"/>
      <c r="U44" s="24"/>
      <c r="V44" s="108">
        <f>(172350+10000)/5+4120</f>
        <v>40590</v>
      </c>
      <c r="W44" s="24"/>
      <c r="X44" s="24"/>
      <c r="Y44" s="24"/>
      <c r="Z44" s="24"/>
      <c r="AA44" s="108">
        <f t="shared" si="11"/>
        <v>36470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</row>
    <row r="45" spans="1:74" s="71" customFormat="1" x14ac:dyDescent="0.2">
      <c r="A45" s="69" t="s">
        <v>85</v>
      </c>
      <c r="B45" s="25" t="s">
        <v>47</v>
      </c>
      <c r="C45" s="70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100">
        <f>2997.5*A6</f>
        <v>213936.07124999998</v>
      </c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</row>
    <row r="46" spans="1:74" s="71" customFormat="1" x14ac:dyDescent="0.2">
      <c r="A46" s="69" t="s">
        <v>143</v>
      </c>
      <c r="B46" s="25" t="s">
        <v>45</v>
      </c>
      <c r="C46" s="24">
        <f>188496*A9</f>
        <v>1969538.1552000002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8"/>
      <c r="Q46" s="24"/>
      <c r="R46" s="24"/>
      <c r="T46" s="24"/>
      <c r="U46" s="108">
        <f t="shared" ref="U46:AN46" si="12">(188496*$A$9)/15</f>
        <v>131302.54368</v>
      </c>
      <c r="V46" s="108">
        <f t="shared" si="12"/>
        <v>131302.54368</v>
      </c>
      <c r="X46" s="24"/>
      <c r="Y46" s="24"/>
      <c r="Z46" s="108">
        <f>(188496*$A$9)/15</f>
        <v>131302.54368</v>
      </c>
      <c r="AA46" s="108">
        <f t="shared" ref="AA46:AD46" si="13">(188496*$A$9)/15</f>
        <v>131302.54368</v>
      </c>
      <c r="AB46" s="108">
        <f t="shared" si="13"/>
        <v>131302.54368</v>
      </c>
      <c r="AC46" s="108">
        <f t="shared" si="13"/>
        <v>131302.54368</v>
      </c>
      <c r="AD46" s="108">
        <f t="shared" si="13"/>
        <v>131302.54368</v>
      </c>
      <c r="AE46" s="24"/>
      <c r="AF46" s="24"/>
      <c r="AG46" s="108">
        <f>(188496*$A$9)/15</f>
        <v>131302.54368</v>
      </c>
      <c r="AH46" s="108">
        <f t="shared" ref="AH46:AJ46" si="14">(188496*$A$9)/15</f>
        <v>131302.54368</v>
      </c>
      <c r="AI46" s="108">
        <f t="shared" si="14"/>
        <v>131302.54368</v>
      </c>
      <c r="AJ46" s="108">
        <f t="shared" si="14"/>
        <v>131302.54368</v>
      </c>
      <c r="AK46" s="28"/>
      <c r="AL46" s="24"/>
      <c r="AM46" s="24"/>
      <c r="AN46" s="108">
        <f t="shared" si="12"/>
        <v>131302.54368</v>
      </c>
      <c r="AO46" s="24"/>
      <c r="AP46" s="108">
        <f>((188496*$A$9)/15)*2</f>
        <v>262605.08736</v>
      </c>
      <c r="AQ46" s="108">
        <f>(188496*$A$9)/15</f>
        <v>131302.54368</v>
      </c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</row>
    <row r="47" spans="1:74" s="71" customFormat="1" x14ac:dyDescent="0.2">
      <c r="A47" s="69" t="s">
        <v>120</v>
      </c>
      <c r="B47" s="25" t="s">
        <v>121</v>
      </c>
      <c r="C47" s="120">
        <f>507000+1014000-47000</f>
        <v>1474000</v>
      </c>
      <c r="D47" s="24"/>
      <c r="E47" s="108">
        <f t="shared" ref="E47:AI47" si="15">507000/9</f>
        <v>56333.333333333336</v>
      </c>
      <c r="G47" s="108">
        <f t="shared" si="15"/>
        <v>56333.333333333336</v>
      </c>
      <c r="I47" s="108">
        <f>1014000/11</f>
        <v>92181.818181818177</v>
      </c>
      <c r="J47" s="24"/>
      <c r="K47" s="24"/>
      <c r="L47" s="108">
        <f t="shared" ref="L47:AO47" si="16">1014000/11</f>
        <v>92181.818181818177</v>
      </c>
      <c r="N47" s="108">
        <f t="shared" si="16"/>
        <v>92181.818181818177</v>
      </c>
      <c r="O47" s="108">
        <f t="shared" ref="O47:AD47" si="17">507000/9</f>
        <v>56333.333333333336</v>
      </c>
      <c r="P47" s="28"/>
      <c r="Q47" s="24"/>
      <c r="R47" s="24"/>
      <c r="S47" s="108">
        <f t="shared" ref="S47:AV47" si="18">1014000/11</f>
        <v>92181.818181818177</v>
      </c>
      <c r="T47" s="24"/>
      <c r="V47" s="108">
        <f t="shared" si="18"/>
        <v>92181.818181818177</v>
      </c>
      <c r="W47" s="108">
        <f>(1014000/11)*2+9333.33</f>
        <v>193696.96636363634</v>
      </c>
      <c r="X47" s="24"/>
      <c r="Y47" s="24"/>
      <c r="Z47" s="108">
        <f>507000/9</f>
        <v>56333.333333333336</v>
      </c>
      <c r="AA47" s="24"/>
      <c r="AB47" s="108">
        <f t="shared" si="17"/>
        <v>56333.333333333336</v>
      </c>
      <c r="AC47" s="24"/>
      <c r="AD47" s="108">
        <f t="shared" si="17"/>
        <v>56333.333333333336</v>
      </c>
      <c r="AE47" s="24"/>
      <c r="AF47" s="24"/>
      <c r="AG47" s="108">
        <f t="shared" si="15"/>
        <v>56333.333333333336</v>
      </c>
      <c r="AH47" s="24"/>
      <c r="AI47" s="108">
        <f t="shared" si="15"/>
        <v>56333.333333333336</v>
      </c>
      <c r="AK47" s="108">
        <f t="shared" si="16"/>
        <v>92181.818181818177</v>
      </c>
      <c r="AL47" s="24"/>
      <c r="AM47" s="24"/>
      <c r="AN47" s="24"/>
      <c r="AO47" s="108">
        <f t="shared" si="16"/>
        <v>92181.818181818177</v>
      </c>
      <c r="AP47" s="24"/>
      <c r="AQ47" s="108">
        <f t="shared" si="18"/>
        <v>92181.818181818177</v>
      </c>
      <c r="AR47" s="24"/>
      <c r="AS47" s="24"/>
      <c r="AT47" s="24"/>
      <c r="AU47" s="108">
        <v>991000</v>
      </c>
      <c r="AV47" s="108">
        <f t="shared" si="18"/>
        <v>92181.818181818177</v>
      </c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</row>
    <row r="48" spans="1:74" s="73" customFormat="1" x14ac:dyDescent="0.2">
      <c r="A48" s="69" t="s">
        <v>22</v>
      </c>
      <c r="B48" s="25" t="s">
        <v>48</v>
      </c>
      <c r="C48" s="137"/>
      <c r="D48" s="72"/>
      <c r="F48" s="72"/>
      <c r="G48" s="72"/>
      <c r="H48" s="72"/>
      <c r="J48" s="72"/>
      <c r="K48" s="72"/>
      <c r="M48" s="72"/>
      <c r="O48" s="72"/>
      <c r="P48" s="72"/>
      <c r="Q48" s="72"/>
      <c r="R48" s="72"/>
      <c r="S48" s="72"/>
      <c r="T48" s="160">
        <f t="shared" ref="T48:AK48" si="19">(52206*$A$9+2988*$A$6)/10</f>
        <v>75874.287420000008</v>
      </c>
      <c r="V48" s="160">
        <f t="shared" si="19"/>
        <v>75874.287420000008</v>
      </c>
      <c r="W48" s="160">
        <f>((52206*$A$9+2988*$A$6)/10)*2</f>
        <v>151748.57484000002</v>
      </c>
      <c r="X48" s="72"/>
      <c r="Y48" s="72"/>
      <c r="AA48" s="72"/>
      <c r="AB48" s="160">
        <f>(52206*$A$9)/6</f>
        <v>90914.13870000001</v>
      </c>
      <c r="AC48" s="72"/>
      <c r="AD48" s="160">
        <f>(52206*$A$9+2988*$A$6)/10</f>
        <v>75874.287420000008</v>
      </c>
      <c r="AE48" s="72"/>
      <c r="AF48" s="72"/>
      <c r="AG48" s="72"/>
      <c r="AH48" s="160">
        <f t="shared" ref="AH48" si="20">(52206*$A$9+2988*$A$6)/10</f>
        <v>75874.287420000008</v>
      </c>
      <c r="AJ48" s="72"/>
      <c r="AK48" s="160">
        <f t="shared" si="19"/>
        <v>75874.287420000008</v>
      </c>
      <c r="AL48" s="72"/>
      <c r="AM48" s="72"/>
      <c r="AN48" s="138">
        <f>109170*A9</f>
        <v>1140684.5790000001</v>
      </c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</row>
    <row r="49" spans="1:74" s="73" customFormat="1" x14ac:dyDescent="0.2">
      <c r="A49" s="69" t="s">
        <v>108</v>
      </c>
      <c r="B49" s="25" t="s">
        <v>109</v>
      </c>
      <c r="C49" s="120"/>
      <c r="D49" s="72"/>
      <c r="E49" s="72"/>
      <c r="F49" s="72"/>
      <c r="G49" s="72"/>
      <c r="H49" s="72"/>
      <c r="I49" s="72"/>
      <c r="J49" s="72"/>
      <c r="K49" s="72"/>
      <c r="L49" s="138">
        <v>50531.25</v>
      </c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</row>
    <row r="50" spans="1:74" s="71" customFormat="1" x14ac:dyDescent="0.2">
      <c r="A50" s="69" t="s">
        <v>36</v>
      </c>
      <c r="B50" s="25" t="s">
        <v>37</v>
      </c>
      <c r="C50" s="130"/>
      <c r="D50" s="24"/>
      <c r="E50" s="72"/>
      <c r="F50" s="100">
        <f>1037.5*A6</f>
        <v>74047.931249999994</v>
      </c>
      <c r="G50" s="24"/>
      <c r="H50" s="24"/>
      <c r="I50" s="24"/>
      <c r="J50" s="24"/>
      <c r="K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</row>
    <row r="51" spans="1:74" s="71" customFormat="1" x14ac:dyDescent="0.2">
      <c r="A51" s="69" t="s">
        <v>86</v>
      </c>
      <c r="B51" s="25" t="s">
        <v>35</v>
      </c>
      <c r="C51" s="70"/>
      <c r="D51" s="77"/>
      <c r="E51" s="72"/>
      <c r="F51" s="28"/>
      <c r="G51" s="24"/>
      <c r="H51" s="24"/>
      <c r="I51" s="24"/>
      <c r="J51" s="24"/>
      <c r="K51" s="24"/>
      <c r="L51" s="24"/>
      <c r="M51" s="24"/>
      <c r="N51" s="24"/>
      <c r="O51" s="100">
        <f>490*A6</f>
        <v>34972.034999999996</v>
      </c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100">
        <f>2850*A6</f>
        <v>203408.77499999999</v>
      </c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</row>
    <row r="52" spans="1:74" s="71" customFormat="1" x14ac:dyDescent="0.2">
      <c r="A52" s="69" t="s">
        <v>29</v>
      </c>
      <c r="B52" s="25" t="s">
        <v>43</v>
      </c>
      <c r="C52" s="70">
        <f>439750-19750-25000-25000-25000</f>
        <v>345000</v>
      </c>
      <c r="D52" s="24"/>
      <c r="F52" s="24"/>
      <c r="G52" s="95">
        <v>25000</v>
      </c>
      <c r="H52" s="24"/>
      <c r="I52" s="95">
        <v>25000</v>
      </c>
      <c r="J52" s="24"/>
      <c r="K52" s="24"/>
      <c r="L52" s="95">
        <v>25000</v>
      </c>
      <c r="M52" s="24"/>
      <c r="N52" s="95">
        <v>25000</v>
      </c>
      <c r="O52" s="24"/>
      <c r="Q52" s="24"/>
      <c r="R52" s="24"/>
      <c r="S52" s="95">
        <v>50000</v>
      </c>
      <c r="T52" s="95">
        <v>25000</v>
      </c>
      <c r="V52" s="95">
        <v>25000</v>
      </c>
      <c r="X52" s="24"/>
      <c r="Y52" s="24"/>
      <c r="Z52" s="24"/>
      <c r="AA52" s="24"/>
      <c r="AB52" s="24"/>
      <c r="AC52" s="24"/>
      <c r="AD52" s="95">
        <v>100000</v>
      </c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</row>
    <row r="53" spans="1:74" s="71" customFormat="1" x14ac:dyDescent="0.2">
      <c r="A53" s="69" t="s">
        <v>141</v>
      </c>
      <c r="B53" s="25" t="s">
        <v>142</v>
      </c>
      <c r="C53" s="7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100">
        <v>55053.72</v>
      </c>
      <c r="V53" s="24"/>
      <c r="W53" s="95">
        <f>50000+14750</f>
        <v>64750</v>
      </c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</row>
    <row r="54" spans="1:74" s="71" customFormat="1" x14ac:dyDescent="0.2">
      <c r="A54" s="69" t="s">
        <v>146</v>
      </c>
      <c r="B54" s="25" t="s">
        <v>147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100">
        <v>90000</v>
      </c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</row>
    <row r="55" spans="1:74" s="71" customFormat="1" x14ac:dyDescent="0.2">
      <c r="A55" s="69" t="s">
        <v>149</v>
      </c>
      <c r="B55" s="25" t="s">
        <v>148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8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</row>
    <row r="56" spans="1:74" s="71" customFormat="1" x14ac:dyDescent="0.2">
      <c r="A56" s="69" t="s">
        <v>124</v>
      </c>
      <c r="B56" s="25" t="s">
        <v>125</v>
      </c>
      <c r="C56" s="70"/>
      <c r="D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100">
        <v>203210</v>
      </c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</row>
    <row r="57" spans="1:74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100">
        <v>1524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</row>
    <row r="58" spans="1:74" s="71" customFormat="1" x14ac:dyDescent="0.2">
      <c r="A58" s="69" t="s">
        <v>90</v>
      </c>
      <c r="B58" s="25" t="s">
        <v>91</v>
      </c>
      <c r="C58" s="70">
        <f>912000+1012000-100000-100000-75000-75000-75000-75000-75000-75000-75000</f>
        <v>1199000</v>
      </c>
      <c r="D58" s="77"/>
      <c r="F58" s="28"/>
      <c r="G58" s="129">
        <v>75000</v>
      </c>
      <c r="I58" s="129">
        <v>75000</v>
      </c>
      <c r="J58" s="24"/>
      <c r="K58" s="24"/>
      <c r="L58" s="129">
        <v>75000</v>
      </c>
      <c r="N58" s="129">
        <v>100000</v>
      </c>
      <c r="O58" s="129">
        <v>75000</v>
      </c>
      <c r="Q58" s="24"/>
      <c r="R58" s="24"/>
      <c r="S58" s="129">
        <v>124000</v>
      </c>
      <c r="T58" s="24"/>
      <c r="U58" s="28"/>
      <c r="V58" s="129">
        <v>100000</v>
      </c>
      <c r="W58" s="129">
        <v>100000</v>
      </c>
      <c r="X58" s="24"/>
      <c r="Y58" s="24"/>
      <c r="Z58" s="129">
        <v>100000</v>
      </c>
      <c r="AA58" s="24"/>
      <c r="AB58" s="129">
        <v>75000</v>
      </c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</row>
    <row r="59" spans="1:74" s="71" customFormat="1" x14ac:dyDescent="0.2">
      <c r="A59" s="69" t="s">
        <v>144</v>
      </c>
      <c r="B59" s="25" t="s">
        <v>145</v>
      </c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</row>
    <row r="60" spans="1:74" s="71" customFormat="1" x14ac:dyDescent="0.2">
      <c r="A60" s="69" t="s">
        <v>138</v>
      </c>
      <c r="B60" s="25" t="s">
        <v>136</v>
      </c>
      <c r="C60" s="70"/>
      <c r="D60" s="77"/>
      <c r="E60" s="24"/>
      <c r="F60" s="24"/>
      <c r="G60" s="24"/>
      <c r="H60" s="24"/>
      <c r="I60" s="100">
        <f>(4260*$A$6)/6</f>
        <v>50673.764999999992</v>
      </c>
      <c r="J60" s="24"/>
      <c r="K60" s="24"/>
      <c r="L60" s="100">
        <f t="shared" ref="L60:W60" si="21">(4260*$A$6)/6</f>
        <v>50673.764999999992</v>
      </c>
      <c r="M60" s="100">
        <f t="shared" si="21"/>
        <v>50673.764999999992</v>
      </c>
      <c r="N60" s="100">
        <f t="shared" si="21"/>
        <v>50673.764999999992</v>
      </c>
      <c r="O60" s="100">
        <f t="shared" si="21"/>
        <v>50673.764999999992</v>
      </c>
      <c r="Q60" s="24"/>
      <c r="R60" s="24"/>
      <c r="S60" s="24"/>
      <c r="T60" s="24"/>
      <c r="U60" s="24"/>
      <c r="V60" s="24"/>
      <c r="W60" s="100">
        <f t="shared" si="21"/>
        <v>50673.764999999992</v>
      </c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</row>
    <row r="61" spans="1:74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</row>
    <row r="62" spans="1:74" s="71" customFormat="1" ht="12.75" customHeight="1" x14ac:dyDescent="0.2">
      <c r="A62" s="151" t="s">
        <v>139</v>
      </c>
      <c r="B62" s="152" t="s">
        <v>114</v>
      </c>
      <c r="C62" s="70">
        <f>1732500-693000</f>
        <v>1039500</v>
      </c>
      <c r="D62" s="77"/>
      <c r="F62" s="100">
        <v>200000</v>
      </c>
      <c r="H62" s="24"/>
      <c r="I62" s="100">
        <v>100000</v>
      </c>
      <c r="J62" s="24"/>
      <c r="K62" s="24"/>
      <c r="L62" s="100">
        <v>100000</v>
      </c>
      <c r="M62" s="28"/>
      <c r="N62" s="100">
        <v>239000</v>
      </c>
      <c r="O62" s="24"/>
      <c r="P62" s="28"/>
      <c r="Q62" s="24"/>
      <c r="R62" s="24"/>
      <c r="S62" s="100">
        <v>100000</v>
      </c>
      <c r="T62" s="28"/>
      <c r="U62" s="100">
        <v>100000</v>
      </c>
      <c r="V62" s="24"/>
      <c r="W62" s="100">
        <v>200000</v>
      </c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</row>
    <row r="63" spans="1:74" s="71" customFormat="1" x14ac:dyDescent="0.2">
      <c r="A63" s="69" t="s">
        <v>34</v>
      </c>
      <c r="B63" s="25" t="s">
        <v>45</v>
      </c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</row>
    <row r="64" spans="1:74" s="71" customFormat="1" x14ac:dyDescent="0.2">
      <c r="A64" s="69" t="s">
        <v>128</v>
      </c>
      <c r="B64" s="25" t="s">
        <v>129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</row>
    <row r="65" spans="1:74" s="71" customFormat="1" x14ac:dyDescent="0.2">
      <c r="A65" s="69" t="s">
        <v>101</v>
      </c>
      <c r="B65" s="25" t="s">
        <v>130</v>
      </c>
      <c r="C65" s="70">
        <f>110000-25000-25000-10000</f>
        <v>50000</v>
      </c>
      <c r="D65" s="77"/>
      <c r="E65" s="24"/>
      <c r="F65" s="24"/>
      <c r="G65" s="108">
        <v>25000</v>
      </c>
      <c r="H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108">
        <f>100000/4</f>
        <v>25000</v>
      </c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</row>
    <row r="66" spans="1:74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</row>
    <row r="67" spans="1:74" s="71" customFormat="1" x14ac:dyDescent="0.2">
      <c r="A67" s="69" t="s">
        <v>38</v>
      </c>
      <c r="B67" s="25" t="s">
        <v>39</v>
      </c>
      <c r="C67" s="70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</row>
    <row r="68" spans="1:74" s="71" customFormat="1" x14ac:dyDescent="0.2">
      <c r="A68" s="69" t="s">
        <v>74</v>
      </c>
      <c r="B68" s="25" t="s">
        <v>131</v>
      </c>
      <c r="C68" s="70"/>
      <c r="D68" s="24"/>
      <c r="E68" s="100">
        <v>20000</v>
      </c>
      <c r="F68" s="24"/>
      <c r="G68" s="100">
        <f>80000/2</f>
        <v>40000</v>
      </c>
      <c r="H68" s="24"/>
      <c r="I68" s="143">
        <v>40000</v>
      </c>
      <c r="J68" s="24"/>
      <c r="K68" s="24"/>
      <c r="L68" s="100">
        <v>20000</v>
      </c>
      <c r="M68" s="100">
        <f>7500+16500</f>
        <v>24000</v>
      </c>
      <c r="N68" s="24"/>
      <c r="O68" s="100">
        <v>12500</v>
      </c>
      <c r="Q68" s="24"/>
      <c r="R68" s="24"/>
      <c r="S68" s="100">
        <f>80000/2</f>
        <v>40000</v>
      </c>
      <c r="T68" s="24"/>
      <c r="U68" s="100">
        <v>15000</v>
      </c>
      <c r="V68" s="24"/>
      <c r="W68" s="100">
        <v>11667</v>
      </c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</row>
    <row r="69" spans="1:74" s="71" customFormat="1" x14ac:dyDescent="0.2">
      <c r="A69" s="69" t="s">
        <v>74</v>
      </c>
      <c r="B69" s="25" t="s">
        <v>150</v>
      </c>
      <c r="C69" s="164">
        <v>3567700</v>
      </c>
      <c r="D69" s="24"/>
      <c r="E69" s="24"/>
      <c r="F69" s="24"/>
      <c r="G69" s="114"/>
      <c r="H69" s="11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</row>
    <row r="70" spans="1:74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</row>
    <row r="71" spans="1:74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</row>
    <row r="72" spans="1:74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</row>
    <row r="73" spans="1:74" s="5" customFormat="1" x14ac:dyDescent="0.2">
      <c r="A73" s="36" t="s">
        <v>49</v>
      </c>
      <c r="B73" s="12"/>
      <c r="C73" s="13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>
        <v>1400000</v>
      </c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</row>
    <row r="74" spans="1:74" s="5" customFormat="1" x14ac:dyDescent="0.2">
      <c r="A74" s="36" t="s">
        <v>57</v>
      </c>
      <c r="B74" s="12"/>
      <c r="C74" s="68"/>
      <c r="D74" s="26"/>
      <c r="E74" s="139">
        <f>1749467.21/0.77</f>
        <v>2272035.3376623373</v>
      </c>
      <c r="G74" s="13"/>
      <c r="H74" s="13"/>
      <c r="J74" s="13"/>
      <c r="K74" s="13"/>
      <c r="L74" s="139">
        <f>1933893.44/0.77</f>
        <v>2511549.9220779222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</row>
    <row r="75" spans="1:74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"/>
      <c r="K75" s="13"/>
      <c r="L75" s="139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</row>
    <row r="76" spans="1:74" s="5" customFormat="1" x14ac:dyDescent="0.2">
      <c r="A76" s="42" t="s">
        <v>151</v>
      </c>
      <c r="B76" s="12"/>
      <c r="C76" s="68">
        <f>(10000*10)*A6</f>
        <v>7137150</v>
      </c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</row>
    <row r="77" spans="1:74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</row>
    <row r="78" spans="1:74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</row>
    <row r="79" spans="1:74" s="84" customFormat="1" x14ac:dyDescent="0.2">
      <c r="A79" s="81" t="s">
        <v>66</v>
      </c>
      <c r="B79" s="82"/>
      <c r="C79" s="63"/>
      <c r="D79" s="83"/>
      <c r="E79" s="83">
        <f>$C$5+E16-E26</f>
        <v>966077.63900432922</v>
      </c>
      <c r="F79" s="83">
        <f t="shared" ref="F79:BN79" si="22">E79+F16-F26</f>
        <v>136597.7077543292</v>
      </c>
      <c r="G79" s="83">
        <f t="shared" si="22"/>
        <v>1272329.0410876626</v>
      </c>
      <c r="H79" s="83">
        <f t="shared" si="22"/>
        <v>1150359.0410876626</v>
      </c>
      <c r="I79" s="83">
        <f t="shared" si="22"/>
        <v>259349.95123917772</v>
      </c>
      <c r="J79" s="83">
        <f t="shared" si="22"/>
        <v>259349.95123917772</v>
      </c>
      <c r="K79" s="83">
        <f t="shared" si="22"/>
        <v>259349.95123917772</v>
      </c>
      <c r="L79" s="83">
        <f t="shared" si="22"/>
        <v>871817.79597943742</v>
      </c>
      <c r="M79" s="83">
        <f t="shared" si="22"/>
        <v>607382.5309794374</v>
      </c>
      <c r="N79" s="83">
        <f t="shared" si="22"/>
        <v>527912.44779761927</v>
      </c>
      <c r="O79" s="83">
        <f t="shared" si="22"/>
        <v>-280713.18553571415</v>
      </c>
      <c r="P79" s="83">
        <f t="shared" si="22"/>
        <v>-280713.18553571415</v>
      </c>
      <c r="Q79" s="83">
        <f t="shared" si="22"/>
        <v>-280713.18553571415</v>
      </c>
      <c r="R79" s="83">
        <f t="shared" si="22"/>
        <v>-280713.18553571415</v>
      </c>
      <c r="S79" s="83">
        <f t="shared" si="22"/>
        <v>553684.49628246785</v>
      </c>
      <c r="T79" s="83">
        <f t="shared" si="22"/>
        <v>374078.20886246784</v>
      </c>
      <c r="U79" s="83">
        <f t="shared" si="22"/>
        <v>21098.945182467869</v>
      </c>
      <c r="V79" s="83">
        <f t="shared" si="22"/>
        <v>5923220.3887006491</v>
      </c>
      <c r="W79" s="83">
        <f t="shared" si="22"/>
        <v>4967829.0824970128</v>
      </c>
      <c r="X79" s="83">
        <f t="shared" si="22"/>
        <v>4967829.0824970128</v>
      </c>
      <c r="Y79" s="83">
        <f t="shared" si="22"/>
        <v>4967829.0824970128</v>
      </c>
      <c r="Z79" s="83">
        <f t="shared" si="22"/>
        <v>4394128.2054836797</v>
      </c>
      <c r="AA79" s="83">
        <f t="shared" si="22"/>
        <v>4057984.6618036795</v>
      </c>
      <c r="AB79" s="83">
        <f t="shared" si="22"/>
        <v>3673202.6460903464</v>
      </c>
      <c r="AC79" s="83">
        <f t="shared" si="22"/>
        <v>3498964.7690770132</v>
      </c>
      <c r="AD79" s="83">
        <f t="shared" si="22"/>
        <v>3052599.6046436802</v>
      </c>
      <c r="AE79" s="83">
        <f t="shared" si="22"/>
        <v>3052599.6046436802</v>
      </c>
      <c r="AF79" s="83">
        <f t="shared" si="22"/>
        <v>3052599.6046436802</v>
      </c>
      <c r="AG79" s="83">
        <f t="shared" si="22"/>
        <v>2556855.727630347</v>
      </c>
      <c r="AH79" s="83">
        <f t="shared" si="22"/>
        <v>2049110.083197013</v>
      </c>
      <c r="AI79" s="83">
        <f t="shared" si="22"/>
        <v>1392506.3599336797</v>
      </c>
      <c r="AJ79" s="83">
        <f t="shared" si="22"/>
        <v>463517.91625367966</v>
      </c>
      <c r="AK79" s="83">
        <f t="shared" si="22"/>
        <v>243838.81065186148</v>
      </c>
      <c r="AL79" s="83">
        <f t="shared" si="22"/>
        <v>243838.81065186148</v>
      </c>
      <c r="AM79" s="83">
        <f t="shared" si="22"/>
        <v>243838.81065186148</v>
      </c>
      <c r="AN79" s="83">
        <f t="shared" si="22"/>
        <v>-1079771.3120281384</v>
      </c>
      <c r="AO79" s="83">
        <f t="shared" si="22"/>
        <v>1755759.3897900435</v>
      </c>
      <c r="AP79" s="83">
        <f t="shared" si="22"/>
        <v>1441531.3024300435</v>
      </c>
      <c r="AQ79" s="83">
        <f t="shared" si="22"/>
        <v>1166423.9405682252</v>
      </c>
      <c r="AR79" s="83">
        <f t="shared" si="22"/>
        <v>1114800.9405682252</v>
      </c>
      <c r="AS79" s="83">
        <f t="shared" si="22"/>
        <v>1114800.9405682252</v>
      </c>
      <c r="AT79" s="83">
        <f t="shared" si="22"/>
        <v>1114800.9405682252</v>
      </c>
      <c r="AU79" s="83">
        <f t="shared" si="22"/>
        <v>-663935.05943177477</v>
      </c>
      <c r="AV79" s="83">
        <f t="shared" si="22"/>
        <v>-807739.87761359289</v>
      </c>
      <c r="AW79" s="83">
        <f t="shared" si="22"/>
        <v>-859362.87761359289</v>
      </c>
      <c r="AX79" s="83">
        <f t="shared" si="22"/>
        <v>-859362.87761359289</v>
      </c>
      <c r="AY79" s="83">
        <f t="shared" si="22"/>
        <v>-859362.87761359289</v>
      </c>
      <c r="AZ79" s="83">
        <f t="shared" si="22"/>
        <v>-859362.87761359289</v>
      </c>
      <c r="BA79" s="83">
        <f t="shared" si="22"/>
        <v>-859362.87761359289</v>
      </c>
      <c r="BB79" s="83">
        <f t="shared" si="22"/>
        <v>-859362.87761359289</v>
      </c>
      <c r="BC79" s="83">
        <f t="shared" si="22"/>
        <v>-859362.87761359289</v>
      </c>
      <c r="BD79" s="83">
        <f t="shared" si="22"/>
        <v>-859362.87761359289</v>
      </c>
      <c r="BE79" s="83">
        <f t="shared" si="22"/>
        <v>-859362.87761359289</v>
      </c>
      <c r="BF79" s="83">
        <f t="shared" si="22"/>
        <v>-859362.87761359289</v>
      </c>
      <c r="BG79" s="83">
        <f t="shared" si="22"/>
        <v>-859362.87761359289</v>
      </c>
      <c r="BH79" s="83">
        <f t="shared" si="22"/>
        <v>-859362.87761359289</v>
      </c>
      <c r="BI79" s="83">
        <f t="shared" si="22"/>
        <v>-859362.87761359289</v>
      </c>
      <c r="BJ79" s="83">
        <f t="shared" si="22"/>
        <v>-859362.87761359289</v>
      </c>
      <c r="BK79" s="83">
        <f t="shared" si="22"/>
        <v>-859362.87761359289</v>
      </c>
      <c r="BL79" s="83">
        <f t="shared" si="22"/>
        <v>-859362.87761359289</v>
      </c>
      <c r="BM79" s="83">
        <f t="shared" si="22"/>
        <v>-859362.87761359289</v>
      </c>
      <c r="BN79" s="83">
        <f t="shared" si="22"/>
        <v>-859362.87761359289</v>
      </c>
      <c r="BO79" s="83">
        <f t="shared" ref="BO79:BV79" si="23">BN79+BO16-BO26</f>
        <v>-859362.87761359289</v>
      </c>
      <c r="BP79" s="83">
        <f t="shared" si="23"/>
        <v>1373909.7423864072</v>
      </c>
      <c r="BQ79" s="83">
        <f t="shared" si="23"/>
        <v>1373909.7423864072</v>
      </c>
      <c r="BR79" s="83">
        <f t="shared" si="23"/>
        <v>1373909.7423864072</v>
      </c>
      <c r="BS79" s="83">
        <f t="shared" si="23"/>
        <v>1373909.7423864072</v>
      </c>
      <c r="BT79" s="83">
        <f t="shared" si="23"/>
        <v>1373909.7423864072</v>
      </c>
      <c r="BU79" s="83">
        <f t="shared" si="23"/>
        <v>1373909.7423864072</v>
      </c>
      <c r="BV79" s="83">
        <f t="shared" si="23"/>
        <v>1373909.7423864072</v>
      </c>
    </row>
    <row r="81" spans="1:74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</row>
    <row r="82" spans="1:74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</row>
    <row r="83" spans="1:74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</row>
    <row r="84" spans="1:74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</row>
    <row r="85" spans="1:74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</row>
    <row r="86" spans="1:74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</row>
    <row r="88" spans="1:74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Y88"/>
  <sheetViews>
    <sheetView topLeftCell="K1" workbookViewId="0">
      <selection activeCell="AA32" sqref="AA32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0.5703125" style="3" customWidth="1"/>
    <col min="6" max="6" width="12.85546875" style="3" customWidth="1"/>
    <col min="7" max="7" width="11.5703125" style="3" customWidth="1"/>
    <col min="8" max="8" width="12" style="3" customWidth="1"/>
    <col min="9" max="9" width="14.5703125" style="3" customWidth="1"/>
    <col min="10" max="10" width="11.85546875" style="3" customWidth="1"/>
    <col min="11" max="11" width="12.42578125" style="3" customWidth="1"/>
    <col min="12" max="12" width="14.85546875" style="3" customWidth="1"/>
    <col min="13" max="13" width="13" style="3" customWidth="1"/>
    <col min="14" max="14" width="12.7109375" style="3" customWidth="1"/>
    <col min="15" max="15" width="11.85546875" style="3" customWidth="1"/>
    <col min="16" max="16" width="13.140625" style="3" customWidth="1"/>
    <col min="17" max="17" width="11.7109375" style="3" customWidth="1"/>
    <col min="18" max="18" width="12.5703125" style="3" customWidth="1"/>
    <col min="19" max="19" width="15.7109375" style="3" customWidth="1"/>
    <col min="20" max="20" width="12.7109375" style="3" customWidth="1"/>
    <col min="21" max="22" width="12.85546875" style="3" customWidth="1"/>
    <col min="23" max="24" width="11.85546875" style="3" customWidth="1"/>
    <col min="25" max="25" width="13" style="3" customWidth="1"/>
    <col min="26" max="26" width="12.28515625" style="3" customWidth="1"/>
    <col min="27" max="27" width="12.140625" style="3" customWidth="1"/>
    <col min="28" max="28" width="11.140625" style="3" customWidth="1"/>
    <col min="29" max="29" width="12.7109375" style="3" customWidth="1"/>
    <col min="30" max="30" width="11.140625" style="3" customWidth="1"/>
    <col min="31" max="31" width="11.7109375" style="3" customWidth="1"/>
    <col min="32" max="32" width="11.5703125" style="3" customWidth="1"/>
    <col min="33" max="34" width="10.85546875" style="3" customWidth="1"/>
    <col min="35" max="35" width="12.85546875" style="3" customWidth="1"/>
    <col min="36" max="36" width="12" style="3" customWidth="1"/>
    <col min="37" max="37" width="11.140625" style="3" customWidth="1"/>
    <col min="38" max="38" width="12.7109375" style="3" customWidth="1"/>
    <col min="39" max="39" width="11.42578125" style="3" customWidth="1"/>
    <col min="40" max="40" width="11.7109375" style="3" customWidth="1"/>
    <col min="41" max="41" width="10.5703125" style="3" customWidth="1"/>
    <col min="42" max="42" width="12" style="3" customWidth="1"/>
    <col min="43" max="43" width="11.140625" style="3" customWidth="1"/>
    <col min="44" max="44" width="10.42578125" style="3" customWidth="1"/>
    <col min="45" max="45" width="10.28515625" style="3" bestFit="1" customWidth="1"/>
    <col min="46" max="46" width="10.42578125" style="3" customWidth="1"/>
    <col min="47" max="47" width="12.5703125" style="3" customWidth="1"/>
    <col min="48" max="48" width="13.28515625" style="3" customWidth="1"/>
    <col min="49" max="49" width="12.140625" style="3" customWidth="1"/>
    <col min="50" max="50" width="12.42578125" style="3" customWidth="1"/>
    <col min="51" max="51" width="12.28515625" style="3" customWidth="1"/>
    <col min="52" max="52" width="10.28515625" style="3" customWidth="1"/>
    <col min="53" max="53" width="11.28515625" style="3" customWidth="1"/>
    <col min="54" max="54" width="11.85546875" style="3" customWidth="1"/>
    <col min="55" max="55" width="12.28515625" style="3" customWidth="1"/>
    <col min="56" max="56" width="11.140625" style="3" customWidth="1"/>
    <col min="57" max="57" width="10.5703125" style="3" customWidth="1"/>
    <col min="58" max="58" width="10.85546875" style="3" customWidth="1"/>
    <col min="59" max="59" width="12" style="3" customWidth="1"/>
    <col min="60" max="60" width="10" style="3" customWidth="1"/>
    <col min="61" max="61" width="11.140625" style="3" customWidth="1"/>
    <col min="62" max="62" width="12.5703125" style="3" customWidth="1"/>
    <col min="63" max="63" width="12.140625" style="3" customWidth="1"/>
    <col min="64" max="64" width="12.42578125" style="3" customWidth="1"/>
    <col min="65" max="65" width="12" style="3" customWidth="1"/>
    <col min="66" max="66" width="14.85546875" style="3" customWidth="1"/>
    <col min="67" max="67" width="11.5703125" style="3" customWidth="1"/>
    <col min="68" max="68" width="13.7109375" style="3" customWidth="1"/>
    <col min="69" max="69" width="12.42578125" style="3" customWidth="1"/>
    <col min="70" max="70" width="10.85546875" style="3" customWidth="1"/>
    <col min="71" max="71" width="12.140625" style="3" customWidth="1"/>
    <col min="72" max="72" width="11.85546875" style="3" customWidth="1"/>
    <col min="73" max="73" width="12.7109375" style="3" customWidth="1"/>
    <col min="74" max="74" width="12.42578125" style="3" customWidth="1"/>
    <col min="75" max="75" width="11.140625" style="3" customWidth="1"/>
    <col min="76" max="76" width="11.5703125" style="3" customWidth="1"/>
    <col min="77" max="77" width="12.28515625" style="3" customWidth="1"/>
    <col min="78" max="16384" width="9" style="3"/>
  </cols>
  <sheetData>
    <row r="1" spans="1:77" ht="12" thickBot="1" x14ac:dyDescent="0.3"/>
    <row r="2" spans="1:77" s="1" customFormat="1" x14ac:dyDescent="0.2">
      <c r="A2" s="43" t="s">
        <v>50</v>
      </c>
      <c r="B2" s="15" t="s">
        <v>27</v>
      </c>
      <c r="C2" s="50">
        <v>1491488.09</v>
      </c>
    </row>
    <row r="3" spans="1:77" s="1" customFormat="1" ht="12" thickBot="1" x14ac:dyDescent="0.25">
      <c r="A3" s="44">
        <v>83.6892</v>
      </c>
      <c r="B3" s="15" t="s">
        <v>28</v>
      </c>
      <c r="C3" s="50">
        <v>10778.95</v>
      </c>
    </row>
    <row r="4" spans="1:77" s="8" customFormat="1" ht="12" thickBot="1" x14ac:dyDescent="0.25">
      <c r="A4" s="45"/>
      <c r="B4" s="15" t="s">
        <v>25</v>
      </c>
      <c r="C4" s="51">
        <v>0</v>
      </c>
    </row>
    <row r="5" spans="1:77" s="6" customFormat="1" x14ac:dyDescent="0.2">
      <c r="A5" s="43" t="s">
        <v>51</v>
      </c>
      <c r="B5" s="49" t="s">
        <v>26</v>
      </c>
      <c r="C5" s="52">
        <f>SUM(C2:C4)</f>
        <v>1502267.04</v>
      </c>
    </row>
    <row r="6" spans="1:77" s="6" customFormat="1" ht="12" thickBot="1" x14ac:dyDescent="0.25">
      <c r="A6" s="44">
        <v>71.371499999999997</v>
      </c>
      <c r="B6" s="16"/>
      <c r="C6" s="53"/>
      <c r="D6" s="17"/>
    </row>
    <row r="7" spans="1:77" s="6" customFormat="1" ht="12" thickBot="1" x14ac:dyDescent="0.25">
      <c r="A7" s="105" t="s">
        <v>51</v>
      </c>
      <c r="B7" s="18" t="s">
        <v>127</v>
      </c>
      <c r="C7" s="54">
        <f>SUM(16:16)</f>
        <v>28058321.652799997</v>
      </c>
    </row>
    <row r="8" spans="1:77" x14ac:dyDescent="0.25">
      <c r="A8" s="43" t="s">
        <v>52</v>
      </c>
      <c r="B8" s="18" t="s">
        <v>126</v>
      </c>
      <c r="C8" s="54">
        <f>SUM(26:26)</f>
        <v>52054675.139883585</v>
      </c>
    </row>
    <row r="9" spans="1:77" ht="12" thickBot="1" x14ac:dyDescent="0.3">
      <c r="A9" s="44">
        <v>10.448700000000001</v>
      </c>
      <c r="B9" s="19" t="s">
        <v>64</v>
      </c>
      <c r="C9" s="55">
        <f>C5+C7-C8-C11</f>
        <v>-46800329.280603588</v>
      </c>
    </row>
    <row r="10" spans="1:77" x14ac:dyDescent="0.25">
      <c r="A10" s="99" t="s">
        <v>80</v>
      </c>
      <c r="B10" s="18" t="s">
        <v>23</v>
      </c>
      <c r="C10" s="56">
        <f>C16</f>
        <v>0</v>
      </c>
    </row>
    <row r="11" spans="1:77" x14ac:dyDescent="0.25">
      <c r="A11" s="101" t="s">
        <v>87</v>
      </c>
      <c r="B11" s="18" t="s">
        <v>24</v>
      </c>
      <c r="C11" s="54">
        <f>C26</f>
        <v>24306242.833520003</v>
      </c>
    </row>
    <row r="12" spans="1:77" x14ac:dyDescent="0.25">
      <c r="A12" s="107" t="s">
        <v>88</v>
      </c>
    </row>
    <row r="13" spans="1:77" x14ac:dyDescent="0.25">
      <c r="A13" s="38"/>
      <c r="B13" s="10"/>
      <c r="C13" s="57"/>
      <c r="D13" s="10"/>
      <c r="E13" s="10"/>
      <c r="F13" s="10"/>
      <c r="G13" s="10"/>
    </row>
    <row r="14" spans="1:77" s="2" customFormat="1" x14ac:dyDescent="0.25">
      <c r="A14" s="64"/>
      <c r="B14" s="65"/>
      <c r="C14" s="58" t="s">
        <v>56</v>
      </c>
      <c r="D14" s="66"/>
      <c r="E14" s="66">
        <v>46171</v>
      </c>
      <c r="F14" s="66">
        <v>46172</v>
      </c>
      <c r="G14" s="66">
        <v>46173</v>
      </c>
      <c r="H14" s="66">
        <v>46174</v>
      </c>
      <c r="I14" s="66">
        <v>46175</v>
      </c>
      <c r="J14" s="66">
        <v>46176</v>
      </c>
      <c r="K14" s="66">
        <v>46177</v>
      </c>
      <c r="L14" s="66">
        <v>46178</v>
      </c>
      <c r="M14" s="66">
        <v>46179</v>
      </c>
      <c r="N14" s="66">
        <v>46180</v>
      </c>
      <c r="O14" s="66">
        <v>46181</v>
      </c>
      <c r="P14" s="66">
        <v>46182</v>
      </c>
      <c r="Q14" s="66">
        <v>46183</v>
      </c>
      <c r="R14" s="66">
        <v>46184</v>
      </c>
      <c r="S14" s="66">
        <v>46185</v>
      </c>
      <c r="T14" s="66">
        <v>46186</v>
      </c>
      <c r="U14" s="66">
        <v>46187</v>
      </c>
      <c r="V14" s="66">
        <v>46188</v>
      </c>
      <c r="W14" s="66">
        <v>46189</v>
      </c>
      <c r="X14" s="66">
        <v>46190</v>
      </c>
      <c r="Y14" s="66">
        <v>46191</v>
      </c>
      <c r="Z14" s="66">
        <v>46192</v>
      </c>
      <c r="AA14" s="66">
        <v>46193</v>
      </c>
      <c r="AB14" s="66">
        <v>46194</v>
      </c>
      <c r="AC14" s="66">
        <v>46195</v>
      </c>
      <c r="AD14" s="66">
        <v>46196</v>
      </c>
      <c r="AE14" s="66">
        <v>46197</v>
      </c>
      <c r="AF14" s="66">
        <v>46198</v>
      </c>
      <c r="AG14" s="66">
        <v>46199</v>
      </c>
      <c r="AH14" s="66">
        <v>46200</v>
      </c>
      <c r="AI14" s="66">
        <v>46201</v>
      </c>
      <c r="AJ14" s="66">
        <v>46202</v>
      </c>
      <c r="AK14" s="66">
        <v>46203</v>
      </c>
      <c r="AL14" s="66">
        <v>46204</v>
      </c>
      <c r="AM14" s="66">
        <v>46205</v>
      </c>
      <c r="AN14" s="66">
        <v>46206</v>
      </c>
      <c r="AO14" s="66">
        <v>46207</v>
      </c>
      <c r="AP14" s="66">
        <v>46208</v>
      </c>
      <c r="AQ14" s="66">
        <v>46209</v>
      </c>
      <c r="AR14" s="66">
        <v>46210</v>
      </c>
      <c r="AS14" s="66">
        <v>46211</v>
      </c>
      <c r="AT14" s="66">
        <v>46212</v>
      </c>
      <c r="AU14" s="66">
        <v>46213</v>
      </c>
      <c r="AV14" s="66">
        <v>46214</v>
      </c>
      <c r="AW14" s="66">
        <v>46215</v>
      </c>
      <c r="AX14" s="66">
        <v>46216</v>
      </c>
      <c r="AY14" s="66">
        <v>46217</v>
      </c>
      <c r="AZ14" s="66">
        <v>46218</v>
      </c>
      <c r="BA14" s="66">
        <v>46219</v>
      </c>
      <c r="BB14" s="66">
        <v>46220</v>
      </c>
      <c r="BC14" s="66">
        <v>46221</v>
      </c>
      <c r="BD14" s="66">
        <v>46222</v>
      </c>
      <c r="BE14" s="66">
        <v>46223</v>
      </c>
      <c r="BF14" s="66">
        <v>46224</v>
      </c>
      <c r="BG14" s="66">
        <v>46225</v>
      </c>
      <c r="BH14" s="66">
        <v>46226</v>
      </c>
      <c r="BI14" s="66">
        <v>46227</v>
      </c>
      <c r="BJ14" s="66">
        <v>46228</v>
      </c>
      <c r="BK14" s="66">
        <v>46229</v>
      </c>
      <c r="BL14" s="66">
        <v>46230</v>
      </c>
      <c r="BM14" s="66">
        <v>46231</v>
      </c>
      <c r="BN14" s="66">
        <v>46232</v>
      </c>
      <c r="BO14" s="66">
        <v>46233</v>
      </c>
      <c r="BP14" s="66">
        <v>46234</v>
      </c>
      <c r="BQ14" s="66">
        <v>46235</v>
      </c>
      <c r="BR14" s="66">
        <v>46236</v>
      </c>
      <c r="BS14" s="66">
        <v>46237</v>
      </c>
      <c r="BT14" s="66">
        <v>46238</v>
      </c>
      <c r="BU14" s="66">
        <v>46239</v>
      </c>
      <c r="BV14" s="66">
        <v>46240</v>
      </c>
      <c r="BW14" s="66">
        <v>46241</v>
      </c>
      <c r="BX14" s="66">
        <v>46242</v>
      </c>
      <c r="BY14" s="66">
        <v>46243</v>
      </c>
    </row>
    <row r="15" spans="1:77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</row>
    <row r="16" spans="1:77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O16" si="0">SUM(E17:E25)</f>
        <v>0</v>
      </c>
      <c r="F16" s="29">
        <f t="shared" si="0"/>
        <v>0</v>
      </c>
      <c r="G16" s="29">
        <f t="shared" si="0"/>
        <v>0</v>
      </c>
      <c r="H16" s="29">
        <f t="shared" si="0"/>
        <v>2650000</v>
      </c>
      <c r="I16" s="29">
        <f t="shared" si="0"/>
        <v>0</v>
      </c>
      <c r="J16" s="29">
        <f t="shared" si="0"/>
        <v>1500000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3929122</v>
      </c>
      <c r="P16" s="29">
        <f t="shared" si="0"/>
        <v>0</v>
      </c>
      <c r="Q16" s="29">
        <f t="shared" si="0"/>
        <v>1000000</v>
      </c>
      <c r="R16" s="29">
        <f t="shared" si="0"/>
        <v>0</v>
      </c>
      <c r="S16" s="135">
        <f t="shared" si="0"/>
        <v>0</v>
      </c>
      <c r="T16" s="135">
        <f t="shared" si="0"/>
        <v>0</v>
      </c>
      <c r="U16" s="135">
        <f t="shared" si="0"/>
        <v>0</v>
      </c>
      <c r="V16" s="29">
        <f t="shared" si="0"/>
        <v>2000000</v>
      </c>
      <c r="W16" s="29">
        <f t="shared" si="0"/>
        <v>0</v>
      </c>
      <c r="X16" s="29">
        <f t="shared" si="0"/>
        <v>0</v>
      </c>
      <c r="Y16" s="29">
        <f t="shared" si="0"/>
        <v>8041193.0927999998</v>
      </c>
      <c r="Z16" s="29">
        <f t="shared" si="0"/>
        <v>0</v>
      </c>
      <c r="AA16" s="135">
        <f t="shared" si="0"/>
        <v>0</v>
      </c>
      <c r="AB16" s="135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135">
        <f t="shared" si="0"/>
        <v>0</v>
      </c>
      <c r="AJ16" s="135">
        <f t="shared" si="0"/>
        <v>0</v>
      </c>
      <c r="AK16" s="29">
        <f t="shared" si="0"/>
        <v>2979335.52</v>
      </c>
      <c r="AL16" s="29">
        <f t="shared" si="0"/>
        <v>0</v>
      </c>
      <c r="AM16" s="29">
        <f t="shared" si="0"/>
        <v>0</v>
      </c>
      <c r="AN16" s="29">
        <f t="shared" si="0"/>
        <v>0</v>
      </c>
      <c r="AO16" s="135">
        <f t="shared" si="0"/>
        <v>0</v>
      </c>
      <c r="AP16" s="135">
        <f t="shared" si="0"/>
        <v>0</v>
      </c>
      <c r="AQ16" s="29">
        <f t="shared" si="0"/>
        <v>0</v>
      </c>
      <c r="AR16" s="29">
        <f t="shared" si="0"/>
        <v>2979335.52</v>
      </c>
      <c r="AS16" s="29">
        <f t="shared" si="0"/>
        <v>0</v>
      </c>
      <c r="AT16" s="29">
        <f t="shared" si="0"/>
        <v>0</v>
      </c>
      <c r="AU16" s="29">
        <f t="shared" si="0"/>
        <v>0</v>
      </c>
      <c r="AV16" s="135">
        <f t="shared" si="0"/>
        <v>0</v>
      </c>
      <c r="AW16" s="135">
        <f t="shared" si="0"/>
        <v>0</v>
      </c>
      <c r="AX16" s="29">
        <f t="shared" si="0"/>
        <v>0</v>
      </c>
      <c r="AY16" s="29">
        <f t="shared" si="0"/>
        <v>0</v>
      </c>
      <c r="AZ16" s="29">
        <f t="shared" si="0"/>
        <v>0</v>
      </c>
      <c r="BA16" s="29">
        <f t="shared" si="0"/>
        <v>0</v>
      </c>
      <c r="BB16" s="29">
        <f t="shared" si="0"/>
        <v>0</v>
      </c>
      <c r="BC16" s="135">
        <f t="shared" si="0"/>
        <v>0</v>
      </c>
      <c r="BD16" s="135">
        <f t="shared" si="0"/>
        <v>0</v>
      </c>
      <c r="BE16" s="29">
        <f t="shared" si="0"/>
        <v>0</v>
      </c>
      <c r="BF16" s="29">
        <f t="shared" si="0"/>
        <v>0</v>
      </c>
      <c r="BG16" s="29">
        <f t="shared" si="0"/>
        <v>0</v>
      </c>
      <c r="BH16" s="29">
        <f t="shared" si="0"/>
        <v>0</v>
      </c>
      <c r="BI16" s="29">
        <f t="shared" si="0"/>
        <v>0</v>
      </c>
      <c r="BJ16" s="135">
        <f t="shared" si="0"/>
        <v>0</v>
      </c>
      <c r="BK16" s="135">
        <f t="shared" si="0"/>
        <v>0</v>
      </c>
      <c r="BL16" s="29">
        <f t="shared" si="0"/>
        <v>0</v>
      </c>
      <c r="BM16" s="29">
        <f t="shared" si="0"/>
        <v>0</v>
      </c>
      <c r="BN16" s="29">
        <f t="shared" si="0"/>
        <v>0</v>
      </c>
      <c r="BO16" s="29">
        <f t="shared" si="0"/>
        <v>0</v>
      </c>
      <c r="BP16" s="29">
        <f t="shared" ref="BP16:BY16" si="1">SUM(BP17:BP25)</f>
        <v>0</v>
      </c>
      <c r="BQ16" s="135">
        <f t="shared" si="1"/>
        <v>0</v>
      </c>
      <c r="BR16" s="135">
        <f t="shared" si="1"/>
        <v>0</v>
      </c>
      <c r="BS16" s="29">
        <f t="shared" si="1"/>
        <v>2979335.52</v>
      </c>
      <c r="BT16" s="29">
        <f t="shared" si="1"/>
        <v>0</v>
      </c>
      <c r="BU16" s="29">
        <f t="shared" si="1"/>
        <v>0</v>
      </c>
      <c r="BV16" s="29">
        <f t="shared" si="1"/>
        <v>0</v>
      </c>
      <c r="BW16" s="29">
        <f t="shared" si="1"/>
        <v>0</v>
      </c>
      <c r="BX16" s="29">
        <f t="shared" si="1"/>
        <v>0</v>
      </c>
      <c r="BY16" s="29">
        <f t="shared" si="1"/>
        <v>0</v>
      </c>
    </row>
    <row r="17" spans="1:77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</row>
    <row r="18" spans="1:77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1">
        <f>5300000/2</f>
        <v>2650000</v>
      </c>
      <c r="I18" s="30"/>
      <c r="J18" s="30">
        <v>1500000</v>
      </c>
      <c r="K18" s="30"/>
      <c r="L18" s="30"/>
      <c r="M18" s="30"/>
      <c r="N18" s="30"/>
      <c r="O18" s="30">
        <v>1000000</v>
      </c>
      <c r="P18" s="30"/>
      <c r="Q18" s="30">
        <v>1000000</v>
      </c>
      <c r="R18" s="30"/>
      <c r="S18" s="30"/>
      <c r="T18" s="30"/>
      <c r="U18" s="30"/>
      <c r="V18" s="30">
        <v>2000000</v>
      </c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</row>
    <row r="19" spans="1:77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</row>
    <row r="20" spans="1:77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</row>
    <row r="21" spans="1:77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</row>
    <row r="22" spans="1:77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</row>
    <row r="23" spans="1:77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>
        <f>96084*A3</f>
        <v>8041193.0927999998</v>
      </c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</row>
    <row r="24" spans="1:77" s="80" customFormat="1" x14ac:dyDescent="0.25">
      <c r="A24" s="40" t="s">
        <v>13</v>
      </c>
      <c r="B24" s="21"/>
      <c r="C24" s="59"/>
      <c r="D24" s="30"/>
      <c r="F24" s="30"/>
      <c r="G24" s="30"/>
      <c r="H24" s="30"/>
      <c r="I24" s="30"/>
      <c r="J24" s="30"/>
      <c r="K24" s="30"/>
      <c r="L24" s="30"/>
      <c r="M24" s="30"/>
      <c r="N24" s="30"/>
      <c r="O24" s="30">
        <f>35000*A3</f>
        <v>2929122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K24" s="30">
        <f>35600*A3</f>
        <v>2979335.52</v>
      </c>
      <c r="AL24" s="30"/>
      <c r="AM24" s="30"/>
      <c r="AN24" s="30"/>
      <c r="AO24" s="30"/>
      <c r="AP24" s="30"/>
      <c r="AQ24" s="30"/>
      <c r="AR24" s="30">
        <f>35600*A3</f>
        <v>2979335.52</v>
      </c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165">
        <f>35600*A3</f>
        <v>2979335.52</v>
      </c>
      <c r="BT24" s="30"/>
      <c r="BU24" s="30"/>
      <c r="BV24" s="30"/>
      <c r="BW24" s="30"/>
      <c r="BX24" s="30"/>
      <c r="BY24" s="30"/>
    </row>
    <row r="25" spans="1:77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</row>
    <row r="26" spans="1:77" s="4" customFormat="1" x14ac:dyDescent="0.2">
      <c r="A26" s="41" t="s">
        <v>1</v>
      </c>
      <c r="B26" s="22"/>
      <c r="C26" s="34">
        <f>SUM(C28:C77)</f>
        <v>24306242.833520003</v>
      </c>
      <c r="D26" s="34"/>
      <c r="E26" s="34">
        <f t="shared" ref="E26:BO26" si="2">SUM(E27:E78)</f>
        <v>489651.73220000003</v>
      </c>
      <c r="F26" s="34">
        <f t="shared" si="2"/>
        <v>0</v>
      </c>
      <c r="G26" s="34">
        <f t="shared" si="2"/>
        <v>0</v>
      </c>
      <c r="H26" s="34">
        <f t="shared" si="2"/>
        <v>2627079.8043290041</v>
      </c>
      <c r="I26" s="34">
        <f t="shared" si="2"/>
        <v>736544.59791666665</v>
      </c>
      <c r="J26" s="34">
        <f t="shared" si="2"/>
        <v>402544.46666666667</v>
      </c>
      <c r="K26" s="34">
        <f t="shared" si="2"/>
        <v>160245.79999999999</v>
      </c>
      <c r="L26" s="34">
        <f t="shared" si="2"/>
        <v>928462.68984848482</v>
      </c>
      <c r="M26" s="34">
        <f t="shared" si="2"/>
        <v>0</v>
      </c>
      <c r="N26" s="34">
        <f t="shared" si="2"/>
        <v>0</v>
      </c>
      <c r="O26" s="34">
        <f t="shared" si="2"/>
        <v>3350831.9552597404</v>
      </c>
      <c r="P26" s="34">
        <f t="shared" si="2"/>
        <v>264435.26500000001</v>
      </c>
      <c r="Q26" s="34">
        <f t="shared" si="2"/>
        <v>1088647.8831818183</v>
      </c>
      <c r="R26" s="34">
        <f t="shared" si="2"/>
        <v>841980.43333333347</v>
      </c>
      <c r="S26" s="34">
        <f t="shared" si="2"/>
        <v>0</v>
      </c>
      <c r="T26" s="34">
        <f t="shared" si="2"/>
        <v>0</v>
      </c>
      <c r="U26" s="34">
        <f t="shared" si="2"/>
        <v>0</v>
      </c>
      <c r="V26" s="34">
        <f t="shared" si="2"/>
        <v>1203878.1181818182</v>
      </c>
      <c r="W26" s="34">
        <f t="shared" si="2"/>
        <v>179606.28742000001</v>
      </c>
      <c r="X26" s="34">
        <f t="shared" si="2"/>
        <v>387979.26367999997</v>
      </c>
      <c r="Y26" s="34">
        <f t="shared" si="2"/>
        <v>2091571.6492818182</v>
      </c>
      <c r="Z26" s="34">
        <f t="shared" si="2"/>
        <v>955391.30620363634</v>
      </c>
      <c r="AA26" s="34">
        <f t="shared" si="2"/>
        <v>0</v>
      </c>
      <c r="AB26" s="34">
        <f t="shared" si="2"/>
        <v>0</v>
      </c>
      <c r="AC26" s="34">
        <f t="shared" si="2"/>
        <v>573700.87701333337</v>
      </c>
      <c r="AD26" s="34">
        <f t="shared" si="2"/>
        <v>336143.54368</v>
      </c>
      <c r="AE26" s="34">
        <f t="shared" si="2"/>
        <v>309782.01571333339</v>
      </c>
      <c r="AF26" s="34">
        <f t="shared" si="2"/>
        <v>174237.87701333335</v>
      </c>
      <c r="AG26" s="34">
        <f t="shared" si="2"/>
        <v>446365.16443333332</v>
      </c>
      <c r="AH26" s="34">
        <f t="shared" si="2"/>
        <v>0</v>
      </c>
      <c r="AI26" s="34">
        <f t="shared" si="2"/>
        <v>0</v>
      </c>
      <c r="AJ26" s="34">
        <f t="shared" si="2"/>
        <v>495743.87701333332</v>
      </c>
      <c r="AK26" s="34">
        <f t="shared" si="2"/>
        <v>3487081.1644333336</v>
      </c>
      <c r="AL26" s="34">
        <f t="shared" si="2"/>
        <v>1379943.4560133335</v>
      </c>
      <c r="AM26" s="34">
        <f t="shared" si="2"/>
        <v>928988.44368000003</v>
      </c>
      <c r="AN26" s="34">
        <f t="shared" si="2"/>
        <v>219679.10560181818</v>
      </c>
      <c r="AO26" s="34">
        <f t="shared" si="2"/>
        <v>0</v>
      </c>
      <c r="AP26" s="34">
        <f t="shared" si="2"/>
        <v>0</v>
      </c>
      <c r="AQ26" s="34">
        <f t="shared" si="2"/>
        <v>182925.54368</v>
      </c>
      <c r="AR26" s="34">
        <f t="shared" si="2"/>
        <v>143804.81818181818</v>
      </c>
      <c r="AS26" s="34">
        <f t="shared" si="2"/>
        <v>314228.08736</v>
      </c>
      <c r="AT26" s="34">
        <f t="shared" si="2"/>
        <v>275107.36186181818</v>
      </c>
      <c r="AU26" s="34">
        <f t="shared" si="2"/>
        <v>51623</v>
      </c>
      <c r="AV26" s="34">
        <f t="shared" si="2"/>
        <v>0</v>
      </c>
      <c r="AW26" s="34">
        <f t="shared" si="2"/>
        <v>0</v>
      </c>
      <c r="AX26" s="34">
        <f t="shared" si="2"/>
        <v>1778736</v>
      </c>
      <c r="AY26" s="34">
        <f t="shared" si="2"/>
        <v>143804.81818181818</v>
      </c>
      <c r="AZ26" s="34">
        <f t="shared" si="2"/>
        <v>51623</v>
      </c>
      <c r="BA26" s="34">
        <f t="shared" si="2"/>
        <v>0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si="2"/>
        <v>0</v>
      </c>
      <c r="BO26" s="34">
        <f t="shared" si="2"/>
        <v>0</v>
      </c>
      <c r="BP26" s="34">
        <f t="shared" ref="BP26:BY26" si="3">SUM(BP27:BP78)</f>
        <v>0</v>
      </c>
      <c r="BQ26" s="34">
        <f t="shared" si="3"/>
        <v>0</v>
      </c>
      <c r="BR26" s="34">
        <f t="shared" si="3"/>
        <v>0</v>
      </c>
      <c r="BS26" s="34">
        <f t="shared" si="3"/>
        <v>746062.9</v>
      </c>
      <c r="BT26" s="34">
        <f t="shared" si="3"/>
        <v>0</v>
      </c>
      <c r="BU26" s="34">
        <f t="shared" si="3"/>
        <v>0</v>
      </c>
      <c r="BV26" s="34">
        <f t="shared" si="3"/>
        <v>0</v>
      </c>
      <c r="BW26" s="34">
        <f t="shared" si="3"/>
        <v>0</v>
      </c>
      <c r="BX26" s="34">
        <f t="shared" si="3"/>
        <v>0</v>
      </c>
      <c r="BY26" s="34">
        <f t="shared" si="3"/>
        <v>0</v>
      </c>
    </row>
    <row r="27" spans="1:77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</row>
    <row r="28" spans="1:77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</row>
    <row r="29" spans="1:77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</row>
    <row r="30" spans="1:77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>
        <f>8399365/3</f>
        <v>2799788.3333333335</v>
      </c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</row>
    <row r="31" spans="1:77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90">
        <f>291375+137118</f>
        <v>428493</v>
      </c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</row>
    <row r="32" spans="1:77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/>
      <c r="I32" s="24">
        <v>400000</v>
      </c>
      <c r="J32" s="24"/>
      <c r="K32" s="24"/>
      <c r="L32" s="24"/>
      <c r="M32" s="24"/>
      <c r="N32" s="24"/>
      <c r="O32" s="24"/>
      <c r="P32" s="24"/>
      <c r="Q32" s="24">
        <v>350000</v>
      </c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</row>
    <row r="33" spans="1:77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T33" s="24"/>
      <c r="U33" s="24"/>
      <c r="V33" s="24">
        <v>271506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>
        <v>271506</v>
      </c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</row>
    <row r="34" spans="1:77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</row>
    <row r="35" spans="1:77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>
        <v>100113.9</v>
      </c>
      <c r="P35" s="24"/>
      <c r="Q35" s="24"/>
      <c r="R35" s="24">
        <v>100000</v>
      </c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>
        <v>200113.9</v>
      </c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>
        <v>200113.9</v>
      </c>
      <c r="BT35" s="24"/>
      <c r="BU35" s="24"/>
      <c r="BV35" s="24"/>
      <c r="BW35" s="24"/>
      <c r="BX35" s="24"/>
      <c r="BY35" s="24"/>
    </row>
    <row r="36" spans="1:77" s="1" customFormat="1" x14ac:dyDescent="0.2">
      <c r="A36" s="36" t="s">
        <v>53</v>
      </c>
      <c r="B36" s="23"/>
      <c r="C36" s="60"/>
      <c r="D36" s="24"/>
      <c r="E36" s="24"/>
      <c r="F36" s="24"/>
      <c r="G36" s="24"/>
      <c r="H36" s="24"/>
      <c r="I36" s="24"/>
      <c r="J36" s="24"/>
      <c r="K36" s="24"/>
      <c r="L36" s="24">
        <f>545949/6</f>
        <v>90991.5</v>
      </c>
      <c r="M36" s="24"/>
      <c r="N36" s="24"/>
      <c r="O36" s="24">
        <f t="shared" ref="O36:V36" si="4">545949/6</f>
        <v>90991.5</v>
      </c>
      <c r="P36" s="24">
        <f t="shared" si="4"/>
        <v>90991.5</v>
      </c>
      <c r="Q36" s="24">
        <f t="shared" si="4"/>
        <v>90991.5</v>
      </c>
      <c r="R36" s="24">
        <f t="shared" si="4"/>
        <v>90991.5</v>
      </c>
      <c r="T36" s="24"/>
      <c r="U36" s="24"/>
      <c r="V36" s="24">
        <f t="shared" si="4"/>
        <v>90991.5</v>
      </c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>
        <v>545949</v>
      </c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>
        <v>545949</v>
      </c>
      <c r="BT36" s="24"/>
      <c r="BU36" s="24"/>
      <c r="BV36" s="24"/>
      <c r="BW36" s="24"/>
      <c r="BX36" s="24"/>
      <c r="BY36" s="24"/>
    </row>
    <row r="37" spans="1:77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</row>
    <row r="38" spans="1:77" s="71" customFormat="1" x14ac:dyDescent="0.2">
      <c r="A38" s="69" t="s">
        <v>14</v>
      </c>
      <c r="B38" s="25" t="s">
        <v>30</v>
      </c>
      <c r="C38" s="70"/>
      <c r="D38" s="24"/>
      <c r="E38" s="24"/>
      <c r="F38" s="24"/>
      <c r="G38" s="24"/>
      <c r="H38" s="108">
        <f t="shared" ref="H38:V38" si="5">191379/5</f>
        <v>38275.800000000003</v>
      </c>
      <c r="J38" s="108">
        <f t="shared" si="5"/>
        <v>38275.800000000003</v>
      </c>
      <c r="K38" s="108">
        <f t="shared" si="5"/>
        <v>38275.800000000003</v>
      </c>
      <c r="L38" s="108">
        <f>191379/5-822.2</f>
        <v>37453.600000000006</v>
      </c>
      <c r="M38" s="24"/>
      <c r="N38" s="24"/>
      <c r="O38" s="108">
        <f t="shared" ref="O38" si="6">170889/5</f>
        <v>34177.800000000003</v>
      </c>
      <c r="P38" s="24"/>
      <c r="Q38" s="108">
        <f>170889/5</f>
        <v>34177.800000000003</v>
      </c>
      <c r="R38" s="108">
        <f>170889/5-823</f>
        <v>33354.800000000003</v>
      </c>
      <c r="S38" s="24"/>
      <c r="T38" s="24"/>
      <c r="U38" s="24"/>
      <c r="V38" s="108">
        <f t="shared" si="5"/>
        <v>38275.800000000003</v>
      </c>
      <c r="W38" s="24"/>
      <c r="X38" s="108">
        <v>35000</v>
      </c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</row>
    <row r="39" spans="1:77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24"/>
      <c r="H39" s="24"/>
      <c r="I39" s="108">
        <f>156160/6</f>
        <v>26026.666666666668</v>
      </c>
      <c r="J39" s="24"/>
      <c r="K39" s="24"/>
      <c r="L39" s="108">
        <f>156160/6+1026.67+1026.67</f>
        <v>28080.006666666668</v>
      </c>
      <c r="M39" s="24"/>
      <c r="N39" s="24"/>
      <c r="O39" s="24"/>
      <c r="P39" s="24"/>
      <c r="Q39" s="24"/>
      <c r="R39" s="100">
        <f>312320/10</f>
        <v>31232</v>
      </c>
      <c r="S39" s="24"/>
      <c r="T39" s="24"/>
      <c r="U39" s="24"/>
      <c r="V39" s="24"/>
      <c r="W39" s="100">
        <f>312320/10</f>
        <v>31232</v>
      </c>
      <c r="X39" s="24"/>
      <c r="Y39" s="24"/>
      <c r="Z39" s="100">
        <f>312320/10</f>
        <v>31232</v>
      </c>
      <c r="AA39" s="24"/>
      <c r="AB39" s="24"/>
      <c r="AC39" s="108">
        <f>312320/10</f>
        <v>31232</v>
      </c>
      <c r="AD39" s="24"/>
      <c r="AE39" s="108">
        <f>312320/10</f>
        <v>31232</v>
      </c>
      <c r="AF39" s="24"/>
      <c r="AG39" s="108">
        <f>312320/10</f>
        <v>31232</v>
      </c>
      <c r="AH39" s="24"/>
      <c r="AI39" s="24"/>
      <c r="AJ39" s="108">
        <v>124838</v>
      </c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</row>
    <row r="40" spans="1:77" s="71" customFormat="1" x14ac:dyDescent="0.2">
      <c r="A40" s="69" t="s">
        <v>117</v>
      </c>
      <c r="B40" s="25" t="s">
        <v>119</v>
      </c>
      <c r="C40" s="70">
        <v>691000</v>
      </c>
      <c r="D40" s="24"/>
      <c r="E40" s="24"/>
      <c r="F40" s="24"/>
      <c r="G40" s="24"/>
      <c r="H40" s="108">
        <f>100000/2</f>
        <v>50000</v>
      </c>
      <c r="I40" s="24"/>
      <c r="J40" s="108">
        <f>100000/2</f>
        <v>50000</v>
      </c>
      <c r="K40" s="108">
        <f>91000/2</f>
        <v>45500</v>
      </c>
      <c r="L40" s="108">
        <f>100000/2</f>
        <v>50000</v>
      </c>
      <c r="M40" s="24"/>
      <c r="N40" s="24"/>
      <c r="O40" s="108">
        <f>91000/2</f>
        <v>45500</v>
      </c>
      <c r="P40" s="108">
        <v>50000</v>
      </c>
      <c r="Q40" s="24"/>
      <c r="R40" s="108">
        <v>50000</v>
      </c>
      <c r="T40" s="24"/>
      <c r="U40" s="24"/>
      <c r="V40" s="24"/>
      <c r="W40" s="24"/>
      <c r="X40" s="24"/>
      <c r="Y40" s="108">
        <v>150000</v>
      </c>
      <c r="Z40" s="108">
        <v>100000</v>
      </c>
      <c r="AA40" s="24"/>
      <c r="AB40" s="24"/>
      <c r="AC40" s="24"/>
      <c r="AD40" s="108">
        <v>100000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</row>
    <row r="41" spans="1:77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100">
        <v>235200</v>
      </c>
      <c r="M41" s="24"/>
      <c r="N41" s="24"/>
      <c r="O41" s="24"/>
      <c r="P41" s="24"/>
      <c r="Q41" s="24"/>
      <c r="R41" s="100">
        <f>510600/2</f>
        <v>255300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</row>
    <row r="42" spans="1:77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1375000-500000-175000-50000-25000-25000-25000-50000-25000-50000-25000-25000-30000-25000-30000</f>
        <v>315000</v>
      </c>
      <c r="D42" s="24"/>
      <c r="E42" s="28"/>
      <c r="F42" s="24"/>
      <c r="G42" s="24"/>
      <c r="H42" s="129">
        <f>95000/2</f>
        <v>47500</v>
      </c>
      <c r="I42" s="24"/>
      <c r="J42" s="129">
        <v>50000</v>
      </c>
      <c r="K42" s="129">
        <v>40000</v>
      </c>
      <c r="L42" s="129">
        <v>50000</v>
      </c>
      <c r="M42" s="24"/>
      <c r="N42" s="24"/>
      <c r="O42" s="129">
        <v>50000</v>
      </c>
      <c r="Q42" s="129">
        <v>30000</v>
      </c>
      <c r="R42" s="24"/>
      <c r="T42" s="24"/>
      <c r="U42" s="24"/>
      <c r="V42" s="108">
        <f>510600/2</f>
        <v>255300</v>
      </c>
      <c r="W42" s="129">
        <f>95000/2</f>
        <v>47500</v>
      </c>
      <c r="X42" s="24"/>
      <c r="Y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</row>
    <row r="43" spans="1:77" s="71" customFormat="1" x14ac:dyDescent="0.2">
      <c r="A43" s="69" t="s">
        <v>15</v>
      </c>
      <c r="B43" s="25" t="s">
        <v>31</v>
      </c>
      <c r="C43" s="70">
        <f>2480914-516230-48700-50000-50000-50000</f>
        <v>1765984</v>
      </c>
      <c r="D43" s="24"/>
      <c r="E43" s="24"/>
      <c r="F43" s="24"/>
      <c r="G43" s="24"/>
      <c r="H43" s="108">
        <f>(515224/4)/3</f>
        <v>42935.333333333336</v>
      </c>
      <c r="J43" s="108">
        <f t="shared" ref="J43:AF43" si="7">(515224/4)/3</f>
        <v>42935.333333333336</v>
      </c>
      <c r="K43" s="24"/>
      <c r="L43" s="140">
        <f>195080/4+5112</f>
        <v>53882</v>
      </c>
      <c r="M43" s="24"/>
      <c r="N43" s="24"/>
      <c r="O43" s="108">
        <f>(45000+65224)/2</f>
        <v>55112</v>
      </c>
      <c r="P43" s="140">
        <f t="shared" ref="P43" si="8">195080/4</f>
        <v>48770</v>
      </c>
      <c r="Q43" s="108">
        <f t="shared" ref="Q43:R43" si="9">516230/10</f>
        <v>51623</v>
      </c>
      <c r="R43" s="108">
        <f t="shared" si="9"/>
        <v>51623</v>
      </c>
      <c r="T43" s="24"/>
      <c r="U43" s="24"/>
      <c r="V43" s="108">
        <f>516230/10</f>
        <v>51623</v>
      </c>
      <c r="X43" s="108">
        <f t="shared" ref="X43:AZ43" si="10">516230/10</f>
        <v>51623</v>
      </c>
      <c r="Y43" s="108">
        <f t="shared" si="10"/>
        <v>51623</v>
      </c>
      <c r="Z43" s="108">
        <f>516230/10</f>
        <v>51623</v>
      </c>
      <c r="AA43" s="24"/>
      <c r="AB43" s="24"/>
      <c r="AC43" s="108">
        <f>516230/10</f>
        <v>51623</v>
      </c>
      <c r="AD43" s="108">
        <f>516230/10+15224</f>
        <v>66847</v>
      </c>
      <c r="AE43" s="24"/>
      <c r="AF43" s="108">
        <f t="shared" si="7"/>
        <v>42935.333333333336</v>
      </c>
      <c r="AG43" s="108">
        <f>516230/10</f>
        <v>51623</v>
      </c>
      <c r="AH43" s="24"/>
      <c r="AI43" s="24"/>
      <c r="AJ43" s="98">
        <f>515224/4+54464</f>
        <v>183270</v>
      </c>
      <c r="AK43" s="108">
        <f t="shared" ref="AK43:AN43" si="11">516230/10</f>
        <v>51623</v>
      </c>
      <c r="AL43" s="108">
        <f t="shared" si="11"/>
        <v>51623</v>
      </c>
      <c r="AM43" s="108">
        <f t="shared" si="11"/>
        <v>51623</v>
      </c>
      <c r="AN43" s="108">
        <f t="shared" si="11"/>
        <v>51623</v>
      </c>
      <c r="AO43" s="24"/>
      <c r="AP43" s="24"/>
      <c r="AQ43" s="108">
        <f t="shared" ref="AQ43:AU43" si="12">516230/10</f>
        <v>51623</v>
      </c>
      <c r="AR43" s="108">
        <f t="shared" si="12"/>
        <v>51623</v>
      </c>
      <c r="AS43" s="108">
        <f t="shared" si="12"/>
        <v>51623</v>
      </c>
      <c r="AT43" s="108">
        <f t="shared" si="12"/>
        <v>51623</v>
      </c>
      <c r="AU43" s="108">
        <f t="shared" si="12"/>
        <v>51623</v>
      </c>
      <c r="AV43" s="24"/>
      <c r="AW43" s="24"/>
      <c r="AX43" s="100">
        <v>516230</v>
      </c>
      <c r="AY43" s="108">
        <f>516230/10</f>
        <v>51623</v>
      </c>
      <c r="AZ43" s="108">
        <f t="shared" si="10"/>
        <v>51623</v>
      </c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</row>
    <row r="44" spans="1:77" s="71" customFormat="1" x14ac:dyDescent="0.2">
      <c r="A44" s="69" t="s">
        <v>16</v>
      </c>
      <c r="B44" s="25" t="s">
        <v>32</v>
      </c>
      <c r="C44" s="70">
        <f>449410-99410-50000+15000-25000-25000</f>
        <v>265000</v>
      </c>
      <c r="D44" s="24"/>
      <c r="E44" s="24"/>
      <c r="F44" s="24"/>
      <c r="G44" s="24"/>
      <c r="I44" s="108">
        <f>(172350+10000)/5</f>
        <v>36470</v>
      </c>
      <c r="K44" s="108">
        <f t="shared" ref="K44:AD44" si="13">(172350+10000)/5</f>
        <v>36470</v>
      </c>
      <c r="L44" s="28"/>
      <c r="M44" s="24"/>
      <c r="N44" s="24"/>
      <c r="O44" s="108">
        <v>50000</v>
      </c>
      <c r="P44" s="24"/>
      <c r="Q44" s="108">
        <v>50000</v>
      </c>
      <c r="R44" s="24"/>
      <c r="S44" s="24"/>
      <c r="T44" s="24"/>
      <c r="U44" s="24"/>
      <c r="V44" s="24"/>
      <c r="W44" s="24"/>
      <c r="X44" s="24"/>
      <c r="Y44" s="108">
        <f>(172350+10000)/5+4120</f>
        <v>40590</v>
      </c>
      <c r="Z44" s="24"/>
      <c r="AA44" s="24"/>
      <c r="AB44" s="24"/>
      <c r="AC44" s="24"/>
      <c r="AD44" s="108">
        <f t="shared" si="13"/>
        <v>36470</v>
      </c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</row>
    <row r="45" spans="1:77" s="71" customFormat="1" x14ac:dyDescent="0.2">
      <c r="A45" s="69" t="s">
        <v>85</v>
      </c>
      <c r="B45" s="25" t="s">
        <v>47</v>
      </c>
      <c r="C45" s="70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</row>
    <row r="46" spans="1:77" s="71" customFormat="1" x14ac:dyDescent="0.2">
      <c r="A46" s="69" t="s">
        <v>143</v>
      </c>
      <c r="B46" s="25" t="s">
        <v>45</v>
      </c>
      <c r="C46" s="24">
        <f>188496*A9</f>
        <v>1969538.1552000002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8"/>
      <c r="T46" s="24"/>
      <c r="U46" s="24"/>
      <c r="W46" s="24"/>
      <c r="X46" s="108">
        <f t="shared" ref="X46:AQ46" si="14">(188496*$A$9)/15</f>
        <v>131302.54368</v>
      </c>
      <c r="Y46" s="108">
        <f t="shared" si="14"/>
        <v>131302.54368</v>
      </c>
      <c r="AA46" s="24"/>
      <c r="AB46" s="24"/>
      <c r="AC46" s="108">
        <f>(188496*$A$9)/15</f>
        <v>131302.54368</v>
      </c>
      <c r="AD46" s="108">
        <f t="shared" ref="AD46:AG46" si="15">(188496*$A$9)/15</f>
        <v>131302.54368</v>
      </c>
      <c r="AE46" s="108">
        <f t="shared" si="15"/>
        <v>131302.54368</v>
      </c>
      <c r="AF46" s="108">
        <f t="shared" si="15"/>
        <v>131302.54368</v>
      </c>
      <c r="AG46" s="108">
        <f t="shared" si="15"/>
        <v>131302.54368</v>
      </c>
      <c r="AH46" s="24"/>
      <c r="AI46" s="24"/>
      <c r="AJ46" s="108">
        <f>(188496*$A$9)/15</f>
        <v>131302.54368</v>
      </c>
      <c r="AK46" s="108">
        <f t="shared" ref="AK46:AM46" si="16">(188496*$A$9)/15</f>
        <v>131302.54368</v>
      </c>
      <c r="AL46" s="108">
        <f t="shared" si="16"/>
        <v>131302.54368</v>
      </c>
      <c r="AM46" s="108">
        <f t="shared" si="16"/>
        <v>131302.54368</v>
      </c>
      <c r="AN46" s="28"/>
      <c r="AO46" s="24"/>
      <c r="AP46" s="24"/>
      <c r="AQ46" s="108">
        <f t="shared" si="14"/>
        <v>131302.54368</v>
      </c>
      <c r="AR46" s="24"/>
      <c r="AS46" s="108">
        <f>((188496*$A$9)/15)*2</f>
        <v>262605.08736</v>
      </c>
      <c r="AT46" s="108">
        <f>(188496*$A$9)/15</f>
        <v>131302.54368</v>
      </c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</row>
    <row r="47" spans="1:77" s="71" customFormat="1" x14ac:dyDescent="0.2">
      <c r="A47" s="69" t="s">
        <v>120</v>
      </c>
      <c r="B47" s="25" t="s">
        <v>121</v>
      </c>
      <c r="C47" s="120">
        <f>507000+1014000-47000</f>
        <v>1474000</v>
      </c>
      <c r="D47" s="24"/>
      <c r="E47" s="24"/>
      <c r="F47" s="24"/>
      <c r="G47" s="24"/>
      <c r="H47" s="108">
        <f t="shared" ref="H47:AL47" si="17">507000/9</f>
        <v>56333.333333333336</v>
      </c>
      <c r="J47" s="108">
        <f t="shared" si="17"/>
        <v>56333.333333333336</v>
      </c>
      <c r="L47" s="108">
        <f>1014000/11</f>
        <v>92181.818181818177</v>
      </c>
      <c r="M47" s="24"/>
      <c r="N47" s="24"/>
      <c r="O47" s="108">
        <f t="shared" ref="O47:AR47" si="18">1014000/11</f>
        <v>92181.818181818177</v>
      </c>
      <c r="Q47" s="108">
        <f t="shared" si="18"/>
        <v>92181.818181818177</v>
      </c>
      <c r="R47" s="108">
        <f t="shared" ref="R47:AG47" si="19">507000/9</f>
        <v>56333.333333333336</v>
      </c>
      <c r="S47" s="28"/>
      <c r="T47" s="24"/>
      <c r="U47" s="24"/>
      <c r="V47" s="108">
        <f t="shared" ref="V47:AY47" si="20">1014000/11</f>
        <v>92181.818181818177</v>
      </c>
      <c r="W47" s="24"/>
      <c r="Y47" s="108">
        <f t="shared" si="20"/>
        <v>92181.818181818177</v>
      </c>
      <c r="Z47" s="108">
        <f>(1014000/11)*2+9333.33</f>
        <v>193696.96636363634</v>
      </c>
      <c r="AA47" s="24"/>
      <c r="AB47" s="24"/>
      <c r="AC47" s="108">
        <f>507000/9</f>
        <v>56333.333333333336</v>
      </c>
      <c r="AD47" s="24"/>
      <c r="AE47" s="108">
        <f t="shared" si="19"/>
        <v>56333.333333333336</v>
      </c>
      <c r="AF47" s="24"/>
      <c r="AG47" s="108">
        <f t="shared" si="19"/>
        <v>56333.333333333336</v>
      </c>
      <c r="AH47" s="24"/>
      <c r="AI47" s="24"/>
      <c r="AJ47" s="108">
        <f t="shared" si="17"/>
        <v>56333.333333333336</v>
      </c>
      <c r="AK47" s="24"/>
      <c r="AL47" s="108">
        <f t="shared" si="17"/>
        <v>56333.333333333336</v>
      </c>
      <c r="AN47" s="108">
        <f t="shared" si="18"/>
        <v>92181.818181818177</v>
      </c>
      <c r="AO47" s="24"/>
      <c r="AP47" s="24"/>
      <c r="AQ47" s="24"/>
      <c r="AR47" s="108">
        <f t="shared" si="18"/>
        <v>92181.818181818177</v>
      </c>
      <c r="AS47" s="24"/>
      <c r="AT47" s="108">
        <f t="shared" si="20"/>
        <v>92181.818181818177</v>
      </c>
      <c r="AU47" s="24"/>
      <c r="AV47" s="24"/>
      <c r="AW47" s="24"/>
      <c r="AX47" s="108">
        <v>991000</v>
      </c>
      <c r="AY47" s="108">
        <f t="shared" si="20"/>
        <v>92181.818181818177</v>
      </c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</row>
    <row r="48" spans="1:77" s="73" customFormat="1" x14ac:dyDescent="0.2">
      <c r="A48" s="69" t="s">
        <v>22</v>
      </c>
      <c r="B48" s="25" t="s">
        <v>48</v>
      </c>
      <c r="C48" s="137">
        <f>39206*A9</f>
        <v>409651.73220000003</v>
      </c>
      <c r="D48" s="72"/>
      <c r="E48" s="160">
        <f>39206*A9</f>
        <v>409651.73220000003</v>
      </c>
      <c r="F48" s="72"/>
      <c r="G48" s="72"/>
      <c r="I48" s="72"/>
      <c r="J48" s="72"/>
      <c r="K48" s="72"/>
      <c r="M48" s="72"/>
      <c r="N48" s="72"/>
      <c r="P48" s="72"/>
      <c r="R48" s="72"/>
      <c r="S48" s="72"/>
      <c r="T48" s="72"/>
      <c r="U48" s="72"/>
      <c r="V48" s="72"/>
      <c r="W48" s="160">
        <f t="shared" ref="W48:AN48" si="21">(52206*$A$9+2988*$A$6)/10</f>
        <v>75874.287420000008</v>
      </c>
      <c r="Y48" s="160">
        <f t="shared" si="21"/>
        <v>75874.287420000008</v>
      </c>
      <c r="Z48" s="160">
        <f>((52206*$A$9+2988*$A$6)/10)*2</f>
        <v>151748.57484000002</v>
      </c>
      <c r="AA48" s="72"/>
      <c r="AB48" s="72"/>
      <c r="AD48" s="72"/>
      <c r="AE48" s="160">
        <f>(52206*$A$9)/6</f>
        <v>90914.13870000001</v>
      </c>
      <c r="AF48" s="72"/>
      <c r="AG48" s="160">
        <f>(52206*$A$9+2988*$A$6)/10</f>
        <v>75874.287420000008</v>
      </c>
      <c r="AH48" s="72"/>
      <c r="AI48" s="72"/>
      <c r="AJ48" s="72"/>
      <c r="AK48" s="160">
        <f t="shared" ref="AK48" si="22">(52206*$A$9+2988*$A$6)/10</f>
        <v>75874.287420000008</v>
      </c>
      <c r="AL48" s="138">
        <f>109170*A9</f>
        <v>1140684.5790000001</v>
      </c>
      <c r="AM48" s="72"/>
      <c r="AN48" s="160">
        <f t="shared" si="21"/>
        <v>75874.287420000008</v>
      </c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</row>
    <row r="49" spans="1:77" s="73" customFormat="1" x14ac:dyDescent="0.2">
      <c r="A49" s="69" t="s">
        <v>108</v>
      </c>
      <c r="B49" s="25" t="s">
        <v>109</v>
      </c>
      <c r="C49" s="120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138">
        <v>50531.25</v>
      </c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</row>
    <row r="50" spans="1:77" s="71" customFormat="1" x14ac:dyDescent="0.2">
      <c r="A50" s="69" t="s">
        <v>36</v>
      </c>
      <c r="B50" s="25" t="s">
        <v>37</v>
      </c>
      <c r="C50" s="130"/>
      <c r="D50" s="24"/>
      <c r="E50" s="24"/>
      <c r="F50" s="24"/>
      <c r="G50" s="24"/>
      <c r="H50" s="72"/>
      <c r="I50" s="100">
        <f>1037.5*A6</f>
        <v>74047.931249999994</v>
      </c>
      <c r="J50" s="24"/>
      <c r="K50" s="24"/>
      <c r="L50" s="24"/>
      <c r="M50" s="24"/>
      <c r="N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</row>
    <row r="51" spans="1:77" s="71" customFormat="1" x14ac:dyDescent="0.2">
      <c r="A51" s="69" t="s">
        <v>86</v>
      </c>
      <c r="B51" s="25" t="s">
        <v>35</v>
      </c>
      <c r="C51" s="70"/>
      <c r="D51" s="77"/>
      <c r="E51" s="28"/>
      <c r="F51" s="24"/>
      <c r="G51" s="24"/>
      <c r="H51" s="72"/>
      <c r="I51" s="28"/>
      <c r="J51" s="24"/>
      <c r="K51" s="24"/>
      <c r="L51" s="24"/>
      <c r="M51" s="24"/>
      <c r="N51" s="24"/>
      <c r="O51" s="24"/>
      <c r="P51" s="24"/>
      <c r="Q51" s="24"/>
      <c r="R51" s="100">
        <f>490*A6</f>
        <v>34972.034999999996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</row>
    <row r="52" spans="1:77" s="71" customFormat="1" x14ac:dyDescent="0.2">
      <c r="A52" s="69" t="s">
        <v>29</v>
      </c>
      <c r="B52" s="25" t="s">
        <v>43</v>
      </c>
      <c r="C52" s="70">
        <f>439750-19750-25000-25000-25000</f>
        <v>345000</v>
      </c>
      <c r="D52" s="24"/>
      <c r="F52" s="24"/>
      <c r="G52" s="24"/>
      <c r="H52" s="95">
        <v>25000</v>
      </c>
      <c r="I52" s="24"/>
      <c r="J52" s="95">
        <v>25000</v>
      </c>
      <c r="K52" s="24"/>
      <c r="L52" s="95">
        <v>25000</v>
      </c>
      <c r="M52" s="24"/>
      <c r="N52" s="24"/>
      <c r="O52" s="95">
        <v>25000</v>
      </c>
      <c r="P52" s="24"/>
      <c r="R52" s="24"/>
      <c r="T52" s="24"/>
      <c r="U52" s="24"/>
      <c r="V52" s="95">
        <v>50000</v>
      </c>
      <c r="W52" s="95">
        <v>25000</v>
      </c>
      <c r="Y52" s="95">
        <v>25000</v>
      </c>
      <c r="AA52" s="24"/>
      <c r="AB52" s="24"/>
      <c r="AC52" s="24"/>
      <c r="AD52" s="24"/>
      <c r="AE52" s="24"/>
      <c r="AF52" s="24"/>
      <c r="AG52" s="95">
        <v>100000</v>
      </c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</row>
    <row r="53" spans="1:77" s="71" customFormat="1" x14ac:dyDescent="0.2">
      <c r="A53" s="69" t="s">
        <v>141</v>
      </c>
      <c r="B53" s="25" t="s">
        <v>142</v>
      </c>
      <c r="C53" s="7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100">
        <v>55053.72</v>
      </c>
      <c r="Y53" s="24"/>
      <c r="Z53" s="95">
        <f>50000+14750</f>
        <v>64750</v>
      </c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</row>
    <row r="54" spans="1:77" s="71" customFormat="1" x14ac:dyDescent="0.2">
      <c r="A54" s="69" t="s">
        <v>146</v>
      </c>
      <c r="B54" s="25" t="s">
        <v>147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100">
        <v>90000</v>
      </c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</row>
    <row r="55" spans="1:77" s="71" customFormat="1" x14ac:dyDescent="0.2">
      <c r="A55" s="69" t="s">
        <v>149</v>
      </c>
      <c r="B55" s="25" t="s">
        <v>148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8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</row>
    <row r="56" spans="1:77" s="71" customFormat="1" x14ac:dyDescent="0.2">
      <c r="A56" s="69" t="s">
        <v>124</v>
      </c>
      <c r="B56" s="25" t="s">
        <v>125</v>
      </c>
      <c r="C56" s="70"/>
      <c r="D56" s="24"/>
      <c r="E56" s="24"/>
      <c r="F56" s="24"/>
      <c r="G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100">
        <v>203210</v>
      </c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</row>
    <row r="57" spans="1:77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100">
        <v>1524</v>
      </c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</row>
    <row r="58" spans="1:77" s="71" customFormat="1" x14ac:dyDescent="0.2">
      <c r="A58" s="69" t="s">
        <v>90</v>
      </c>
      <c r="B58" s="25" t="s">
        <v>91</v>
      </c>
      <c r="C58" s="70">
        <f>912000+1012000-100000-100000-75000-75000-75000-75000-75000-75000-75000</f>
        <v>1199000</v>
      </c>
      <c r="D58" s="77"/>
      <c r="F58" s="24"/>
      <c r="G58" s="24"/>
      <c r="H58" s="129">
        <v>75000</v>
      </c>
      <c r="I58" s="28"/>
      <c r="J58" s="129">
        <v>75000</v>
      </c>
      <c r="K58" s="28"/>
      <c r="L58" s="129">
        <v>75000</v>
      </c>
      <c r="M58" s="24"/>
      <c r="N58" s="24"/>
      <c r="O58" s="129">
        <v>75000</v>
      </c>
      <c r="Q58" s="129">
        <v>100000</v>
      </c>
      <c r="R58" s="129">
        <v>75000</v>
      </c>
      <c r="T58" s="24"/>
      <c r="U58" s="24"/>
      <c r="V58" s="129">
        <v>124000</v>
      </c>
      <c r="W58" s="24"/>
      <c r="X58" s="28"/>
      <c r="Y58" s="129">
        <v>100000</v>
      </c>
      <c r="Z58" s="129">
        <v>100000</v>
      </c>
      <c r="AA58" s="24"/>
      <c r="AB58" s="24"/>
      <c r="AC58" s="129">
        <v>100000</v>
      </c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</row>
    <row r="59" spans="1:77" s="71" customFormat="1" x14ac:dyDescent="0.2">
      <c r="A59" s="69" t="s">
        <v>144</v>
      </c>
      <c r="B59" s="25" t="s">
        <v>145</v>
      </c>
      <c r="C59" s="70"/>
      <c r="D59" s="77"/>
      <c r="E59" s="158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</row>
    <row r="60" spans="1:77" s="71" customFormat="1" x14ac:dyDescent="0.2">
      <c r="A60" s="69" t="s">
        <v>138</v>
      </c>
      <c r="B60" s="25" t="s">
        <v>136</v>
      </c>
      <c r="C60" s="70"/>
      <c r="D60" s="77"/>
      <c r="E60" s="28"/>
      <c r="F60" s="24"/>
      <c r="G60" s="24"/>
      <c r="H60" s="24"/>
      <c r="I60" s="24"/>
      <c r="J60" s="24"/>
      <c r="K60" s="24"/>
      <c r="L60" s="100">
        <f>(4260*$A$6)/6</f>
        <v>50673.764999999992</v>
      </c>
      <c r="M60" s="24"/>
      <c r="N60" s="24"/>
      <c r="O60" s="100">
        <f t="shared" ref="O60:Z60" si="23">(4260*$A$6)/6</f>
        <v>50673.764999999992</v>
      </c>
      <c r="P60" s="100">
        <f t="shared" si="23"/>
        <v>50673.764999999992</v>
      </c>
      <c r="Q60" s="100">
        <f t="shared" si="23"/>
        <v>50673.764999999992</v>
      </c>
      <c r="R60" s="100">
        <f t="shared" si="23"/>
        <v>50673.764999999992</v>
      </c>
      <c r="T60" s="24"/>
      <c r="U60" s="24"/>
      <c r="V60" s="24"/>
      <c r="W60" s="24"/>
      <c r="X60" s="24"/>
      <c r="Y60" s="24"/>
      <c r="Z60" s="100">
        <f t="shared" si="23"/>
        <v>50673.764999999992</v>
      </c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</row>
    <row r="61" spans="1:77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</row>
    <row r="62" spans="1:77" s="71" customFormat="1" ht="12.75" customHeight="1" x14ac:dyDescent="0.2">
      <c r="A62" s="151" t="s">
        <v>139</v>
      </c>
      <c r="B62" s="152" t="s">
        <v>114</v>
      </c>
      <c r="C62" s="70">
        <f>1732500-693000</f>
        <v>1039500</v>
      </c>
      <c r="D62" s="77"/>
      <c r="E62" s="28"/>
      <c r="F62" s="24"/>
      <c r="G62" s="24"/>
      <c r="I62" s="100">
        <v>200000</v>
      </c>
      <c r="K62" s="24"/>
      <c r="L62" s="100">
        <v>100000</v>
      </c>
      <c r="M62" s="24"/>
      <c r="N62" s="24"/>
      <c r="O62" s="100">
        <v>100000</v>
      </c>
      <c r="P62" s="28"/>
      <c r="Q62" s="100">
        <v>239000</v>
      </c>
      <c r="R62" s="24"/>
      <c r="S62" s="28"/>
      <c r="T62" s="24"/>
      <c r="U62" s="24"/>
      <c r="V62" s="100">
        <v>100000</v>
      </c>
      <c r="W62" s="28"/>
      <c r="X62" s="100">
        <v>100000</v>
      </c>
      <c r="Y62" s="24"/>
      <c r="Z62" s="100">
        <v>200000</v>
      </c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</row>
    <row r="63" spans="1:77" s="71" customFormat="1" x14ac:dyDescent="0.2">
      <c r="A63" s="69" t="s">
        <v>34</v>
      </c>
      <c r="B63" s="25" t="s">
        <v>45</v>
      </c>
      <c r="C63" s="70">
        <f>1014000-100000-100000+400-50000-25000-25000-25000-50000-53800-85600-75000-25000-80000-80000-80000-80000</f>
        <v>80000</v>
      </c>
      <c r="D63" s="77"/>
      <c r="E63" s="129">
        <f t="shared" ref="E63" si="24">400000/5</f>
        <v>80000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</row>
    <row r="64" spans="1:77" s="71" customFormat="1" x14ac:dyDescent="0.2">
      <c r="A64" s="69" t="s">
        <v>128</v>
      </c>
      <c r="B64" s="25" t="s">
        <v>129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</row>
    <row r="65" spans="1:77" s="71" customFormat="1" x14ac:dyDescent="0.2">
      <c r="A65" s="69" t="s">
        <v>101</v>
      </c>
      <c r="B65" s="25" t="s">
        <v>130</v>
      </c>
      <c r="C65" s="70">
        <f>110000-25000-25000-10000</f>
        <v>50000</v>
      </c>
      <c r="D65" s="77"/>
      <c r="E65" s="24"/>
      <c r="F65" s="24"/>
      <c r="G65" s="24"/>
      <c r="H65" s="24"/>
      <c r="I65" s="24"/>
      <c r="J65" s="108">
        <v>25000</v>
      </c>
      <c r="K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108">
        <f>100000/4</f>
        <v>25000</v>
      </c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</row>
    <row r="66" spans="1:77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</row>
    <row r="67" spans="1:77" s="71" customFormat="1" x14ac:dyDescent="0.2">
      <c r="A67" s="69" t="s">
        <v>38</v>
      </c>
      <c r="B67" s="25" t="s">
        <v>39</v>
      </c>
      <c r="C67" s="70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</row>
    <row r="68" spans="1:77" s="71" customFormat="1" x14ac:dyDescent="0.2">
      <c r="A68" s="69" t="s">
        <v>74</v>
      </c>
      <c r="B68" s="25" t="s">
        <v>131</v>
      </c>
      <c r="C68" s="70"/>
      <c r="D68" s="24"/>
      <c r="E68" s="24"/>
      <c r="G68" s="24"/>
      <c r="H68" s="100">
        <v>20000</v>
      </c>
      <c r="I68" s="24"/>
      <c r="J68" s="100">
        <f>80000/2</f>
        <v>40000</v>
      </c>
      <c r="K68" s="24"/>
      <c r="L68" s="143">
        <v>40000</v>
      </c>
      <c r="M68" s="24"/>
      <c r="N68" s="24"/>
      <c r="O68" s="100">
        <v>20000</v>
      </c>
      <c r="P68" s="100">
        <f>7500+16500</f>
        <v>24000</v>
      </c>
      <c r="Q68" s="24"/>
      <c r="R68" s="100">
        <v>12500</v>
      </c>
      <c r="T68" s="24"/>
      <c r="U68" s="24"/>
      <c r="V68" s="100">
        <f>80000/2</f>
        <v>40000</v>
      </c>
      <c r="W68" s="24"/>
      <c r="X68" s="100">
        <v>15000</v>
      </c>
      <c r="Y68" s="24"/>
      <c r="Z68" s="100">
        <v>11667</v>
      </c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</row>
    <row r="69" spans="1:77" s="71" customFormat="1" x14ac:dyDescent="0.2">
      <c r="A69" s="69" t="s">
        <v>74</v>
      </c>
      <c r="B69" s="25" t="s">
        <v>150</v>
      </c>
      <c r="C69" s="164">
        <v>3567700</v>
      </c>
      <c r="D69" s="24"/>
      <c r="F69" s="24"/>
      <c r="G69" s="24"/>
      <c r="H69" s="24"/>
      <c r="I69" s="24"/>
      <c r="J69" s="114"/>
      <c r="K69" s="11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</row>
    <row r="70" spans="1:77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</row>
    <row r="71" spans="1:77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</row>
    <row r="72" spans="1:77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</row>
    <row r="73" spans="1:77" s="5" customFormat="1" x14ac:dyDescent="0.2">
      <c r="A73" s="36" t="s">
        <v>49</v>
      </c>
      <c r="B73" s="12"/>
      <c r="C73" s="13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>
        <v>1400000</v>
      </c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</row>
    <row r="74" spans="1:77" s="5" customFormat="1" x14ac:dyDescent="0.2">
      <c r="A74" s="36" t="s">
        <v>57</v>
      </c>
      <c r="B74" s="12"/>
      <c r="C74" s="68"/>
      <c r="D74" s="26"/>
      <c r="F74" s="13"/>
      <c r="G74" s="13"/>
      <c r="H74" s="139">
        <f>1749467.21/0.77</f>
        <v>2272035.3376623373</v>
      </c>
      <c r="J74" s="13"/>
      <c r="K74" s="13"/>
      <c r="M74" s="13"/>
      <c r="N74" s="13"/>
      <c r="O74" s="139">
        <f>1933893.44/0.77</f>
        <v>2511549.9220779222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</row>
    <row r="75" spans="1:77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9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</row>
    <row r="76" spans="1:77" s="5" customFormat="1" x14ac:dyDescent="0.2">
      <c r="A76" s="42" t="s">
        <v>151</v>
      </c>
      <c r="B76" s="12"/>
      <c r="C76" s="68">
        <f>(10000*10)*A6</f>
        <v>7137150</v>
      </c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</row>
    <row r="77" spans="1:77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</row>
    <row r="78" spans="1:77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</row>
    <row r="79" spans="1:77" s="84" customFormat="1" x14ac:dyDescent="0.2">
      <c r="A79" s="81" t="s">
        <v>66</v>
      </c>
      <c r="B79" s="82"/>
      <c r="C79" s="63"/>
      <c r="D79" s="83"/>
      <c r="E79" s="83">
        <f>$C$5+E16-E26</f>
        <v>1012615.3078000001</v>
      </c>
      <c r="F79" s="83">
        <f t="shared" ref="F79:BP79" si="25">E79+F16-F26</f>
        <v>1012615.3078000001</v>
      </c>
      <c r="G79" s="83">
        <f t="shared" si="25"/>
        <v>1012615.3078000001</v>
      </c>
      <c r="H79" s="83">
        <f t="shared" si="25"/>
        <v>1035535.5034709959</v>
      </c>
      <c r="I79" s="83">
        <f t="shared" si="25"/>
        <v>298990.90555432928</v>
      </c>
      <c r="J79" s="83">
        <f t="shared" si="25"/>
        <v>1396446.4388876627</v>
      </c>
      <c r="K79" s="83">
        <f t="shared" si="25"/>
        <v>1236200.6388876627</v>
      </c>
      <c r="L79" s="83">
        <f t="shared" si="25"/>
        <v>307737.94903917785</v>
      </c>
      <c r="M79" s="83">
        <f t="shared" si="25"/>
        <v>307737.94903917785</v>
      </c>
      <c r="N79" s="83">
        <f t="shared" si="25"/>
        <v>307737.94903917785</v>
      </c>
      <c r="O79" s="83">
        <f t="shared" si="25"/>
        <v>886027.99377943762</v>
      </c>
      <c r="P79" s="83">
        <f t="shared" si="25"/>
        <v>621592.7287794376</v>
      </c>
      <c r="Q79" s="83">
        <f t="shared" si="25"/>
        <v>532944.84559761919</v>
      </c>
      <c r="R79" s="83">
        <f t="shared" si="25"/>
        <v>-309035.58773571427</v>
      </c>
      <c r="S79" s="83">
        <f t="shared" si="25"/>
        <v>-309035.58773571427</v>
      </c>
      <c r="T79" s="83">
        <f t="shared" si="25"/>
        <v>-309035.58773571427</v>
      </c>
      <c r="U79" s="83">
        <f t="shared" si="25"/>
        <v>-309035.58773571427</v>
      </c>
      <c r="V79" s="83">
        <f t="shared" si="25"/>
        <v>487086.29408246744</v>
      </c>
      <c r="W79" s="83">
        <f t="shared" si="25"/>
        <v>307480.00666246744</v>
      </c>
      <c r="X79" s="83">
        <f t="shared" si="25"/>
        <v>-80499.257017532538</v>
      </c>
      <c r="Y79" s="83">
        <f t="shared" si="25"/>
        <v>5869122.186500649</v>
      </c>
      <c r="Z79" s="83">
        <f t="shared" si="25"/>
        <v>4913730.8802970126</v>
      </c>
      <c r="AA79" s="83">
        <f t="shared" si="25"/>
        <v>4913730.8802970126</v>
      </c>
      <c r="AB79" s="83">
        <f t="shared" si="25"/>
        <v>4913730.8802970126</v>
      </c>
      <c r="AC79" s="83">
        <f t="shared" si="25"/>
        <v>4340030.0032836795</v>
      </c>
      <c r="AD79" s="83">
        <f t="shared" si="25"/>
        <v>4003886.4596036794</v>
      </c>
      <c r="AE79" s="83">
        <f t="shared" si="25"/>
        <v>3694104.4438903462</v>
      </c>
      <c r="AF79" s="83">
        <f t="shared" si="25"/>
        <v>3519866.5668770131</v>
      </c>
      <c r="AG79" s="83">
        <f t="shared" si="25"/>
        <v>3073501.40244368</v>
      </c>
      <c r="AH79" s="83">
        <f t="shared" si="25"/>
        <v>3073501.40244368</v>
      </c>
      <c r="AI79" s="83">
        <f t="shared" si="25"/>
        <v>3073501.40244368</v>
      </c>
      <c r="AJ79" s="83">
        <f t="shared" si="25"/>
        <v>2577757.5254303468</v>
      </c>
      <c r="AK79" s="83">
        <f t="shared" si="25"/>
        <v>2070011.8809970138</v>
      </c>
      <c r="AL79" s="83">
        <f t="shared" si="25"/>
        <v>690068.42498368025</v>
      </c>
      <c r="AM79" s="83">
        <f t="shared" si="25"/>
        <v>-238920.01869631978</v>
      </c>
      <c r="AN79" s="83">
        <f t="shared" si="25"/>
        <v>-458599.12429813796</v>
      </c>
      <c r="AO79" s="83">
        <f t="shared" si="25"/>
        <v>-458599.12429813796</v>
      </c>
      <c r="AP79" s="83">
        <f t="shared" si="25"/>
        <v>-458599.12429813796</v>
      </c>
      <c r="AQ79" s="83">
        <f t="shared" si="25"/>
        <v>-641524.66797813796</v>
      </c>
      <c r="AR79" s="83">
        <f t="shared" si="25"/>
        <v>2194006.0338400435</v>
      </c>
      <c r="AS79" s="83">
        <f t="shared" si="25"/>
        <v>1879777.9464800435</v>
      </c>
      <c r="AT79" s="83">
        <f t="shared" si="25"/>
        <v>1604670.5846182252</v>
      </c>
      <c r="AU79" s="83">
        <f t="shared" si="25"/>
        <v>1553047.5846182252</v>
      </c>
      <c r="AV79" s="83">
        <f t="shared" si="25"/>
        <v>1553047.5846182252</v>
      </c>
      <c r="AW79" s="83">
        <f t="shared" si="25"/>
        <v>1553047.5846182252</v>
      </c>
      <c r="AX79" s="83">
        <f t="shared" si="25"/>
        <v>-225688.41538177477</v>
      </c>
      <c r="AY79" s="83">
        <f t="shared" si="25"/>
        <v>-369493.23356359295</v>
      </c>
      <c r="AZ79" s="83">
        <f t="shared" si="25"/>
        <v>-421116.23356359295</v>
      </c>
      <c r="BA79" s="83">
        <f t="shared" si="25"/>
        <v>-421116.23356359295</v>
      </c>
      <c r="BB79" s="83">
        <f t="shared" si="25"/>
        <v>-421116.23356359295</v>
      </c>
      <c r="BC79" s="83">
        <f t="shared" si="25"/>
        <v>-421116.23356359295</v>
      </c>
      <c r="BD79" s="83">
        <f t="shared" si="25"/>
        <v>-421116.23356359295</v>
      </c>
      <c r="BE79" s="83">
        <f t="shared" si="25"/>
        <v>-421116.23356359295</v>
      </c>
      <c r="BF79" s="83">
        <f t="shared" si="25"/>
        <v>-421116.23356359295</v>
      </c>
      <c r="BG79" s="83">
        <f t="shared" si="25"/>
        <v>-421116.23356359295</v>
      </c>
      <c r="BH79" s="83">
        <f t="shared" si="25"/>
        <v>-421116.23356359295</v>
      </c>
      <c r="BI79" s="83">
        <f t="shared" si="25"/>
        <v>-421116.23356359295</v>
      </c>
      <c r="BJ79" s="83">
        <f t="shared" si="25"/>
        <v>-421116.23356359295</v>
      </c>
      <c r="BK79" s="83">
        <f t="shared" si="25"/>
        <v>-421116.23356359295</v>
      </c>
      <c r="BL79" s="83">
        <f t="shared" si="25"/>
        <v>-421116.23356359295</v>
      </c>
      <c r="BM79" s="83">
        <f t="shared" si="25"/>
        <v>-421116.23356359295</v>
      </c>
      <c r="BN79" s="83">
        <f t="shared" si="25"/>
        <v>-421116.23356359295</v>
      </c>
      <c r="BO79" s="83">
        <f t="shared" si="25"/>
        <v>-421116.23356359295</v>
      </c>
      <c r="BP79" s="83">
        <f t="shared" si="25"/>
        <v>-421116.23356359295</v>
      </c>
      <c r="BQ79" s="83">
        <f t="shared" ref="BQ79:BY79" si="26">BP79+BQ16-BQ26</f>
        <v>-421116.23356359295</v>
      </c>
      <c r="BR79" s="83">
        <f t="shared" si="26"/>
        <v>-421116.23356359295</v>
      </c>
      <c r="BS79" s="83">
        <f t="shared" si="26"/>
        <v>1812156.386436407</v>
      </c>
      <c r="BT79" s="83">
        <f t="shared" si="26"/>
        <v>1812156.386436407</v>
      </c>
      <c r="BU79" s="83">
        <f t="shared" si="26"/>
        <v>1812156.386436407</v>
      </c>
      <c r="BV79" s="83">
        <f t="shared" si="26"/>
        <v>1812156.386436407</v>
      </c>
      <c r="BW79" s="83">
        <f t="shared" si="26"/>
        <v>1812156.386436407</v>
      </c>
      <c r="BX79" s="83">
        <f t="shared" si="26"/>
        <v>1812156.386436407</v>
      </c>
      <c r="BY79" s="83">
        <f t="shared" si="26"/>
        <v>1812156.386436407</v>
      </c>
    </row>
    <row r="81" spans="1:77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</row>
    <row r="82" spans="1:77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</row>
    <row r="83" spans="1:77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</row>
    <row r="84" spans="1:77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</row>
    <row r="85" spans="1:77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</row>
    <row r="86" spans="1:77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</row>
    <row r="88" spans="1:77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Z88"/>
  <sheetViews>
    <sheetView topLeftCell="A56" workbookViewId="0">
      <selection activeCell="E26" sqref="E26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0.85546875" style="3" bestFit="1" customWidth="1"/>
    <col min="6" max="6" width="10.5703125" style="3" customWidth="1"/>
    <col min="7" max="7" width="12.85546875" style="3" customWidth="1"/>
    <col min="8" max="8" width="11.5703125" style="3" customWidth="1"/>
    <col min="9" max="9" width="12" style="3" customWidth="1"/>
    <col min="10" max="10" width="14.5703125" style="3" customWidth="1"/>
    <col min="11" max="11" width="11.85546875" style="3" customWidth="1"/>
    <col min="12" max="12" width="12.42578125" style="3" customWidth="1"/>
    <col min="13" max="13" width="14.85546875" style="3" customWidth="1"/>
    <col min="14" max="14" width="13" style="3" customWidth="1"/>
    <col min="15" max="15" width="12.7109375" style="3" customWidth="1"/>
    <col min="16" max="16" width="11.85546875" style="3" customWidth="1"/>
    <col min="17" max="17" width="13.140625" style="3" customWidth="1"/>
    <col min="18" max="18" width="11.7109375" style="3" customWidth="1"/>
    <col min="19" max="19" width="12.5703125" style="3" customWidth="1"/>
    <col min="20" max="20" width="15.7109375" style="3" customWidth="1"/>
    <col min="21" max="21" width="12.7109375" style="3" customWidth="1"/>
    <col min="22" max="23" width="12.85546875" style="3" customWidth="1"/>
    <col min="24" max="25" width="11.85546875" style="3" customWidth="1"/>
    <col min="26" max="26" width="13" style="3" customWidth="1"/>
    <col min="27" max="27" width="12.28515625" style="3" customWidth="1"/>
    <col min="28" max="28" width="12.140625" style="3" customWidth="1"/>
    <col min="29" max="29" width="11.140625" style="3" customWidth="1"/>
    <col min="30" max="30" width="12.7109375" style="3" customWidth="1"/>
    <col min="31" max="31" width="11.140625" style="3" customWidth="1"/>
    <col min="32" max="32" width="11.7109375" style="3" customWidth="1"/>
    <col min="33" max="33" width="11.5703125" style="3" customWidth="1"/>
    <col min="34" max="35" width="10.85546875" style="3" customWidth="1"/>
    <col min="36" max="36" width="12.85546875" style="3" customWidth="1"/>
    <col min="37" max="37" width="12" style="3" customWidth="1"/>
    <col min="38" max="38" width="11.140625" style="3" customWidth="1"/>
    <col min="39" max="39" width="10.28515625" style="3" customWidth="1"/>
    <col min="40" max="40" width="11.42578125" style="3" customWidth="1"/>
    <col min="41" max="41" width="11.7109375" style="3" customWidth="1"/>
    <col min="42" max="42" width="10.5703125" style="3" customWidth="1"/>
    <col min="43" max="43" width="12" style="3" customWidth="1"/>
    <col min="44" max="44" width="11.140625" style="3" customWidth="1"/>
    <col min="45" max="45" width="10.42578125" style="3" customWidth="1"/>
    <col min="46" max="46" width="10.28515625" style="3" bestFit="1" customWidth="1"/>
    <col min="47" max="47" width="10.42578125" style="3" customWidth="1"/>
    <col min="48" max="48" width="12.5703125" style="3" customWidth="1"/>
    <col min="49" max="49" width="13.28515625" style="3" customWidth="1"/>
    <col min="50" max="50" width="12.140625" style="3" customWidth="1"/>
    <col min="51" max="51" width="12.42578125" style="3" customWidth="1"/>
    <col min="52" max="52" width="12.28515625" style="3" customWidth="1"/>
    <col min="53" max="53" width="10.28515625" style="3" customWidth="1"/>
    <col min="54" max="54" width="11.28515625" style="3" customWidth="1"/>
    <col min="55" max="55" width="11.85546875" style="3" customWidth="1"/>
    <col min="56" max="56" width="12.28515625" style="3" customWidth="1"/>
    <col min="57" max="57" width="11.140625" style="3" customWidth="1"/>
    <col min="58" max="58" width="10.5703125" style="3" customWidth="1"/>
    <col min="59" max="59" width="10.85546875" style="3" customWidth="1"/>
    <col min="60" max="60" width="12" style="3" customWidth="1"/>
    <col min="61" max="61" width="10" style="3" customWidth="1"/>
    <col min="62" max="62" width="11.140625" style="3" customWidth="1"/>
    <col min="63" max="63" width="12.5703125" style="3" customWidth="1"/>
    <col min="64" max="64" width="12.140625" style="3" customWidth="1"/>
    <col min="65" max="65" width="12.42578125" style="3" customWidth="1"/>
    <col min="66" max="66" width="12" style="3" customWidth="1"/>
    <col min="67" max="67" width="14.85546875" style="3" customWidth="1"/>
    <col min="68" max="68" width="11.5703125" style="3" customWidth="1"/>
    <col min="69" max="69" width="13.7109375" style="3" customWidth="1"/>
    <col min="70" max="70" width="12.42578125" style="3" customWidth="1"/>
    <col min="71" max="71" width="10.85546875" style="3" customWidth="1"/>
    <col min="72" max="72" width="12.140625" style="3" customWidth="1"/>
    <col min="73" max="73" width="11.85546875" style="3" customWidth="1"/>
    <col min="74" max="74" width="12.7109375" style="3" customWidth="1"/>
    <col min="75" max="75" width="12.42578125" style="3" customWidth="1"/>
    <col min="76" max="76" width="11.140625" style="3" customWidth="1"/>
    <col min="77" max="77" width="11.5703125" style="3" customWidth="1"/>
    <col min="78" max="78" width="12.28515625" style="3" customWidth="1"/>
    <col min="79" max="16384" width="9" style="3"/>
  </cols>
  <sheetData>
    <row r="1" spans="1:78" ht="12" thickBot="1" x14ac:dyDescent="0.3"/>
    <row r="2" spans="1:78" s="1" customFormat="1" x14ac:dyDescent="0.2">
      <c r="A2" s="43" t="s">
        <v>50</v>
      </c>
      <c r="B2" s="15" t="s">
        <v>27</v>
      </c>
      <c r="C2" s="50">
        <v>5118647.53</v>
      </c>
    </row>
    <row r="3" spans="1:78" s="1" customFormat="1" ht="12" thickBot="1" x14ac:dyDescent="0.25">
      <c r="A3" s="44">
        <v>83.5505</v>
      </c>
      <c r="B3" s="15" t="s">
        <v>28</v>
      </c>
      <c r="C3" s="50">
        <v>10778.95</v>
      </c>
    </row>
    <row r="4" spans="1:78" s="8" customFormat="1" ht="12" thickBot="1" x14ac:dyDescent="0.25">
      <c r="A4" s="45"/>
      <c r="B4" s="15" t="s">
        <v>25</v>
      </c>
      <c r="C4" s="51">
        <v>0</v>
      </c>
    </row>
    <row r="5" spans="1:78" s="6" customFormat="1" x14ac:dyDescent="0.2">
      <c r="A5" s="43" t="s">
        <v>51</v>
      </c>
      <c r="B5" s="49" t="s">
        <v>26</v>
      </c>
      <c r="C5" s="52">
        <f>SUM(C2:C4)</f>
        <v>5129426.4800000004</v>
      </c>
    </row>
    <row r="6" spans="1:78" s="6" customFormat="1" ht="12" thickBot="1" x14ac:dyDescent="0.25">
      <c r="A6" s="44">
        <v>71.668000000000006</v>
      </c>
      <c r="B6" s="16"/>
      <c r="C6" s="53"/>
      <c r="D6" s="17"/>
    </row>
    <row r="7" spans="1:78" s="6" customFormat="1" ht="12" thickBot="1" x14ac:dyDescent="0.25">
      <c r="A7" s="105" t="s">
        <v>51</v>
      </c>
      <c r="B7" s="18" t="s">
        <v>127</v>
      </c>
      <c r="C7" s="54">
        <f>SUM(16:16)</f>
        <v>28102527.804000001</v>
      </c>
      <c r="E7" s="162"/>
    </row>
    <row r="8" spans="1:78" x14ac:dyDescent="0.25">
      <c r="A8" s="43" t="s">
        <v>52</v>
      </c>
      <c r="B8" s="18" t="s">
        <v>126</v>
      </c>
      <c r="C8" s="54">
        <f>SUM(26:26)</f>
        <v>54682699.149776913</v>
      </c>
    </row>
    <row r="9" spans="1:78" ht="12" thickBot="1" x14ac:dyDescent="0.3">
      <c r="A9" s="44">
        <v>10.5505</v>
      </c>
      <c r="B9" s="19" t="s">
        <v>64</v>
      </c>
      <c r="C9" s="55">
        <f>C5+C7-C8-C11</f>
        <v>-45968109.762396917</v>
      </c>
    </row>
    <row r="10" spans="1:78" x14ac:dyDescent="0.25">
      <c r="A10" s="99" t="s">
        <v>80</v>
      </c>
      <c r="B10" s="18" t="s">
        <v>23</v>
      </c>
      <c r="C10" s="56">
        <f>C16</f>
        <v>0</v>
      </c>
    </row>
    <row r="11" spans="1:78" x14ac:dyDescent="0.25">
      <c r="A11" s="101" t="s">
        <v>87</v>
      </c>
      <c r="B11" s="18" t="s">
        <v>24</v>
      </c>
      <c r="C11" s="54">
        <f>C26</f>
        <v>24517364.896620002</v>
      </c>
    </row>
    <row r="12" spans="1:78" x14ac:dyDescent="0.25">
      <c r="A12" s="107" t="s">
        <v>88</v>
      </c>
    </row>
    <row r="13" spans="1:78" x14ac:dyDescent="0.25">
      <c r="A13" s="38"/>
      <c r="B13" s="10"/>
      <c r="C13" s="57"/>
      <c r="D13" s="10"/>
      <c r="E13" s="10"/>
      <c r="F13" s="10"/>
      <c r="G13" s="10"/>
      <c r="H13" s="10"/>
    </row>
    <row r="14" spans="1:78" s="2" customFormat="1" x14ac:dyDescent="0.25">
      <c r="A14" s="64"/>
      <c r="B14" s="65"/>
      <c r="C14" s="58" t="s">
        <v>56</v>
      </c>
      <c r="D14" s="66"/>
      <c r="E14" s="66">
        <v>46170</v>
      </c>
      <c r="F14" s="66">
        <v>46171</v>
      </c>
      <c r="G14" s="66">
        <v>46172</v>
      </c>
      <c r="H14" s="66">
        <v>46173</v>
      </c>
      <c r="I14" s="66">
        <v>46174</v>
      </c>
      <c r="J14" s="66">
        <v>46175</v>
      </c>
      <c r="K14" s="66">
        <v>46176</v>
      </c>
      <c r="L14" s="66">
        <v>46177</v>
      </c>
      <c r="M14" s="66">
        <v>46178</v>
      </c>
      <c r="N14" s="66">
        <v>46179</v>
      </c>
      <c r="O14" s="66">
        <v>46180</v>
      </c>
      <c r="P14" s="66">
        <v>46181</v>
      </c>
      <c r="Q14" s="66">
        <v>46182</v>
      </c>
      <c r="R14" s="66">
        <v>46183</v>
      </c>
      <c r="S14" s="66">
        <v>46184</v>
      </c>
      <c r="T14" s="66">
        <v>46185</v>
      </c>
      <c r="U14" s="66">
        <v>46186</v>
      </c>
      <c r="V14" s="66">
        <v>46187</v>
      </c>
      <c r="W14" s="66">
        <v>46188</v>
      </c>
      <c r="X14" s="66">
        <v>46189</v>
      </c>
      <c r="Y14" s="66">
        <v>46190</v>
      </c>
      <c r="Z14" s="66">
        <v>46191</v>
      </c>
      <c r="AA14" s="66">
        <v>46192</v>
      </c>
      <c r="AB14" s="66">
        <v>46193</v>
      </c>
      <c r="AC14" s="66">
        <v>46194</v>
      </c>
      <c r="AD14" s="66">
        <v>46195</v>
      </c>
      <c r="AE14" s="66">
        <v>46196</v>
      </c>
      <c r="AF14" s="66">
        <v>46197</v>
      </c>
      <c r="AG14" s="66">
        <v>46198</v>
      </c>
      <c r="AH14" s="66">
        <v>46199</v>
      </c>
      <c r="AI14" s="66">
        <v>46200</v>
      </c>
      <c r="AJ14" s="66">
        <v>46201</v>
      </c>
      <c r="AK14" s="66">
        <v>46202</v>
      </c>
      <c r="AL14" s="66">
        <v>46203</v>
      </c>
      <c r="AM14" s="66">
        <v>46204</v>
      </c>
      <c r="AN14" s="66">
        <v>46205</v>
      </c>
      <c r="AO14" s="66">
        <v>46206</v>
      </c>
      <c r="AP14" s="66">
        <v>46207</v>
      </c>
      <c r="AQ14" s="66">
        <v>46208</v>
      </c>
      <c r="AR14" s="66">
        <v>46209</v>
      </c>
      <c r="AS14" s="66">
        <v>46210</v>
      </c>
      <c r="AT14" s="66">
        <v>46211</v>
      </c>
      <c r="AU14" s="66">
        <v>46212</v>
      </c>
      <c r="AV14" s="66">
        <v>46213</v>
      </c>
      <c r="AW14" s="66">
        <v>46214</v>
      </c>
      <c r="AX14" s="66">
        <v>46215</v>
      </c>
      <c r="AY14" s="66">
        <v>46216</v>
      </c>
      <c r="AZ14" s="66">
        <v>46217</v>
      </c>
      <c r="BA14" s="66">
        <v>46218</v>
      </c>
      <c r="BB14" s="66">
        <v>46219</v>
      </c>
      <c r="BC14" s="66">
        <v>46220</v>
      </c>
      <c r="BD14" s="66">
        <v>46221</v>
      </c>
      <c r="BE14" s="66">
        <v>46222</v>
      </c>
      <c r="BF14" s="66">
        <v>46223</v>
      </c>
      <c r="BG14" s="66">
        <v>46224</v>
      </c>
      <c r="BH14" s="66">
        <v>46225</v>
      </c>
      <c r="BI14" s="66">
        <v>46226</v>
      </c>
      <c r="BJ14" s="66">
        <v>46227</v>
      </c>
      <c r="BK14" s="66">
        <v>46228</v>
      </c>
      <c r="BL14" s="66">
        <v>46229</v>
      </c>
      <c r="BM14" s="66">
        <v>46230</v>
      </c>
      <c r="BN14" s="66">
        <v>46231</v>
      </c>
      <c r="BO14" s="66">
        <v>46232</v>
      </c>
      <c r="BP14" s="66">
        <v>46233</v>
      </c>
      <c r="BQ14" s="66">
        <v>46234</v>
      </c>
      <c r="BR14" s="66">
        <v>46235</v>
      </c>
      <c r="BS14" s="66">
        <v>46236</v>
      </c>
      <c r="BT14" s="66">
        <v>46237</v>
      </c>
      <c r="BU14" s="66">
        <v>46238</v>
      </c>
      <c r="BV14" s="66">
        <v>46239</v>
      </c>
      <c r="BW14" s="66">
        <v>46240</v>
      </c>
      <c r="BX14" s="66">
        <v>46241</v>
      </c>
      <c r="BY14" s="66">
        <v>46242</v>
      </c>
      <c r="BZ14" s="66">
        <v>46243</v>
      </c>
    </row>
    <row r="15" spans="1:78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</row>
    <row r="16" spans="1:78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O16" si="0">SUM(E17:E25)</f>
        <v>77200.661999999997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29">
        <f t="shared" si="0"/>
        <v>2650000</v>
      </c>
      <c r="J16" s="29">
        <f t="shared" si="0"/>
        <v>0</v>
      </c>
      <c r="K16" s="29">
        <f t="shared" si="0"/>
        <v>1500000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29">
        <f t="shared" si="0"/>
        <v>3924267.5</v>
      </c>
      <c r="Q16" s="29">
        <f t="shared" si="0"/>
        <v>0</v>
      </c>
      <c r="R16" s="29">
        <f t="shared" si="0"/>
        <v>1000000</v>
      </c>
      <c r="S16" s="29">
        <f t="shared" si="0"/>
        <v>0</v>
      </c>
      <c r="T16" s="135">
        <f t="shared" si="0"/>
        <v>0</v>
      </c>
      <c r="U16" s="135">
        <f t="shared" si="0"/>
        <v>0</v>
      </c>
      <c r="V16" s="135">
        <f t="shared" si="0"/>
        <v>0</v>
      </c>
      <c r="W16" s="29">
        <f t="shared" si="0"/>
        <v>2000000</v>
      </c>
      <c r="X16" s="29">
        <f t="shared" si="0"/>
        <v>0</v>
      </c>
      <c r="Y16" s="29">
        <f t="shared" si="0"/>
        <v>0</v>
      </c>
      <c r="Z16" s="29">
        <f t="shared" si="0"/>
        <v>8027866.2419999996</v>
      </c>
      <c r="AA16" s="29">
        <f t="shared" si="0"/>
        <v>0</v>
      </c>
      <c r="AB16" s="135">
        <f t="shared" si="0"/>
        <v>0</v>
      </c>
      <c r="AC16" s="135">
        <f t="shared" si="0"/>
        <v>0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135">
        <f t="shared" si="0"/>
        <v>0</v>
      </c>
      <c r="AK16" s="135">
        <f t="shared" si="0"/>
        <v>0</v>
      </c>
      <c r="AL16" s="29">
        <f t="shared" si="0"/>
        <v>2974397.8</v>
      </c>
      <c r="AM16" s="29">
        <f t="shared" si="0"/>
        <v>0</v>
      </c>
      <c r="AN16" s="29">
        <f t="shared" si="0"/>
        <v>0</v>
      </c>
      <c r="AO16" s="29">
        <f t="shared" si="0"/>
        <v>0</v>
      </c>
      <c r="AP16" s="135">
        <f t="shared" si="0"/>
        <v>0</v>
      </c>
      <c r="AQ16" s="135">
        <f t="shared" si="0"/>
        <v>0</v>
      </c>
      <c r="AR16" s="29">
        <f t="shared" si="0"/>
        <v>0</v>
      </c>
      <c r="AS16" s="29">
        <f t="shared" si="0"/>
        <v>2974397.8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135">
        <f t="shared" si="0"/>
        <v>0</v>
      </c>
      <c r="AX16" s="135">
        <f t="shared" si="0"/>
        <v>0</v>
      </c>
      <c r="AY16" s="29">
        <f t="shared" si="0"/>
        <v>0</v>
      </c>
      <c r="AZ16" s="29">
        <f t="shared" si="0"/>
        <v>0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135">
        <f t="shared" si="0"/>
        <v>0</v>
      </c>
      <c r="BE16" s="135">
        <f t="shared" si="0"/>
        <v>0</v>
      </c>
      <c r="BF16" s="29">
        <f t="shared" si="0"/>
        <v>0</v>
      </c>
      <c r="BG16" s="29">
        <f t="shared" si="0"/>
        <v>0</v>
      </c>
      <c r="BH16" s="29">
        <f t="shared" si="0"/>
        <v>0</v>
      </c>
      <c r="BI16" s="29">
        <f t="shared" si="0"/>
        <v>0</v>
      </c>
      <c r="BJ16" s="29">
        <f t="shared" si="0"/>
        <v>0</v>
      </c>
      <c r="BK16" s="135">
        <f t="shared" si="0"/>
        <v>0</v>
      </c>
      <c r="BL16" s="135">
        <f t="shared" si="0"/>
        <v>0</v>
      </c>
      <c r="BM16" s="29">
        <f t="shared" si="0"/>
        <v>0</v>
      </c>
      <c r="BN16" s="29">
        <f t="shared" si="0"/>
        <v>0</v>
      </c>
      <c r="BO16" s="29">
        <f t="shared" si="0"/>
        <v>0</v>
      </c>
      <c r="BP16" s="29">
        <f t="shared" ref="BP16:BZ16" si="1">SUM(BP17:BP25)</f>
        <v>0</v>
      </c>
      <c r="BQ16" s="29">
        <f t="shared" si="1"/>
        <v>0</v>
      </c>
      <c r="BR16" s="135">
        <f t="shared" si="1"/>
        <v>0</v>
      </c>
      <c r="BS16" s="135">
        <f t="shared" si="1"/>
        <v>0</v>
      </c>
      <c r="BT16" s="29">
        <f t="shared" si="1"/>
        <v>2974397.8</v>
      </c>
      <c r="BU16" s="29">
        <f t="shared" si="1"/>
        <v>0</v>
      </c>
      <c r="BV16" s="29">
        <f t="shared" si="1"/>
        <v>0</v>
      </c>
      <c r="BW16" s="29">
        <f t="shared" si="1"/>
        <v>0</v>
      </c>
      <c r="BX16" s="29">
        <f t="shared" si="1"/>
        <v>0</v>
      </c>
      <c r="BY16" s="29">
        <f t="shared" si="1"/>
        <v>0</v>
      </c>
      <c r="BZ16" s="29">
        <f t="shared" si="1"/>
        <v>0</v>
      </c>
    </row>
    <row r="17" spans="1:78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</row>
    <row r="18" spans="1:78" s="80" customFormat="1" x14ac:dyDescent="0.25">
      <c r="A18" s="40" t="s">
        <v>9</v>
      </c>
      <c r="B18" s="21"/>
      <c r="C18" s="59"/>
      <c r="D18" s="30"/>
      <c r="F18" s="30"/>
      <c r="G18" s="30"/>
      <c r="H18" s="30"/>
      <c r="I18" s="31">
        <f>5300000/2</f>
        <v>2650000</v>
      </c>
      <c r="J18" s="30"/>
      <c r="K18" s="30">
        <v>1500000</v>
      </c>
      <c r="L18" s="30"/>
      <c r="M18" s="30"/>
      <c r="N18" s="30"/>
      <c r="O18" s="30"/>
      <c r="P18" s="30">
        <v>1000000</v>
      </c>
      <c r="Q18" s="30"/>
      <c r="R18" s="30">
        <v>1000000</v>
      </c>
      <c r="S18" s="30"/>
      <c r="T18" s="30"/>
      <c r="U18" s="30"/>
      <c r="V18" s="30"/>
      <c r="W18" s="30">
        <v>2000000</v>
      </c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</row>
    <row r="19" spans="1:78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</row>
    <row r="20" spans="1:78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</row>
    <row r="21" spans="1:78" s="80" customFormat="1" x14ac:dyDescent="0.25">
      <c r="A21" s="40" t="s">
        <v>123</v>
      </c>
      <c r="B21" s="21"/>
      <c r="C21" s="32"/>
      <c r="D21" s="30"/>
      <c r="E21" s="30">
        <f>924*A3</f>
        <v>77200.661999999997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</row>
    <row r="22" spans="1:78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</row>
    <row r="23" spans="1:78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>
        <f>96084*A3</f>
        <v>8027866.2419999996</v>
      </c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</row>
    <row r="24" spans="1:78" s="80" customFormat="1" x14ac:dyDescent="0.25">
      <c r="A24" s="40" t="s">
        <v>13</v>
      </c>
      <c r="B24" s="21"/>
      <c r="C24" s="59"/>
      <c r="D24" s="30"/>
      <c r="E24" s="30"/>
      <c r="G24" s="30"/>
      <c r="H24" s="30"/>
      <c r="I24" s="30"/>
      <c r="J24" s="30"/>
      <c r="K24" s="30"/>
      <c r="L24" s="30"/>
      <c r="M24" s="30"/>
      <c r="N24" s="30"/>
      <c r="O24" s="30"/>
      <c r="P24" s="30">
        <f>35000*A3</f>
        <v>2924267.5</v>
      </c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L24" s="30">
        <f>35600*A3</f>
        <v>2974397.8</v>
      </c>
      <c r="AM24" s="30"/>
      <c r="AN24" s="30"/>
      <c r="AO24" s="30"/>
      <c r="AP24" s="30"/>
      <c r="AQ24" s="30"/>
      <c r="AR24" s="30"/>
      <c r="AS24" s="30">
        <f>35600*A3</f>
        <v>2974397.8</v>
      </c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165">
        <f>35600*A3</f>
        <v>2974397.8</v>
      </c>
      <c r="BU24" s="30"/>
      <c r="BV24" s="30"/>
      <c r="BW24" s="30"/>
      <c r="BX24" s="30"/>
      <c r="BY24" s="30"/>
      <c r="BZ24" s="30"/>
    </row>
    <row r="25" spans="1:78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</row>
    <row r="26" spans="1:78" s="4" customFormat="1" x14ac:dyDescent="0.2">
      <c r="A26" s="41" t="s">
        <v>1</v>
      </c>
      <c r="B26" s="22"/>
      <c r="C26" s="34">
        <f>SUM(C28:C77)</f>
        <v>24517364.896620002</v>
      </c>
      <c r="D26" s="34"/>
      <c r="E26" s="34">
        <f t="shared" ref="E26:BO26" si="2">SUM(E27:E78)</f>
        <v>3483648.4833333334</v>
      </c>
      <c r="F26" s="34">
        <f t="shared" si="2"/>
        <v>319754.75024999998</v>
      </c>
      <c r="G26" s="34">
        <f t="shared" si="2"/>
        <v>0</v>
      </c>
      <c r="H26" s="34">
        <f t="shared" si="2"/>
        <v>0</v>
      </c>
      <c r="I26" s="34">
        <f t="shared" si="2"/>
        <v>2627079.8043290041</v>
      </c>
      <c r="J26" s="34">
        <f t="shared" si="2"/>
        <v>828652.11716666678</v>
      </c>
      <c r="K26" s="34">
        <f t="shared" si="2"/>
        <v>402544.46666666667</v>
      </c>
      <c r="L26" s="34">
        <f t="shared" si="2"/>
        <v>166545.70049999998</v>
      </c>
      <c r="M26" s="34">
        <f t="shared" si="2"/>
        <v>928673.20484848483</v>
      </c>
      <c r="N26" s="34">
        <f t="shared" si="2"/>
        <v>0</v>
      </c>
      <c r="O26" s="34">
        <f t="shared" si="2"/>
        <v>0</v>
      </c>
      <c r="P26" s="34">
        <f t="shared" si="2"/>
        <v>3351042.4702597405</v>
      </c>
      <c r="Q26" s="34">
        <f t="shared" si="2"/>
        <v>341140.11869999999</v>
      </c>
      <c r="R26" s="34">
        <f t="shared" si="2"/>
        <v>1088858.3981818182</v>
      </c>
      <c r="S26" s="34">
        <f t="shared" si="2"/>
        <v>810475.77203333331</v>
      </c>
      <c r="T26" s="34">
        <f t="shared" si="2"/>
        <v>0</v>
      </c>
      <c r="U26" s="34">
        <f t="shared" si="2"/>
        <v>0</v>
      </c>
      <c r="V26" s="34">
        <f t="shared" si="2"/>
        <v>0</v>
      </c>
      <c r="W26" s="34">
        <f t="shared" si="2"/>
        <v>1280372.4568818181</v>
      </c>
      <c r="X26" s="34">
        <f t="shared" si="2"/>
        <v>180226.33869999999</v>
      </c>
      <c r="Y26" s="34">
        <f t="shared" si="2"/>
        <v>389258.5232</v>
      </c>
      <c r="Z26" s="34">
        <f t="shared" si="2"/>
        <v>2093470.960081818</v>
      </c>
      <c r="AA26" s="34">
        <f t="shared" si="2"/>
        <v>956841.92376363627</v>
      </c>
      <c r="AB26" s="34">
        <f t="shared" si="2"/>
        <v>0</v>
      </c>
      <c r="AC26" s="34">
        <f t="shared" si="2"/>
        <v>0</v>
      </c>
      <c r="AD26" s="34">
        <f t="shared" si="2"/>
        <v>574980.13653333334</v>
      </c>
      <c r="AE26" s="34">
        <f t="shared" si="2"/>
        <v>335898.80319999997</v>
      </c>
      <c r="AF26" s="34">
        <f t="shared" si="2"/>
        <v>311947.03703333333</v>
      </c>
      <c r="AG26" s="34">
        <f t="shared" si="2"/>
        <v>175517.13653333334</v>
      </c>
      <c r="AH26" s="34">
        <f t="shared" si="2"/>
        <v>448264.4752333333</v>
      </c>
      <c r="AI26" s="34">
        <f t="shared" si="2"/>
        <v>0</v>
      </c>
      <c r="AJ26" s="34">
        <f t="shared" si="2"/>
        <v>0</v>
      </c>
      <c r="AK26" s="34">
        <f t="shared" si="2"/>
        <v>497023.13653333328</v>
      </c>
      <c r="AL26" s="34">
        <f t="shared" si="2"/>
        <v>3488980.4752333337</v>
      </c>
      <c r="AM26" s="34">
        <f t="shared" si="2"/>
        <v>240538.13653333334</v>
      </c>
      <c r="AN26" s="34">
        <f t="shared" si="2"/>
        <v>930267.70319999999</v>
      </c>
      <c r="AO26" s="34">
        <f t="shared" si="2"/>
        <v>220299.15688181817</v>
      </c>
      <c r="AP26" s="34">
        <f t="shared" si="2"/>
        <v>0</v>
      </c>
      <c r="AQ26" s="34">
        <f t="shared" si="2"/>
        <v>0</v>
      </c>
      <c r="AR26" s="34">
        <f t="shared" si="2"/>
        <v>184204.80319999999</v>
      </c>
      <c r="AS26" s="34">
        <f t="shared" si="2"/>
        <v>143804.81818181818</v>
      </c>
      <c r="AT26" s="34">
        <f t="shared" si="2"/>
        <v>316786.60639999999</v>
      </c>
      <c r="AU26" s="34">
        <f t="shared" si="2"/>
        <v>276386.6213818182</v>
      </c>
      <c r="AV26" s="34">
        <f t="shared" si="2"/>
        <v>51623</v>
      </c>
      <c r="AW26" s="34">
        <f t="shared" si="2"/>
        <v>0</v>
      </c>
      <c r="AX26" s="34">
        <f t="shared" si="2"/>
        <v>0</v>
      </c>
      <c r="AY26" s="34">
        <f t="shared" si="2"/>
        <v>1778736</v>
      </c>
      <c r="AZ26" s="34">
        <f t="shared" si="2"/>
        <v>143804.81818181818</v>
      </c>
      <c r="BA26" s="34">
        <f t="shared" si="2"/>
        <v>51623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si="2"/>
        <v>0</v>
      </c>
      <c r="BO26" s="34">
        <f t="shared" si="2"/>
        <v>0</v>
      </c>
      <c r="BP26" s="34">
        <f t="shared" ref="BP26:BZ26" si="3">SUM(BP27:BP78)</f>
        <v>0</v>
      </c>
      <c r="BQ26" s="34">
        <f t="shared" si="3"/>
        <v>0</v>
      </c>
      <c r="BR26" s="34">
        <f t="shared" si="3"/>
        <v>0</v>
      </c>
      <c r="BS26" s="34">
        <f t="shared" si="3"/>
        <v>0</v>
      </c>
      <c r="BT26" s="34">
        <f t="shared" si="3"/>
        <v>746062.9</v>
      </c>
      <c r="BU26" s="34">
        <f t="shared" si="3"/>
        <v>0</v>
      </c>
      <c r="BV26" s="34">
        <f t="shared" si="3"/>
        <v>0</v>
      </c>
      <c r="BW26" s="34">
        <f t="shared" si="3"/>
        <v>0</v>
      </c>
      <c r="BX26" s="34">
        <f t="shared" si="3"/>
        <v>0</v>
      </c>
      <c r="BY26" s="34">
        <f t="shared" si="3"/>
        <v>0</v>
      </c>
      <c r="BZ26" s="34">
        <f t="shared" si="3"/>
        <v>0</v>
      </c>
    </row>
    <row r="27" spans="1:78" x14ac:dyDescent="0.25">
      <c r="A27" s="40"/>
      <c r="B27" s="21"/>
      <c r="C27" s="59"/>
      <c r="D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</row>
    <row r="28" spans="1:78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</row>
    <row r="29" spans="1:78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</row>
    <row r="30" spans="1:78" s="1" customFormat="1" x14ac:dyDescent="0.2">
      <c r="A30" s="36" t="s">
        <v>2</v>
      </c>
      <c r="B30" s="23" t="s">
        <v>5</v>
      </c>
      <c r="C30" s="60"/>
      <c r="D30" s="24"/>
      <c r="E30" s="24">
        <f>8399365/3</f>
        <v>2799788.3333333335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>
        <f>8399365/3</f>
        <v>2799788.3333333335</v>
      </c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</row>
    <row r="31" spans="1:78" s="1" customFormat="1" x14ac:dyDescent="0.2">
      <c r="A31" s="36" t="s">
        <v>2</v>
      </c>
      <c r="B31" s="23" t="s">
        <v>6</v>
      </c>
      <c r="C31" s="60"/>
      <c r="D31" s="24"/>
      <c r="E31" s="90">
        <f>291375+137118</f>
        <v>428493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90">
        <f>291375+137118</f>
        <v>428493</v>
      </c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</row>
    <row r="32" spans="1:78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/>
      <c r="I32" s="24"/>
      <c r="J32" s="24">
        <v>400000</v>
      </c>
      <c r="K32" s="24"/>
      <c r="L32" s="24"/>
      <c r="M32" s="24"/>
      <c r="N32" s="24"/>
      <c r="O32" s="24"/>
      <c r="P32" s="24"/>
      <c r="Q32" s="24"/>
      <c r="R32" s="24">
        <v>350000</v>
      </c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</row>
    <row r="33" spans="1:78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U33" s="24"/>
      <c r="V33" s="24"/>
      <c r="W33" s="24">
        <v>271506</v>
      </c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>
        <v>271506</v>
      </c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</row>
    <row r="34" spans="1:78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</row>
    <row r="35" spans="1:78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>
        <v>100113.9</v>
      </c>
      <c r="Q35" s="24"/>
      <c r="R35" s="24"/>
      <c r="S35" s="24">
        <v>100000</v>
      </c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>
        <v>200113.9</v>
      </c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>
        <v>200113.9</v>
      </c>
      <c r="BU35" s="24"/>
      <c r="BV35" s="24"/>
      <c r="BW35" s="24"/>
      <c r="BX35" s="24"/>
      <c r="BY35" s="24"/>
      <c r="BZ35" s="24"/>
    </row>
    <row r="36" spans="1:78" s="1" customFormat="1" x14ac:dyDescent="0.2">
      <c r="A36" s="36" t="s">
        <v>53</v>
      </c>
      <c r="B36" s="23"/>
      <c r="C36" s="60"/>
      <c r="D36" s="24"/>
      <c r="E36" s="24"/>
      <c r="F36" s="24"/>
      <c r="G36" s="24"/>
      <c r="H36" s="24"/>
      <c r="I36" s="24"/>
      <c r="J36" s="24"/>
      <c r="K36" s="24"/>
      <c r="L36" s="24"/>
      <c r="M36" s="24">
        <f>545949/6</f>
        <v>90991.5</v>
      </c>
      <c r="N36" s="24"/>
      <c r="O36" s="24"/>
      <c r="P36" s="24">
        <f t="shared" ref="P36:W36" si="4">545949/6</f>
        <v>90991.5</v>
      </c>
      <c r="Q36" s="24">
        <f t="shared" si="4"/>
        <v>90991.5</v>
      </c>
      <c r="R36" s="24">
        <f t="shared" si="4"/>
        <v>90991.5</v>
      </c>
      <c r="S36" s="24">
        <f t="shared" si="4"/>
        <v>90991.5</v>
      </c>
      <c r="U36" s="24"/>
      <c r="V36" s="24"/>
      <c r="W36" s="24">
        <f t="shared" si="4"/>
        <v>90991.5</v>
      </c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>
        <v>545949</v>
      </c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>
        <v>545949</v>
      </c>
      <c r="BU36" s="24"/>
      <c r="BV36" s="24"/>
      <c r="BW36" s="24"/>
      <c r="BX36" s="24"/>
      <c r="BY36" s="24"/>
      <c r="BZ36" s="24"/>
    </row>
    <row r="37" spans="1:78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</row>
    <row r="38" spans="1:78" s="71" customFormat="1" x14ac:dyDescent="0.2">
      <c r="A38" s="69" t="s">
        <v>14</v>
      </c>
      <c r="B38" s="25" t="s">
        <v>30</v>
      </c>
      <c r="C38" s="70"/>
      <c r="D38" s="24"/>
      <c r="F38" s="108">
        <f>170889/5-823</f>
        <v>33354.800000000003</v>
      </c>
      <c r="G38" s="24"/>
      <c r="H38" s="24"/>
      <c r="I38" s="108">
        <f t="shared" ref="I38:W38" si="5">191379/5</f>
        <v>38275.800000000003</v>
      </c>
      <c r="K38" s="108">
        <f t="shared" si="5"/>
        <v>38275.800000000003</v>
      </c>
      <c r="L38" s="108">
        <f t="shared" si="5"/>
        <v>38275.800000000003</v>
      </c>
      <c r="M38" s="108">
        <f>191379/5-822.2</f>
        <v>37453.600000000006</v>
      </c>
      <c r="N38" s="24"/>
      <c r="O38" s="24"/>
      <c r="P38" s="108">
        <f t="shared" ref="P38" si="6">170889/5</f>
        <v>34177.800000000003</v>
      </c>
      <c r="Q38" s="24"/>
      <c r="R38" s="108">
        <f>170889/5</f>
        <v>34177.800000000003</v>
      </c>
      <c r="S38" s="24"/>
      <c r="T38" s="24"/>
      <c r="U38" s="24"/>
      <c r="V38" s="24"/>
      <c r="W38" s="108">
        <f t="shared" si="5"/>
        <v>38275.800000000003</v>
      </c>
      <c r="X38" s="24"/>
      <c r="Y38" s="108">
        <v>35000</v>
      </c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</row>
    <row r="39" spans="1:78" s="71" customFormat="1" x14ac:dyDescent="0.2">
      <c r="A39" s="69" t="s">
        <v>115</v>
      </c>
      <c r="B39" s="25" t="s">
        <v>116</v>
      </c>
      <c r="C39" s="70"/>
      <c r="D39" s="24"/>
      <c r="E39" s="24"/>
      <c r="G39" s="24"/>
      <c r="H39" s="24"/>
      <c r="I39" s="24"/>
      <c r="J39" s="108">
        <f>156160/6</f>
        <v>26026.666666666668</v>
      </c>
      <c r="K39" s="24"/>
      <c r="L39" s="24"/>
      <c r="M39" s="108">
        <f>156160/6+1026.67+1026.67</f>
        <v>28080.006666666668</v>
      </c>
      <c r="N39" s="24"/>
      <c r="O39" s="24"/>
      <c r="P39" s="24"/>
      <c r="Q39" s="24"/>
      <c r="R39" s="24"/>
      <c r="S39" s="100">
        <f>312320/10</f>
        <v>31232</v>
      </c>
      <c r="T39" s="24"/>
      <c r="U39" s="24"/>
      <c r="V39" s="24"/>
      <c r="W39" s="24"/>
      <c r="X39" s="100">
        <f>312320/10</f>
        <v>31232</v>
      </c>
      <c r="Y39" s="24"/>
      <c r="Z39" s="24"/>
      <c r="AA39" s="100">
        <f>312320/10</f>
        <v>31232</v>
      </c>
      <c r="AB39" s="24"/>
      <c r="AC39" s="24"/>
      <c r="AD39" s="108">
        <f>312320/10</f>
        <v>31232</v>
      </c>
      <c r="AE39" s="24"/>
      <c r="AF39" s="108">
        <f>312320/10</f>
        <v>31232</v>
      </c>
      <c r="AG39" s="24"/>
      <c r="AH39" s="108">
        <f>312320/10</f>
        <v>31232</v>
      </c>
      <c r="AI39" s="24"/>
      <c r="AJ39" s="24"/>
      <c r="AK39" s="108">
        <v>124838</v>
      </c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</row>
    <row r="40" spans="1:78" s="71" customFormat="1" x14ac:dyDescent="0.2">
      <c r="A40" s="69" t="s">
        <v>117</v>
      </c>
      <c r="B40" s="25" t="s">
        <v>119</v>
      </c>
      <c r="C40" s="70">
        <v>691000</v>
      </c>
      <c r="D40" s="24"/>
      <c r="E40" s="24"/>
      <c r="F40" s="100">
        <f>91000/2</f>
        <v>45500</v>
      </c>
      <c r="G40" s="24"/>
      <c r="H40" s="24"/>
      <c r="I40" s="108">
        <f>100000/2</f>
        <v>50000</v>
      </c>
      <c r="J40" s="24"/>
      <c r="K40" s="108">
        <f>100000/2</f>
        <v>50000</v>
      </c>
      <c r="L40" s="24"/>
      <c r="M40" s="108">
        <f>100000/2</f>
        <v>50000</v>
      </c>
      <c r="N40" s="24"/>
      <c r="O40" s="24"/>
      <c r="P40" s="108">
        <f>91000/2</f>
        <v>45500</v>
      </c>
      <c r="Q40" s="108">
        <v>50000</v>
      </c>
      <c r="R40" s="24"/>
      <c r="S40" s="108">
        <v>50000</v>
      </c>
      <c r="U40" s="24"/>
      <c r="V40" s="24"/>
      <c r="W40" s="24"/>
      <c r="X40" s="24"/>
      <c r="Y40" s="24"/>
      <c r="Z40" s="108">
        <v>150000</v>
      </c>
      <c r="AA40" s="108">
        <v>100000</v>
      </c>
      <c r="AB40" s="24"/>
      <c r="AC40" s="24"/>
      <c r="AD40" s="24"/>
      <c r="AE40" s="108">
        <v>100000</v>
      </c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</row>
    <row r="41" spans="1:78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100">
        <v>235200</v>
      </c>
      <c r="N41" s="24"/>
      <c r="O41" s="24"/>
      <c r="P41" s="24"/>
      <c r="Q41" s="24"/>
      <c r="R41" s="24"/>
      <c r="S41" s="100">
        <f>510600/2</f>
        <v>255300</v>
      </c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</row>
    <row r="42" spans="1:78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</f>
        <v>345000</v>
      </c>
      <c r="D42" s="24"/>
      <c r="E42" s="129">
        <v>30000</v>
      </c>
      <c r="F42" s="129">
        <v>40000</v>
      </c>
      <c r="G42" s="24"/>
      <c r="H42" s="24"/>
      <c r="I42" s="129">
        <f>95000/2</f>
        <v>47500</v>
      </c>
      <c r="J42" s="24"/>
      <c r="K42" s="129">
        <v>50000</v>
      </c>
      <c r="L42" s="24"/>
      <c r="M42" s="129">
        <v>50000</v>
      </c>
      <c r="N42" s="24"/>
      <c r="O42" s="24"/>
      <c r="P42" s="129">
        <v>50000</v>
      </c>
      <c r="R42" s="129">
        <v>30000</v>
      </c>
      <c r="S42" s="24"/>
      <c r="U42" s="24"/>
      <c r="V42" s="24"/>
      <c r="W42" s="108">
        <f>510600/2</f>
        <v>255300</v>
      </c>
      <c r="X42" s="129">
        <f>95000/2</f>
        <v>47500</v>
      </c>
      <c r="Y42" s="24"/>
      <c r="Z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</row>
    <row r="43" spans="1:78" s="71" customFormat="1" x14ac:dyDescent="0.2">
      <c r="A43" s="69" t="s">
        <v>15</v>
      </c>
      <c r="B43" s="25" t="s">
        <v>31</v>
      </c>
      <c r="C43" s="70">
        <f>2480914-516230-48700-50000-50000-50000</f>
        <v>1765984</v>
      </c>
      <c r="D43" s="24"/>
      <c r="F43" s="24"/>
      <c r="G43" s="24"/>
      <c r="H43" s="24"/>
      <c r="I43" s="108">
        <f>(515224/4)/3</f>
        <v>42935.333333333336</v>
      </c>
      <c r="K43" s="108">
        <f t="shared" ref="K43:AG43" si="7">(515224/4)/3</f>
        <v>42935.333333333336</v>
      </c>
      <c r="L43" s="24"/>
      <c r="M43" s="140">
        <f>195080/4+5112</f>
        <v>53882</v>
      </c>
      <c r="N43" s="24"/>
      <c r="O43" s="24"/>
      <c r="P43" s="108">
        <f>(45000+65224)/2</f>
        <v>55112</v>
      </c>
      <c r="Q43" s="140">
        <f t="shared" ref="Q43" si="8">195080/4</f>
        <v>48770</v>
      </c>
      <c r="R43" s="108">
        <f t="shared" ref="R43:S43" si="9">516230/10</f>
        <v>51623</v>
      </c>
      <c r="S43" s="108">
        <f t="shared" si="9"/>
        <v>51623</v>
      </c>
      <c r="U43" s="24"/>
      <c r="V43" s="24"/>
      <c r="W43" s="108">
        <f>516230/10</f>
        <v>51623</v>
      </c>
      <c r="Y43" s="108">
        <f t="shared" ref="Y43:BA43" si="10">516230/10</f>
        <v>51623</v>
      </c>
      <c r="Z43" s="108">
        <f t="shared" si="10"/>
        <v>51623</v>
      </c>
      <c r="AA43" s="108">
        <f>516230/10</f>
        <v>51623</v>
      </c>
      <c r="AB43" s="24"/>
      <c r="AC43" s="24"/>
      <c r="AD43" s="108">
        <f>516230/10</f>
        <v>51623</v>
      </c>
      <c r="AE43" s="108">
        <f>516230/10+15224</f>
        <v>66847</v>
      </c>
      <c r="AF43" s="24"/>
      <c r="AG43" s="108">
        <f t="shared" si="7"/>
        <v>42935.333333333336</v>
      </c>
      <c r="AH43" s="108">
        <f>516230/10</f>
        <v>51623</v>
      </c>
      <c r="AI43" s="24"/>
      <c r="AJ43" s="24"/>
      <c r="AK43" s="98">
        <f>515224/4+54464</f>
        <v>183270</v>
      </c>
      <c r="AL43" s="108">
        <f t="shared" ref="AL43:AO43" si="11">516230/10</f>
        <v>51623</v>
      </c>
      <c r="AM43" s="108">
        <f t="shared" si="11"/>
        <v>51623</v>
      </c>
      <c r="AN43" s="108">
        <f t="shared" si="11"/>
        <v>51623</v>
      </c>
      <c r="AO43" s="108">
        <f t="shared" si="11"/>
        <v>51623</v>
      </c>
      <c r="AP43" s="24"/>
      <c r="AQ43" s="24"/>
      <c r="AR43" s="108">
        <f t="shared" ref="AR43:AV43" si="12">516230/10</f>
        <v>51623</v>
      </c>
      <c r="AS43" s="108">
        <f t="shared" si="12"/>
        <v>51623</v>
      </c>
      <c r="AT43" s="108">
        <f t="shared" si="12"/>
        <v>51623</v>
      </c>
      <c r="AU43" s="108">
        <f t="shared" si="12"/>
        <v>51623</v>
      </c>
      <c r="AV43" s="108">
        <f t="shared" si="12"/>
        <v>51623</v>
      </c>
      <c r="AW43" s="24"/>
      <c r="AX43" s="24"/>
      <c r="AY43" s="100">
        <v>516230</v>
      </c>
      <c r="AZ43" s="108">
        <f>516230/10</f>
        <v>51623</v>
      </c>
      <c r="BA43" s="108">
        <f t="shared" si="10"/>
        <v>51623</v>
      </c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</row>
    <row r="44" spans="1:78" s="71" customFormat="1" x14ac:dyDescent="0.2">
      <c r="A44" s="69" t="s">
        <v>16</v>
      </c>
      <c r="B44" s="25" t="s">
        <v>32</v>
      </c>
      <c r="C44" s="70">
        <f>449410-99410-50000+15000-25000</f>
        <v>290000</v>
      </c>
      <c r="D44" s="24"/>
      <c r="E44" s="108">
        <v>25000</v>
      </c>
      <c r="F44" s="24"/>
      <c r="G44" s="24"/>
      <c r="H44" s="24"/>
      <c r="J44" s="108">
        <f>(172350+10000)/5</f>
        <v>36470</v>
      </c>
      <c r="L44" s="108">
        <f t="shared" ref="L44:AE44" si="13">(172350+10000)/5</f>
        <v>36470</v>
      </c>
      <c r="M44" s="28"/>
      <c r="N44" s="24"/>
      <c r="O44" s="24"/>
      <c r="P44" s="108">
        <v>50000</v>
      </c>
      <c r="Q44" s="24"/>
      <c r="R44" s="108">
        <v>50000</v>
      </c>
      <c r="S44" s="24"/>
      <c r="T44" s="24"/>
      <c r="U44" s="24"/>
      <c r="V44" s="24"/>
      <c r="W44" s="24"/>
      <c r="X44" s="24"/>
      <c r="Y44" s="24"/>
      <c r="Z44" s="108">
        <f>(172350+10000)/5+4120</f>
        <v>40590</v>
      </c>
      <c r="AA44" s="24"/>
      <c r="AB44" s="24"/>
      <c r="AC44" s="24"/>
      <c r="AD44" s="24"/>
      <c r="AE44" s="108">
        <f t="shared" si="13"/>
        <v>36470</v>
      </c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</row>
    <row r="45" spans="1:78" s="71" customFormat="1" x14ac:dyDescent="0.2">
      <c r="A45" s="69" t="s">
        <v>85</v>
      </c>
      <c r="B45" s="25" t="s">
        <v>47</v>
      </c>
      <c r="C45" s="70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</row>
    <row r="46" spans="1:78" s="71" customFormat="1" x14ac:dyDescent="0.2">
      <c r="A46" s="69" t="s">
        <v>143</v>
      </c>
      <c r="B46" s="25" t="s">
        <v>45</v>
      </c>
      <c r="C46" s="24">
        <f>188496*A9</f>
        <v>1988727.048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8"/>
      <c r="U46" s="24"/>
      <c r="V46" s="24"/>
      <c r="X46" s="24"/>
      <c r="Y46" s="108">
        <f t="shared" ref="Y46:AR46" si="14">(188496*$A$9)/15</f>
        <v>132581.80319999999</v>
      </c>
      <c r="Z46" s="108">
        <f t="shared" si="14"/>
        <v>132581.80319999999</v>
      </c>
      <c r="AB46" s="24"/>
      <c r="AC46" s="24"/>
      <c r="AD46" s="108">
        <f>(188496*$A$9)/15</f>
        <v>132581.80319999999</v>
      </c>
      <c r="AE46" s="108">
        <f t="shared" ref="AE46:AH46" si="15">(188496*$A$9)/15</f>
        <v>132581.80319999999</v>
      </c>
      <c r="AF46" s="108">
        <f t="shared" si="15"/>
        <v>132581.80319999999</v>
      </c>
      <c r="AG46" s="108">
        <f t="shared" si="15"/>
        <v>132581.80319999999</v>
      </c>
      <c r="AH46" s="108">
        <f t="shared" si="15"/>
        <v>132581.80319999999</v>
      </c>
      <c r="AI46" s="24"/>
      <c r="AJ46" s="24"/>
      <c r="AK46" s="108">
        <f>(188496*$A$9)/15</f>
        <v>132581.80319999999</v>
      </c>
      <c r="AL46" s="108">
        <f t="shared" ref="AL46:AN46" si="16">(188496*$A$9)/15</f>
        <v>132581.80319999999</v>
      </c>
      <c r="AM46" s="108">
        <f t="shared" si="16"/>
        <v>132581.80319999999</v>
      </c>
      <c r="AN46" s="108">
        <f t="shared" si="16"/>
        <v>132581.80319999999</v>
      </c>
      <c r="AO46" s="28"/>
      <c r="AP46" s="24"/>
      <c r="AQ46" s="24"/>
      <c r="AR46" s="108">
        <f t="shared" si="14"/>
        <v>132581.80319999999</v>
      </c>
      <c r="AS46" s="24"/>
      <c r="AT46" s="108">
        <f>((188496*$A$9)/15)*2</f>
        <v>265163.60639999999</v>
      </c>
      <c r="AU46" s="108">
        <f>(188496*$A$9)/15</f>
        <v>132581.80319999999</v>
      </c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</row>
    <row r="47" spans="1:78" s="71" customFormat="1" x14ac:dyDescent="0.2">
      <c r="A47" s="69" t="s">
        <v>120</v>
      </c>
      <c r="B47" s="25" t="s">
        <v>121</v>
      </c>
      <c r="C47" s="120">
        <f>507000+1014000-47000</f>
        <v>1474000</v>
      </c>
      <c r="D47" s="24"/>
      <c r="F47" s="24"/>
      <c r="G47" s="24"/>
      <c r="H47" s="24"/>
      <c r="I47" s="108">
        <f t="shared" ref="I47:AM47" si="17">507000/9</f>
        <v>56333.333333333336</v>
      </c>
      <c r="K47" s="108">
        <f t="shared" si="17"/>
        <v>56333.333333333336</v>
      </c>
      <c r="M47" s="108">
        <f>1014000/11</f>
        <v>92181.818181818177</v>
      </c>
      <c r="N47" s="24"/>
      <c r="O47" s="24"/>
      <c r="P47" s="108">
        <f t="shared" ref="P47:AS47" si="18">1014000/11</f>
        <v>92181.818181818177</v>
      </c>
      <c r="R47" s="108">
        <f t="shared" si="18"/>
        <v>92181.818181818177</v>
      </c>
      <c r="S47" s="108">
        <f t="shared" ref="S47:AH47" si="19">507000/9</f>
        <v>56333.333333333336</v>
      </c>
      <c r="T47" s="28"/>
      <c r="U47" s="24"/>
      <c r="V47" s="24"/>
      <c r="W47" s="108">
        <f t="shared" ref="W47:AZ47" si="20">1014000/11</f>
        <v>92181.818181818177</v>
      </c>
      <c r="X47" s="24"/>
      <c r="Z47" s="108">
        <f t="shared" si="20"/>
        <v>92181.818181818177</v>
      </c>
      <c r="AA47" s="108">
        <f>(1014000/11)*2+9333.33</f>
        <v>193696.96636363634</v>
      </c>
      <c r="AB47" s="24"/>
      <c r="AC47" s="24"/>
      <c r="AD47" s="108">
        <f>507000/9</f>
        <v>56333.333333333336</v>
      </c>
      <c r="AE47" s="24"/>
      <c r="AF47" s="108">
        <f t="shared" si="19"/>
        <v>56333.333333333336</v>
      </c>
      <c r="AG47" s="24"/>
      <c r="AH47" s="108">
        <f t="shared" si="19"/>
        <v>56333.333333333336</v>
      </c>
      <c r="AI47" s="24"/>
      <c r="AJ47" s="24"/>
      <c r="AK47" s="108">
        <f t="shared" si="17"/>
        <v>56333.333333333336</v>
      </c>
      <c r="AL47" s="24"/>
      <c r="AM47" s="108">
        <f t="shared" si="17"/>
        <v>56333.333333333336</v>
      </c>
      <c r="AO47" s="108">
        <f t="shared" si="18"/>
        <v>92181.818181818177</v>
      </c>
      <c r="AP47" s="24"/>
      <c r="AQ47" s="24"/>
      <c r="AR47" s="24"/>
      <c r="AS47" s="108">
        <f t="shared" si="18"/>
        <v>92181.818181818177</v>
      </c>
      <c r="AT47" s="24"/>
      <c r="AU47" s="108">
        <f t="shared" si="20"/>
        <v>92181.818181818177</v>
      </c>
      <c r="AV47" s="24"/>
      <c r="AW47" s="24"/>
      <c r="AX47" s="24"/>
      <c r="AY47" s="108">
        <v>991000</v>
      </c>
      <c r="AZ47" s="108">
        <f t="shared" si="20"/>
        <v>92181.818181818177</v>
      </c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</row>
    <row r="48" spans="1:78" s="73" customFormat="1" x14ac:dyDescent="0.2">
      <c r="A48" s="69" t="s">
        <v>22</v>
      </c>
      <c r="B48" s="25" t="s">
        <v>48</v>
      </c>
      <c r="C48" s="137">
        <f>52206*A9-9201*A9-8700*A9</f>
        <v>361934.90249999997</v>
      </c>
      <c r="D48" s="72"/>
      <c r="E48" s="160">
        <f>4300*A9</f>
        <v>45367.15</v>
      </c>
      <c r="F48" s="160">
        <f>((52206*$A$9)/6)/2</f>
        <v>45899.950249999994</v>
      </c>
      <c r="G48" s="72"/>
      <c r="H48" s="72"/>
      <c r="J48" s="160">
        <f>(52206*$A$9)/6</f>
        <v>91799.900499999989</v>
      </c>
      <c r="K48" s="72"/>
      <c r="L48" s="160">
        <f>(52206*$A$9)/6</f>
        <v>91799.900499999989</v>
      </c>
      <c r="N48" s="72"/>
      <c r="O48" s="72"/>
      <c r="Q48" s="160">
        <f t="shared" ref="Q48:AL48" si="21">(52206*$A$9+2988*$A$6)/10</f>
        <v>76494.338699999993</v>
      </c>
      <c r="S48" s="160">
        <f t="shared" si="21"/>
        <v>76494.338699999993</v>
      </c>
      <c r="T48" s="72"/>
      <c r="U48" s="72"/>
      <c r="V48" s="72"/>
      <c r="W48" s="160">
        <f>(52206*$A$9+2988*$A$6)/10</f>
        <v>76494.338699999993</v>
      </c>
      <c r="X48" s="160">
        <f t="shared" ref="X48:AO48" si="22">(52206*$A$9+2988*$A$6)/10</f>
        <v>76494.338699999993</v>
      </c>
      <c r="Z48" s="160">
        <f t="shared" si="22"/>
        <v>76494.338699999993</v>
      </c>
      <c r="AA48" s="160">
        <f>((52206*$A$9+2988*$A$6)/10)*2</f>
        <v>152988.67739999999</v>
      </c>
      <c r="AB48" s="72"/>
      <c r="AC48" s="72"/>
      <c r="AE48" s="72"/>
      <c r="AF48" s="160">
        <f>(52206*$A$9)/6</f>
        <v>91799.900499999989</v>
      </c>
      <c r="AG48" s="72"/>
      <c r="AH48" s="160">
        <f>(52206*$A$9+2988*$A$6)/10</f>
        <v>76494.338699999993</v>
      </c>
      <c r="AI48" s="72"/>
      <c r="AJ48" s="72"/>
      <c r="AK48" s="72"/>
      <c r="AL48" s="160">
        <f t="shared" si="21"/>
        <v>76494.338699999993</v>
      </c>
      <c r="AM48" s="72"/>
      <c r="AN48" s="72"/>
      <c r="AO48" s="160">
        <f t="shared" si="22"/>
        <v>76494.338699999993</v>
      </c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</row>
    <row r="49" spans="1:78" s="73" customFormat="1" x14ac:dyDescent="0.2">
      <c r="A49" s="69" t="s">
        <v>108</v>
      </c>
      <c r="B49" s="25" t="s">
        <v>109</v>
      </c>
      <c r="C49" s="120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138">
        <v>50531.25</v>
      </c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</row>
    <row r="50" spans="1:78" s="71" customFormat="1" x14ac:dyDescent="0.2">
      <c r="A50" s="69" t="s">
        <v>36</v>
      </c>
      <c r="B50" s="25" t="s">
        <v>37</v>
      </c>
      <c r="C50" s="130"/>
      <c r="D50" s="24"/>
      <c r="E50" s="28"/>
      <c r="F50" s="24"/>
      <c r="G50" s="24"/>
      <c r="H50" s="24"/>
      <c r="I50" s="72"/>
      <c r="J50" s="100">
        <f>1037.5*A6</f>
        <v>74355.55</v>
      </c>
      <c r="K50" s="24"/>
      <c r="L50" s="24"/>
      <c r="M50" s="24"/>
      <c r="N50" s="24"/>
      <c r="O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</row>
    <row r="51" spans="1:78" s="71" customFormat="1" x14ac:dyDescent="0.2">
      <c r="A51" s="69" t="s">
        <v>86</v>
      </c>
      <c r="B51" s="25" t="s">
        <v>35</v>
      </c>
      <c r="C51" s="70"/>
      <c r="D51" s="77"/>
      <c r="E51" s="24"/>
      <c r="F51" s="28"/>
      <c r="G51" s="24"/>
      <c r="H51" s="24"/>
      <c r="I51" s="72"/>
      <c r="J51" s="28"/>
      <c r="K51" s="24"/>
      <c r="L51" s="24"/>
      <c r="M51" s="24"/>
      <c r="N51" s="24"/>
      <c r="O51" s="24"/>
      <c r="P51" s="24"/>
      <c r="Q51" s="24"/>
      <c r="R51" s="24"/>
      <c r="S51" s="100">
        <f>490*A6</f>
        <v>35117.32</v>
      </c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</row>
    <row r="52" spans="1:78" s="71" customFormat="1" x14ac:dyDescent="0.2">
      <c r="A52" s="69" t="s">
        <v>29</v>
      </c>
      <c r="B52" s="25" t="s">
        <v>43</v>
      </c>
      <c r="C52" s="70">
        <f>439750-19750-25000-25000-25000</f>
        <v>345000</v>
      </c>
      <c r="D52" s="24"/>
      <c r="E52" s="28"/>
      <c r="G52" s="24"/>
      <c r="H52" s="24"/>
      <c r="I52" s="95">
        <v>25000</v>
      </c>
      <c r="J52" s="24"/>
      <c r="K52" s="95">
        <v>25000</v>
      </c>
      <c r="L52" s="24"/>
      <c r="M52" s="95">
        <v>25000</v>
      </c>
      <c r="N52" s="24"/>
      <c r="O52" s="24"/>
      <c r="P52" s="95">
        <v>25000</v>
      </c>
      <c r="Q52" s="24"/>
      <c r="S52" s="24"/>
      <c r="U52" s="24"/>
      <c r="V52" s="24"/>
      <c r="W52" s="95">
        <v>50000</v>
      </c>
      <c r="X52" s="95">
        <v>25000</v>
      </c>
      <c r="Z52" s="95">
        <v>25000</v>
      </c>
      <c r="AB52" s="24"/>
      <c r="AC52" s="24"/>
      <c r="AD52" s="24"/>
      <c r="AE52" s="24"/>
      <c r="AF52" s="24"/>
      <c r="AG52" s="24"/>
      <c r="AH52" s="95">
        <v>100000</v>
      </c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</row>
    <row r="53" spans="1:78" s="71" customFormat="1" x14ac:dyDescent="0.2">
      <c r="A53" s="69" t="s">
        <v>141</v>
      </c>
      <c r="B53" s="25" t="s">
        <v>142</v>
      </c>
      <c r="C53" s="7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100">
        <v>55053.72</v>
      </c>
      <c r="Z53" s="24"/>
      <c r="AA53" s="95">
        <f>50000+14750</f>
        <v>64750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</row>
    <row r="54" spans="1:78" s="71" customFormat="1" x14ac:dyDescent="0.2">
      <c r="A54" s="69" t="s">
        <v>146</v>
      </c>
      <c r="B54" s="25" t="s">
        <v>147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100">
        <v>90000</v>
      </c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</row>
    <row r="55" spans="1:78" s="71" customFormat="1" x14ac:dyDescent="0.2">
      <c r="A55" s="69" t="s">
        <v>149</v>
      </c>
      <c r="B55" s="25" t="s">
        <v>148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8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</row>
    <row r="56" spans="1:78" s="71" customFormat="1" x14ac:dyDescent="0.2">
      <c r="A56" s="69" t="s">
        <v>124</v>
      </c>
      <c r="B56" s="25" t="s">
        <v>125</v>
      </c>
      <c r="C56" s="70"/>
      <c r="D56" s="24"/>
      <c r="E56" s="24"/>
      <c r="F56" s="24"/>
      <c r="G56" s="24"/>
      <c r="H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100">
        <v>203210</v>
      </c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</row>
    <row r="57" spans="1:78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</row>
    <row r="58" spans="1:78" s="71" customFormat="1" x14ac:dyDescent="0.2">
      <c r="A58" s="69" t="s">
        <v>90</v>
      </c>
      <c r="B58" s="25" t="s">
        <v>91</v>
      </c>
      <c r="C58" s="70">
        <f>912000+1012000-100000-100000-75000-75000-75000-75000-75000-75000</f>
        <v>1274000</v>
      </c>
      <c r="D58" s="77"/>
      <c r="E58" s="129">
        <v>75000</v>
      </c>
      <c r="F58" s="129">
        <v>75000</v>
      </c>
      <c r="G58" s="24"/>
      <c r="H58" s="24"/>
      <c r="I58" s="129">
        <v>75000</v>
      </c>
      <c r="J58" s="28"/>
      <c r="K58" s="129">
        <v>75000</v>
      </c>
      <c r="L58" s="28"/>
      <c r="M58" s="129">
        <v>75000</v>
      </c>
      <c r="N58" s="24"/>
      <c r="O58" s="24"/>
      <c r="P58" s="129">
        <v>75000</v>
      </c>
      <c r="R58" s="129">
        <v>100000</v>
      </c>
      <c r="U58" s="24"/>
      <c r="V58" s="24"/>
      <c r="W58" s="129">
        <v>124000</v>
      </c>
      <c r="X58" s="24"/>
      <c r="Y58" s="28"/>
      <c r="Z58" s="129">
        <v>100000</v>
      </c>
      <c r="AA58" s="129">
        <v>100000</v>
      </c>
      <c r="AB58" s="24"/>
      <c r="AC58" s="24"/>
      <c r="AD58" s="129">
        <v>100000</v>
      </c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</row>
    <row r="59" spans="1:78" s="71" customFormat="1" x14ac:dyDescent="0.2">
      <c r="A59" s="69" t="s">
        <v>144</v>
      </c>
      <c r="B59" s="25" t="s">
        <v>145</v>
      </c>
      <c r="C59" s="70"/>
      <c r="D59" s="77"/>
      <c r="E59" s="28"/>
      <c r="F59" s="158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</row>
    <row r="60" spans="1:78" s="71" customFormat="1" x14ac:dyDescent="0.2">
      <c r="A60" s="69" t="s">
        <v>138</v>
      </c>
      <c r="B60" s="25" t="s">
        <v>136</v>
      </c>
      <c r="C60" s="70"/>
      <c r="D60" s="77"/>
      <c r="E60" s="28"/>
      <c r="F60" s="28"/>
      <c r="G60" s="24"/>
      <c r="H60" s="24"/>
      <c r="I60" s="24"/>
      <c r="J60" s="24"/>
      <c r="K60" s="24"/>
      <c r="L60" s="24"/>
      <c r="M60" s="100">
        <f>(4260*$A$6)/6</f>
        <v>50884.280000000006</v>
      </c>
      <c r="N60" s="24"/>
      <c r="O60" s="24"/>
      <c r="P60" s="100">
        <f t="shared" ref="P60:AA60" si="23">(4260*$A$6)/6</f>
        <v>50884.280000000006</v>
      </c>
      <c r="Q60" s="100">
        <f t="shared" si="23"/>
        <v>50884.280000000006</v>
      </c>
      <c r="R60" s="100">
        <f t="shared" si="23"/>
        <v>50884.280000000006</v>
      </c>
      <c r="S60" s="100">
        <f t="shared" si="23"/>
        <v>50884.280000000006</v>
      </c>
      <c r="U60" s="24"/>
      <c r="V60" s="24"/>
      <c r="W60" s="24"/>
      <c r="X60" s="24"/>
      <c r="Y60" s="24"/>
      <c r="Z60" s="24"/>
      <c r="AA60" s="100">
        <f t="shared" si="23"/>
        <v>50884.280000000006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</row>
    <row r="61" spans="1:78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</row>
    <row r="62" spans="1:78" s="71" customFormat="1" ht="12.75" customHeight="1" x14ac:dyDescent="0.2">
      <c r="A62" s="151" t="s">
        <v>139</v>
      </c>
      <c r="B62" s="152" t="s">
        <v>114</v>
      </c>
      <c r="C62" s="70">
        <f>1732500-693000</f>
        <v>1039500</v>
      </c>
      <c r="D62" s="77"/>
      <c r="E62" s="24"/>
      <c r="F62" s="28"/>
      <c r="G62" s="24"/>
      <c r="H62" s="24"/>
      <c r="J62" s="100">
        <v>200000</v>
      </c>
      <c r="L62" s="24"/>
      <c r="M62" s="100">
        <v>100000</v>
      </c>
      <c r="N62" s="24"/>
      <c r="O62" s="24"/>
      <c r="P62" s="100">
        <v>100000</v>
      </c>
      <c r="Q62" s="28"/>
      <c r="R62" s="100">
        <v>239000</v>
      </c>
      <c r="S62" s="24"/>
      <c r="T62" s="28"/>
      <c r="U62" s="24"/>
      <c r="V62" s="24"/>
      <c r="W62" s="100">
        <v>100000</v>
      </c>
      <c r="X62" s="28"/>
      <c r="Y62" s="100">
        <v>100000</v>
      </c>
      <c r="Z62" s="24"/>
      <c r="AA62" s="100">
        <v>200000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</row>
    <row r="63" spans="1:78" s="71" customFormat="1" x14ac:dyDescent="0.2">
      <c r="A63" s="69" t="s">
        <v>34</v>
      </c>
      <c r="B63" s="25" t="s">
        <v>45</v>
      </c>
      <c r="C63" s="70">
        <f>1014000-100000-100000+400-50000-25000-25000-25000-50000-53800-85600-75000-25000-80000-80000-80000</f>
        <v>160000</v>
      </c>
      <c r="D63" s="77"/>
      <c r="E63" s="129">
        <f t="shared" ref="E63:F63" si="24">400000/5</f>
        <v>80000</v>
      </c>
      <c r="F63" s="129">
        <f t="shared" si="24"/>
        <v>80000</v>
      </c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</row>
    <row r="64" spans="1:78" s="71" customFormat="1" x14ac:dyDescent="0.2">
      <c r="A64" s="69" t="s">
        <v>128</v>
      </c>
      <c r="B64" s="25" t="s">
        <v>129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</row>
    <row r="65" spans="1:78" s="71" customFormat="1" x14ac:dyDescent="0.2">
      <c r="A65" s="69" t="s">
        <v>101</v>
      </c>
      <c r="B65" s="25" t="s">
        <v>130</v>
      </c>
      <c r="C65" s="70">
        <f>110000-25000-25000-10000</f>
        <v>50000</v>
      </c>
      <c r="D65" s="77"/>
      <c r="E65" s="28"/>
      <c r="F65" s="24"/>
      <c r="G65" s="24"/>
      <c r="H65" s="24"/>
      <c r="I65" s="24"/>
      <c r="J65" s="24"/>
      <c r="K65" s="108">
        <v>25000</v>
      </c>
      <c r="L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108">
        <f>100000/4</f>
        <v>25000</v>
      </c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</row>
    <row r="66" spans="1:78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</row>
    <row r="67" spans="1:78" s="71" customFormat="1" x14ac:dyDescent="0.2">
      <c r="A67" s="69" t="s">
        <v>38</v>
      </c>
      <c r="B67" s="25" t="s">
        <v>39</v>
      </c>
      <c r="C67" s="70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</row>
    <row r="68" spans="1:78" s="71" customFormat="1" x14ac:dyDescent="0.2">
      <c r="A68" s="69" t="s">
        <v>74</v>
      </c>
      <c r="B68" s="25" t="s">
        <v>131</v>
      </c>
      <c r="C68" s="70"/>
      <c r="D68" s="24"/>
      <c r="F68" s="24"/>
      <c r="H68" s="24"/>
      <c r="I68" s="100">
        <v>20000</v>
      </c>
      <c r="J68" s="24"/>
      <c r="K68" s="100">
        <f>80000/2</f>
        <v>40000</v>
      </c>
      <c r="L68" s="24"/>
      <c r="M68" s="143">
        <v>40000</v>
      </c>
      <c r="N68" s="24"/>
      <c r="O68" s="24"/>
      <c r="P68" s="100">
        <v>20000</v>
      </c>
      <c r="Q68" s="100">
        <f>7500+16500</f>
        <v>24000</v>
      </c>
      <c r="R68" s="24"/>
      <c r="S68" s="100">
        <v>12500</v>
      </c>
      <c r="U68" s="24"/>
      <c r="V68" s="24"/>
      <c r="W68" s="100">
        <f>80000/2</f>
        <v>40000</v>
      </c>
      <c r="X68" s="24"/>
      <c r="Y68" s="100">
        <v>15000</v>
      </c>
      <c r="Z68" s="24"/>
      <c r="AA68" s="100">
        <v>11667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</row>
    <row r="69" spans="1:78" s="71" customFormat="1" x14ac:dyDescent="0.2">
      <c r="A69" s="69" t="s">
        <v>74</v>
      </c>
      <c r="B69" s="25" t="s">
        <v>150</v>
      </c>
      <c r="C69" s="164">
        <v>3567700</v>
      </c>
      <c r="D69" s="24"/>
      <c r="E69" s="24"/>
      <c r="G69" s="24"/>
      <c r="H69" s="24"/>
      <c r="I69" s="24"/>
      <c r="J69" s="24"/>
      <c r="K69" s="114"/>
      <c r="L69" s="11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</row>
    <row r="70" spans="1:78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</row>
    <row r="71" spans="1:78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</row>
    <row r="72" spans="1:78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</row>
    <row r="73" spans="1:78" s="5" customFormat="1" x14ac:dyDescent="0.2">
      <c r="A73" s="36" t="s">
        <v>49</v>
      </c>
      <c r="B73" s="12"/>
      <c r="C73" s="13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>
        <v>1400000</v>
      </c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</row>
    <row r="74" spans="1:78" s="5" customFormat="1" x14ac:dyDescent="0.2">
      <c r="A74" s="36" t="s">
        <v>57</v>
      </c>
      <c r="B74" s="12"/>
      <c r="C74" s="68"/>
      <c r="D74" s="26"/>
      <c r="G74" s="13"/>
      <c r="H74" s="13"/>
      <c r="I74" s="139">
        <f>1749467.21/0.77</f>
        <v>2272035.3376623373</v>
      </c>
      <c r="K74" s="13"/>
      <c r="L74" s="13"/>
      <c r="N74" s="13"/>
      <c r="O74" s="13"/>
      <c r="P74" s="139">
        <f>1933893.44/0.77</f>
        <v>2511549.9220779222</v>
      </c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</row>
    <row r="75" spans="1:78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9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</row>
    <row r="76" spans="1:78" s="5" customFormat="1" x14ac:dyDescent="0.2">
      <c r="A76" s="42" t="s">
        <v>151</v>
      </c>
      <c r="B76" s="12"/>
      <c r="C76" s="68">
        <f>(10000*10)*A6</f>
        <v>7166800.0000000009</v>
      </c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</row>
    <row r="77" spans="1:78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</row>
    <row r="78" spans="1:78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</row>
    <row r="79" spans="1:78" s="84" customFormat="1" x14ac:dyDescent="0.2">
      <c r="A79" s="81" t="s">
        <v>66</v>
      </c>
      <c r="B79" s="82"/>
      <c r="C79" s="63"/>
      <c r="D79" s="83"/>
      <c r="E79" s="83">
        <f>$C$5+E16-E26</f>
        <v>1722978.6586666666</v>
      </c>
      <c r="F79" s="83">
        <f t="shared" ref="F79:BP79" si="25">E79+F16-F26</f>
        <v>1403223.9084166666</v>
      </c>
      <c r="G79" s="83">
        <f t="shared" si="25"/>
        <v>1403223.9084166666</v>
      </c>
      <c r="H79" s="83">
        <f t="shared" si="25"/>
        <v>1403223.9084166666</v>
      </c>
      <c r="I79" s="83">
        <f t="shared" si="25"/>
        <v>1426144.1040876624</v>
      </c>
      <c r="J79" s="83">
        <f t="shared" si="25"/>
        <v>597491.98692099564</v>
      </c>
      <c r="K79" s="83">
        <f t="shared" si="25"/>
        <v>1694947.5202543288</v>
      </c>
      <c r="L79" s="83">
        <f t="shared" si="25"/>
        <v>1528401.8197543288</v>
      </c>
      <c r="M79" s="83">
        <f t="shared" si="25"/>
        <v>599728.61490584398</v>
      </c>
      <c r="N79" s="83">
        <f t="shared" si="25"/>
        <v>599728.61490584398</v>
      </c>
      <c r="O79" s="83">
        <f t="shared" si="25"/>
        <v>599728.61490584398</v>
      </c>
      <c r="P79" s="83">
        <f t="shared" si="25"/>
        <v>1172953.644646103</v>
      </c>
      <c r="Q79" s="83">
        <f t="shared" si="25"/>
        <v>831813.52594610304</v>
      </c>
      <c r="R79" s="83">
        <f t="shared" si="25"/>
        <v>742955.12776428484</v>
      </c>
      <c r="S79" s="83">
        <f t="shared" si="25"/>
        <v>-67520.644269048469</v>
      </c>
      <c r="T79" s="83">
        <f t="shared" si="25"/>
        <v>-67520.644269048469</v>
      </c>
      <c r="U79" s="83">
        <f t="shared" si="25"/>
        <v>-67520.644269048469</v>
      </c>
      <c r="V79" s="83">
        <f t="shared" si="25"/>
        <v>-67520.644269048469</v>
      </c>
      <c r="W79" s="83">
        <f t="shared" si="25"/>
        <v>652106.8988491334</v>
      </c>
      <c r="X79" s="83">
        <f t="shared" si="25"/>
        <v>471880.56014913344</v>
      </c>
      <c r="Y79" s="83">
        <f t="shared" si="25"/>
        <v>82622.036949133442</v>
      </c>
      <c r="Z79" s="83">
        <f t="shared" si="25"/>
        <v>6017017.3188673146</v>
      </c>
      <c r="AA79" s="83">
        <f t="shared" si="25"/>
        <v>5060175.3951036781</v>
      </c>
      <c r="AB79" s="83">
        <f t="shared" si="25"/>
        <v>5060175.3951036781</v>
      </c>
      <c r="AC79" s="83">
        <f t="shared" si="25"/>
        <v>5060175.3951036781</v>
      </c>
      <c r="AD79" s="83">
        <f t="shared" si="25"/>
        <v>4485195.2585703451</v>
      </c>
      <c r="AE79" s="83">
        <f t="shared" si="25"/>
        <v>4149296.4553703452</v>
      </c>
      <c r="AF79" s="83">
        <f t="shared" si="25"/>
        <v>3837349.4183370117</v>
      </c>
      <c r="AG79" s="83">
        <f t="shared" si="25"/>
        <v>3661832.2818036783</v>
      </c>
      <c r="AH79" s="83">
        <f t="shared" si="25"/>
        <v>3213567.8065703451</v>
      </c>
      <c r="AI79" s="83">
        <f t="shared" si="25"/>
        <v>3213567.8065703451</v>
      </c>
      <c r="AJ79" s="83">
        <f t="shared" si="25"/>
        <v>3213567.8065703451</v>
      </c>
      <c r="AK79" s="83">
        <f t="shared" si="25"/>
        <v>2716544.6700370116</v>
      </c>
      <c r="AL79" s="83">
        <f t="shared" si="25"/>
        <v>2201961.9948036778</v>
      </c>
      <c r="AM79" s="83">
        <f t="shared" si="25"/>
        <v>1961423.8582703443</v>
      </c>
      <c r="AN79" s="83">
        <f t="shared" si="25"/>
        <v>1031156.1550703443</v>
      </c>
      <c r="AO79" s="83">
        <f t="shared" si="25"/>
        <v>810856.99818852614</v>
      </c>
      <c r="AP79" s="83">
        <f t="shared" si="25"/>
        <v>810856.99818852614</v>
      </c>
      <c r="AQ79" s="83">
        <f t="shared" si="25"/>
        <v>810856.99818852614</v>
      </c>
      <c r="AR79" s="83">
        <f t="shared" si="25"/>
        <v>626652.19498852617</v>
      </c>
      <c r="AS79" s="83">
        <f t="shared" si="25"/>
        <v>3457245.1768067079</v>
      </c>
      <c r="AT79" s="83">
        <f t="shared" si="25"/>
        <v>3140458.5704067079</v>
      </c>
      <c r="AU79" s="83">
        <f t="shared" si="25"/>
        <v>2864071.9490248896</v>
      </c>
      <c r="AV79" s="83">
        <f t="shared" si="25"/>
        <v>2812448.9490248896</v>
      </c>
      <c r="AW79" s="83">
        <f t="shared" si="25"/>
        <v>2812448.9490248896</v>
      </c>
      <c r="AX79" s="83">
        <f t="shared" si="25"/>
        <v>2812448.9490248896</v>
      </c>
      <c r="AY79" s="83">
        <f t="shared" si="25"/>
        <v>1033712.9490248896</v>
      </c>
      <c r="AZ79" s="83">
        <f t="shared" si="25"/>
        <v>889908.1308430715</v>
      </c>
      <c r="BA79" s="83">
        <f t="shared" si="25"/>
        <v>838285.1308430715</v>
      </c>
      <c r="BB79" s="83">
        <f t="shared" si="25"/>
        <v>838285.1308430715</v>
      </c>
      <c r="BC79" s="83">
        <f t="shared" si="25"/>
        <v>838285.1308430715</v>
      </c>
      <c r="BD79" s="83">
        <f t="shared" si="25"/>
        <v>838285.1308430715</v>
      </c>
      <c r="BE79" s="83">
        <f t="shared" si="25"/>
        <v>838285.1308430715</v>
      </c>
      <c r="BF79" s="83">
        <f t="shared" si="25"/>
        <v>838285.1308430715</v>
      </c>
      <c r="BG79" s="83">
        <f t="shared" si="25"/>
        <v>838285.1308430715</v>
      </c>
      <c r="BH79" s="83">
        <f t="shared" si="25"/>
        <v>838285.1308430715</v>
      </c>
      <c r="BI79" s="83">
        <f t="shared" si="25"/>
        <v>838285.1308430715</v>
      </c>
      <c r="BJ79" s="83">
        <f t="shared" si="25"/>
        <v>838285.1308430715</v>
      </c>
      <c r="BK79" s="83">
        <f t="shared" si="25"/>
        <v>838285.1308430715</v>
      </c>
      <c r="BL79" s="83">
        <f t="shared" si="25"/>
        <v>838285.1308430715</v>
      </c>
      <c r="BM79" s="83">
        <f t="shared" si="25"/>
        <v>838285.1308430715</v>
      </c>
      <c r="BN79" s="83">
        <f t="shared" si="25"/>
        <v>838285.1308430715</v>
      </c>
      <c r="BO79" s="83">
        <f t="shared" si="25"/>
        <v>838285.1308430715</v>
      </c>
      <c r="BP79" s="83">
        <f t="shared" si="25"/>
        <v>838285.1308430715</v>
      </c>
      <c r="BQ79" s="83">
        <f t="shared" ref="BQ79:BZ79" si="26">BP79+BQ16-BQ26</f>
        <v>838285.1308430715</v>
      </c>
      <c r="BR79" s="83">
        <f t="shared" si="26"/>
        <v>838285.1308430715</v>
      </c>
      <c r="BS79" s="83">
        <f t="shared" si="26"/>
        <v>838285.1308430715</v>
      </c>
      <c r="BT79" s="83">
        <f t="shared" si="26"/>
        <v>3066620.0308430712</v>
      </c>
      <c r="BU79" s="83">
        <f t="shared" si="26"/>
        <v>3066620.0308430712</v>
      </c>
      <c r="BV79" s="83">
        <f t="shared" si="26"/>
        <v>3066620.0308430712</v>
      </c>
      <c r="BW79" s="83">
        <f t="shared" si="26"/>
        <v>3066620.0308430712</v>
      </c>
      <c r="BX79" s="83">
        <f t="shared" si="26"/>
        <v>3066620.0308430712</v>
      </c>
      <c r="BY79" s="83">
        <f t="shared" si="26"/>
        <v>3066620.0308430712</v>
      </c>
      <c r="BZ79" s="83">
        <f t="shared" si="26"/>
        <v>3066620.0308430712</v>
      </c>
    </row>
    <row r="81" spans="1:78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</row>
    <row r="82" spans="1:78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</row>
    <row r="83" spans="1:78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</row>
    <row r="84" spans="1:78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</row>
    <row r="85" spans="1:78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</row>
    <row r="86" spans="1:78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</row>
    <row r="88" spans="1:78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A88"/>
  <sheetViews>
    <sheetView topLeftCell="A58" workbookViewId="0">
      <selection activeCell="F30" sqref="F30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2.28515625" style="3" customWidth="1"/>
    <col min="6" max="6" width="10.85546875" style="3" bestFit="1" customWidth="1"/>
    <col min="7" max="7" width="10.5703125" style="3" customWidth="1"/>
    <col min="8" max="8" width="12.85546875" style="3" customWidth="1"/>
    <col min="9" max="9" width="11.5703125" style="3" customWidth="1"/>
    <col min="10" max="10" width="12" style="3" customWidth="1"/>
    <col min="11" max="11" width="14.5703125" style="3" customWidth="1"/>
    <col min="12" max="12" width="11.85546875" style="3" customWidth="1"/>
    <col min="13" max="13" width="12.42578125" style="3" customWidth="1"/>
    <col min="14" max="14" width="14.85546875" style="3" customWidth="1"/>
    <col min="15" max="15" width="13" style="3" customWidth="1"/>
    <col min="16" max="16" width="12.7109375" style="3" customWidth="1"/>
    <col min="17" max="17" width="11.85546875" style="3" customWidth="1"/>
    <col min="18" max="18" width="13.140625" style="3" customWidth="1"/>
    <col min="19" max="19" width="11.7109375" style="3" customWidth="1"/>
    <col min="20" max="20" width="12.5703125" style="3" customWidth="1"/>
    <col min="21" max="21" width="15.7109375" style="3" customWidth="1"/>
    <col min="22" max="22" width="12.7109375" style="3" customWidth="1"/>
    <col min="23" max="24" width="12.85546875" style="3" customWidth="1"/>
    <col min="25" max="26" width="11.85546875" style="3" customWidth="1"/>
    <col min="27" max="27" width="13" style="3" customWidth="1"/>
    <col min="28" max="28" width="12.28515625" style="3" customWidth="1"/>
    <col min="29" max="29" width="12.140625" style="3" customWidth="1"/>
    <col min="30" max="30" width="11.140625" style="3" customWidth="1"/>
    <col min="31" max="31" width="12.7109375" style="3" customWidth="1"/>
    <col min="32" max="32" width="11.140625" style="3" customWidth="1"/>
    <col min="33" max="33" width="11.7109375" style="3" customWidth="1"/>
    <col min="34" max="34" width="11.5703125" style="3" customWidth="1"/>
    <col min="35" max="36" width="10.85546875" style="3" customWidth="1"/>
    <col min="37" max="37" width="12.85546875" style="3" customWidth="1"/>
    <col min="38" max="38" width="12" style="3" customWidth="1"/>
    <col min="39" max="39" width="11.140625" style="3" customWidth="1"/>
    <col min="40" max="40" width="10.28515625" style="3" customWidth="1"/>
    <col min="41" max="41" width="11.42578125" style="3" customWidth="1"/>
    <col min="42" max="42" width="11.7109375" style="3" customWidth="1"/>
    <col min="43" max="43" width="10.5703125" style="3" customWidth="1"/>
    <col min="44" max="44" width="12" style="3" customWidth="1"/>
    <col min="45" max="45" width="11.140625" style="3" customWidth="1"/>
    <col min="46" max="46" width="10.42578125" style="3" customWidth="1"/>
    <col min="47" max="47" width="10.28515625" style="3" bestFit="1" customWidth="1"/>
    <col min="48" max="48" width="10.42578125" style="3" customWidth="1"/>
    <col min="49" max="49" width="12.5703125" style="3" customWidth="1"/>
    <col min="50" max="50" width="13.28515625" style="3" customWidth="1"/>
    <col min="51" max="51" width="12.140625" style="3" customWidth="1"/>
    <col min="52" max="52" width="12.42578125" style="3" customWidth="1"/>
    <col min="53" max="53" width="12.28515625" style="3" customWidth="1"/>
    <col min="54" max="54" width="10.28515625" style="3" customWidth="1"/>
    <col min="55" max="55" width="11.28515625" style="3" customWidth="1"/>
    <col min="56" max="56" width="11.85546875" style="3" customWidth="1"/>
    <col min="57" max="57" width="12.28515625" style="3" customWidth="1"/>
    <col min="58" max="58" width="11.140625" style="3" customWidth="1"/>
    <col min="59" max="59" width="10.5703125" style="3" customWidth="1"/>
    <col min="60" max="60" width="10.85546875" style="3" customWidth="1"/>
    <col min="61" max="61" width="12" style="3" customWidth="1"/>
    <col min="62" max="62" width="10" style="3" customWidth="1"/>
    <col min="63" max="63" width="11.140625" style="3" customWidth="1"/>
    <col min="64" max="64" width="12.5703125" style="3" customWidth="1"/>
    <col min="65" max="65" width="12.140625" style="3" customWidth="1"/>
    <col min="66" max="66" width="12.42578125" style="3" customWidth="1"/>
    <col min="67" max="67" width="12" style="3" customWidth="1"/>
    <col min="68" max="68" width="14.85546875" style="3" customWidth="1"/>
    <col min="69" max="69" width="11.5703125" style="3" customWidth="1"/>
    <col min="70" max="70" width="13.7109375" style="3" customWidth="1"/>
    <col min="71" max="71" width="12.42578125" style="3" customWidth="1"/>
    <col min="72" max="72" width="10.85546875" style="3" customWidth="1"/>
    <col min="73" max="73" width="12.140625" style="3" customWidth="1"/>
    <col min="74" max="74" width="11.85546875" style="3" customWidth="1"/>
    <col min="75" max="75" width="12.7109375" style="3" customWidth="1"/>
    <col min="76" max="76" width="12.42578125" style="3" customWidth="1"/>
    <col min="77" max="77" width="11.140625" style="3" customWidth="1"/>
    <col min="78" max="78" width="11.5703125" style="3" customWidth="1"/>
    <col min="79" max="79" width="12.28515625" style="3" customWidth="1"/>
    <col min="80" max="16384" width="9" style="3"/>
  </cols>
  <sheetData>
    <row r="1" spans="1:79" ht="12" thickBot="1" x14ac:dyDescent="0.3"/>
    <row r="2" spans="1:79" s="1" customFormat="1" x14ac:dyDescent="0.2">
      <c r="A2" s="43" t="s">
        <v>50</v>
      </c>
      <c r="B2" s="15" t="s">
        <v>27</v>
      </c>
      <c r="C2" s="50">
        <v>5531628.5300000003</v>
      </c>
    </row>
    <row r="3" spans="1:79" s="1" customFormat="1" ht="12" thickBot="1" x14ac:dyDescent="0.25">
      <c r="A3" s="44">
        <v>83.5505</v>
      </c>
      <c r="B3" s="15" t="s">
        <v>28</v>
      </c>
      <c r="C3" s="50">
        <v>10778.95</v>
      </c>
    </row>
    <row r="4" spans="1:79" s="8" customFormat="1" ht="12" thickBot="1" x14ac:dyDescent="0.25">
      <c r="A4" s="45"/>
      <c r="B4" s="15" t="s">
        <v>25</v>
      </c>
      <c r="C4" s="51">
        <v>0</v>
      </c>
    </row>
    <row r="5" spans="1:79" s="6" customFormat="1" x14ac:dyDescent="0.2">
      <c r="A5" s="43" t="s">
        <v>51</v>
      </c>
      <c r="B5" s="49" t="s">
        <v>26</v>
      </c>
      <c r="C5" s="52">
        <f>SUM(C2:C4)</f>
        <v>5542407.4800000004</v>
      </c>
    </row>
    <row r="6" spans="1:79" s="6" customFormat="1" ht="12" thickBot="1" x14ac:dyDescent="0.25">
      <c r="A6" s="44">
        <v>71.668000000000006</v>
      </c>
      <c r="B6" s="16"/>
      <c r="C6" s="53"/>
      <c r="D6" s="17"/>
    </row>
    <row r="7" spans="1:79" s="6" customFormat="1" ht="12" thickBot="1" x14ac:dyDescent="0.25">
      <c r="A7" s="105" t="s">
        <v>51</v>
      </c>
      <c r="B7" s="18" t="s">
        <v>127</v>
      </c>
      <c r="C7" s="54">
        <f>SUM(16:16)</f>
        <v>28102527.804000001</v>
      </c>
      <c r="F7" s="162"/>
    </row>
    <row r="8" spans="1:79" x14ac:dyDescent="0.25">
      <c r="A8" s="43" t="s">
        <v>52</v>
      </c>
      <c r="B8" s="18" t="s">
        <v>126</v>
      </c>
      <c r="C8" s="54">
        <f>SUM(26:26)</f>
        <v>55484073.950026914</v>
      </c>
    </row>
    <row r="9" spans="1:79" ht="12" thickBot="1" x14ac:dyDescent="0.3">
      <c r="A9" s="44">
        <v>10.5505</v>
      </c>
      <c r="B9" s="19" t="s">
        <v>64</v>
      </c>
      <c r="C9" s="55">
        <f>C5+C7-C8-C11</f>
        <v>-46744424.562646911</v>
      </c>
    </row>
    <row r="10" spans="1:79" x14ac:dyDescent="0.25">
      <c r="A10" s="99" t="s">
        <v>80</v>
      </c>
      <c r="B10" s="18" t="s">
        <v>23</v>
      </c>
      <c r="C10" s="56">
        <f>C16</f>
        <v>0</v>
      </c>
    </row>
    <row r="11" spans="1:79" x14ac:dyDescent="0.25">
      <c r="A11" s="101" t="s">
        <v>87</v>
      </c>
      <c r="B11" s="18" t="s">
        <v>24</v>
      </c>
      <c r="C11" s="54">
        <f>C26</f>
        <v>24905285.896620002</v>
      </c>
    </row>
    <row r="12" spans="1:79" x14ac:dyDescent="0.25">
      <c r="A12" s="107" t="s">
        <v>88</v>
      </c>
    </row>
    <row r="13" spans="1:79" x14ac:dyDescent="0.25">
      <c r="A13" s="38"/>
      <c r="B13" s="10"/>
      <c r="C13" s="57"/>
      <c r="D13" s="10"/>
      <c r="E13" s="10"/>
      <c r="F13" s="10"/>
      <c r="G13" s="10"/>
      <c r="H13" s="10"/>
      <c r="I13" s="10"/>
    </row>
    <row r="14" spans="1:79" s="2" customFormat="1" x14ac:dyDescent="0.25">
      <c r="A14" s="64"/>
      <c r="B14" s="65"/>
      <c r="C14" s="58" t="s">
        <v>56</v>
      </c>
      <c r="D14" s="66"/>
      <c r="E14" s="66">
        <v>46169</v>
      </c>
      <c r="F14" s="66">
        <v>46170</v>
      </c>
      <c r="G14" s="66">
        <v>46171</v>
      </c>
      <c r="H14" s="66">
        <v>46172</v>
      </c>
      <c r="I14" s="66">
        <v>46173</v>
      </c>
      <c r="J14" s="66">
        <v>46174</v>
      </c>
      <c r="K14" s="66">
        <v>46175</v>
      </c>
      <c r="L14" s="66">
        <v>46176</v>
      </c>
      <c r="M14" s="66">
        <v>46177</v>
      </c>
      <c r="N14" s="66">
        <v>46178</v>
      </c>
      <c r="O14" s="66">
        <v>46179</v>
      </c>
      <c r="P14" s="66">
        <v>46180</v>
      </c>
      <c r="Q14" s="66">
        <v>46181</v>
      </c>
      <c r="R14" s="66">
        <v>46182</v>
      </c>
      <c r="S14" s="66">
        <v>46183</v>
      </c>
      <c r="T14" s="66">
        <v>46184</v>
      </c>
      <c r="U14" s="66">
        <v>46185</v>
      </c>
      <c r="V14" s="66">
        <v>46186</v>
      </c>
      <c r="W14" s="66">
        <v>46187</v>
      </c>
      <c r="X14" s="66">
        <v>46188</v>
      </c>
      <c r="Y14" s="66">
        <v>46189</v>
      </c>
      <c r="Z14" s="66">
        <v>46190</v>
      </c>
      <c r="AA14" s="66">
        <v>46191</v>
      </c>
      <c r="AB14" s="66">
        <v>46192</v>
      </c>
      <c r="AC14" s="66">
        <v>46193</v>
      </c>
      <c r="AD14" s="66">
        <v>46194</v>
      </c>
      <c r="AE14" s="66">
        <v>46195</v>
      </c>
      <c r="AF14" s="66">
        <v>46196</v>
      </c>
      <c r="AG14" s="66">
        <v>46197</v>
      </c>
      <c r="AH14" s="66">
        <v>46198</v>
      </c>
      <c r="AI14" s="66">
        <v>46199</v>
      </c>
      <c r="AJ14" s="66">
        <v>46200</v>
      </c>
      <c r="AK14" s="66">
        <v>46201</v>
      </c>
      <c r="AL14" s="66">
        <v>46202</v>
      </c>
      <c r="AM14" s="66">
        <v>46203</v>
      </c>
      <c r="AN14" s="66">
        <v>46204</v>
      </c>
      <c r="AO14" s="66">
        <v>46205</v>
      </c>
      <c r="AP14" s="66">
        <v>46206</v>
      </c>
      <c r="AQ14" s="66">
        <v>46207</v>
      </c>
      <c r="AR14" s="66">
        <v>46208</v>
      </c>
      <c r="AS14" s="66">
        <v>46209</v>
      </c>
      <c r="AT14" s="66">
        <v>46210</v>
      </c>
      <c r="AU14" s="66">
        <v>46211</v>
      </c>
      <c r="AV14" s="66">
        <v>46212</v>
      </c>
      <c r="AW14" s="66">
        <v>46213</v>
      </c>
      <c r="AX14" s="66">
        <v>46214</v>
      </c>
      <c r="AY14" s="66">
        <v>46215</v>
      </c>
      <c r="AZ14" s="66">
        <v>46216</v>
      </c>
      <c r="BA14" s="66">
        <v>46217</v>
      </c>
      <c r="BB14" s="66">
        <v>46218</v>
      </c>
      <c r="BC14" s="66">
        <v>46219</v>
      </c>
      <c r="BD14" s="66">
        <v>46220</v>
      </c>
      <c r="BE14" s="66">
        <v>46221</v>
      </c>
      <c r="BF14" s="66">
        <v>46222</v>
      </c>
      <c r="BG14" s="66">
        <v>46223</v>
      </c>
      <c r="BH14" s="66">
        <v>46224</v>
      </c>
      <c r="BI14" s="66">
        <v>46225</v>
      </c>
      <c r="BJ14" s="66">
        <v>46226</v>
      </c>
      <c r="BK14" s="66">
        <v>46227</v>
      </c>
      <c r="BL14" s="66">
        <v>46228</v>
      </c>
      <c r="BM14" s="66">
        <v>46229</v>
      </c>
      <c r="BN14" s="66">
        <v>46230</v>
      </c>
      <c r="BO14" s="66">
        <v>46231</v>
      </c>
      <c r="BP14" s="66">
        <v>46232</v>
      </c>
      <c r="BQ14" s="66">
        <v>46233</v>
      </c>
      <c r="BR14" s="66">
        <v>46234</v>
      </c>
      <c r="BS14" s="66">
        <v>46235</v>
      </c>
      <c r="BT14" s="66">
        <v>46236</v>
      </c>
      <c r="BU14" s="66">
        <v>46237</v>
      </c>
      <c r="BV14" s="66">
        <v>46238</v>
      </c>
      <c r="BW14" s="66">
        <v>46239</v>
      </c>
      <c r="BX14" s="66">
        <v>46240</v>
      </c>
      <c r="BY14" s="66">
        <v>46241</v>
      </c>
      <c r="BZ14" s="66">
        <v>46242</v>
      </c>
      <c r="CA14" s="66">
        <v>46243</v>
      </c>
    </row>
    <row r="15" spans="1:79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</row>
    <row r="16" spans="1:79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O16" si="0">SUM(E17:E25)</f>
        <v>0</v>
      </c>
      <c r="F16" s="29">
        <f t="shared" si="0"/>
        <v>77200.661999999997</v>
      </c>
      <c r="G16" s="29">
        <f t="shared" si="0"/>
        <v>0</v>
      </c>
      <c r="H16" s="29">
        <f t="shared" si="0"/>
        <v>0</v>
      </c>
      <c r="I16" s="29">
        <f t="shared" si="0"/>
        <v>0</v>
      </c>
      <c r="J16" s="29">
        <f t="shared" si="0"/>
        <v>2650000</v>
      </c>
      <c r="K16" s="29">
        <f t="shared" si="0"/>
        <v>0</v>
      </c>
      <c r="L16" s="29">
        <f t="shared" si="0"/>
        <v>1500000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29">
        <f t="shared" si="0"/>
        <v>0</v>
      </c>
      <c r="Q16" s="29">
        <f t="shared" si="0"/>
        <v>3924267.5</v>
      </c>
      <c r="R16" s="29">
        <f t="shared" si="0"/>
        <v>0</v>
      </c>
      <c r="S16" s="29">
        <f t="shared" si="0"/>
        <v>1000000</v>
      </c>
      <c r="T16" s="29">
        <f t="shared" si="0"/>
        <v>0</v>
      </c>
      <c r="U16" s="135">
        <f t="shared" si="0"/>
        <v>0</v>
      </c>
      <c r="V16" s="135">
        <f t="shared" si="0"/>
        <v>0</v>
      </c>
      <c r="W16" s="135">
        <f t="shared" si="0"/>
        <v>0</v>
      </c>
      <c r="X16" s="29">
        <f t="shared" si="0"/>
        <v>2000000</v>
      </c>
      <c r="Y16" s="29">
        <f t="shared" si="0"/>
        <v>0</v>
      </c>
      <c r="Z16" s="29">
        <f t="shared" si="0"/>
        <v>0</v>
      </c>
      <c r="AA16" s="29">
        <f t="shared" si="0"/>
        <v>8027866.2419999996</v>
      </c>
      <c r="AB16" s="29">
        <f t="shared" si="0"/>
        <v>0</v>
      </c>
      <c r="AC16" s="135">
        <f t="shared" si="0"/>
        <v>0</v>
      </c>
      <c r="AD16" s="135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135">
        <f t="shared" si="0"/>
        <v>0</v>
      </c>
      <c r="AL16" s="135">
        <f t="shared" si="0"/>
        <v>0</v>
      </c>
      <c r="AM16" s="29">
        <f t="shared" si="0"/>
        <v>2974397.8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135">
        <f t="shared" si="0"/>
        <v>0</v>
      </c>
      <c r="AR16" s="135">
        <f t="shared" si="0"/>
        <v>0</v>
      </c>
      <c r="AS16" s="29">
        <f t="shared" si="0"/>
        <v>0</v>
      </c>
      <c r="AT16" s="29">
        <f t="shared" si="0"/>
        <v>2974397.8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135">
        <f t="shared" si="0"/>
        <v>0</v>
      </c>
      <c r="AY16" s="135">
        <f t="shared" si="0"/>
        <v>0</v>
      </c>
      <c r="AZ16" s="29">
        <f t="shared" si="0"/>
        <v>0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135">
        <f t="shared" si="0"/>
        <v>0</v>
      </c>
      <c r="BF16" s="135">
        <f t="shared" si="0"/>
        <v>0</v>
      </c>
      <c r="BG16" s="29">
        <f t="shared" si="0"/>
        <v>0</v>
      </c>
      <c r="BH16" s="29">
        <f t="shared" si="0"/>
        <v>0</v>
      </c>
      <c r="BI16" s="29">
        <f t="shared" si="0"/>
        <v>0</v>
      </c>
      <c r="BJ16" s="29">
        <f t="shared" si="0"/>
        <v>0</v>
      </c>
      <c r="BK16" s="29">
        <f t="shared" si="0"/>
        <v>0</v>
      </c>
      <c r="BL16" s="135">
        <f t="shared" si="0"/>
        <v>0</v>
      </c>
      <c r="BM16" s="135">
        <f t="shared" si="0"/>
        <v>0</v>
      </c>
      <c r="BN16" s="29">
        <f t="shared" si="0"/>
        <v>0</v>
      </c>
      <c r="BO16" s="29">
        <f t="shared" si="0"/>
        <v>0</v>
      </c>
      <c r="BP16" s="29">
        <f t="shared" ref="BP16:CA16" si="1">SUM(BP17:BP25)</f>
        <v>0</v>
      </c>
      <c r="BQ16" s="29">
        <f t="shared" si="1"/>
        <v>0</v>
      </c>
      <c r="BR16" s="29">
        <f t="shared" si="1"/>
        <v>0</v>
      </c>
      <c r="BS16" s="135">
        <f t="shared" si="1"/>
        <v>0</v>
      </c>
      <c r="BT16" s="135">
        <f t="shared" si="1"/>
        <v>0</v>
      </c>
      <c r="BU16" s="29">
        <f t="shared" si="1"/>
        <v>2974397.8</v>
      </c>
      <c r="BV16" s="29">
        <f t="shared" si="1"/>
        <v>0</v>
      </c>
      <c r="BW16" s="29">
        <f t="shared" si="1"/>
        <v>0</v>
      </c>
      <c r="BX16" s="29">
        <f t="shared" si="1"/>
        <v>0</v>
      </c>
      <c r="BY16" s="29">
        <f t="shared" si="1"/>
        <v>0</v>
      </c>
      <c r="BZ16" s="29">
        <f t="shared" si="1"/>
        <v>0</v>
      </c>
      <c r="CA16" s="29">
        <f t="shared" si="1"/>
        <v>0</v>
      </c>
    </row>
    <row r="17" spans="1:79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</row>
    <row r="18" spans="1:79" s="80" customFormat="1" x14ac:dyDescent="0.25">
      <c r="A18" s="40" t="s">
        <v>9</v>
      </c>
      <c r="B18" s="21"/>
      <c r="C18" s="59"/>
      <c r="D18" s="30"/>
      <c r="E18" s="30"/>
      <c r="G18" s="30"/>
      <c r="H18" s="30"/>
      <c r="I18" s="30"/>
      <c r="J18" s="31">
        <f>5300000/2</f>
        <v>2650000</v>
      </c>
      <c r="K18" s="30"/>
      <c r="L18" s="30">
        <v>1500000</v>
      </c>
      <c r="M18" s="30"/>
      <c r="N18" s="30"/>
      <c r="O18" s="30"/>
      <c r="P18" s="30"/>
      <c r="Q18" s="30">
        <v>1000000</v>
      </c>
      <c r="R18" s="30"/>
      <c r="S18" s="30">
        <v>1000000</v>
      </c>
      <c r="T18" s="30"/>
      <c r="U18" s="30"/>
      <c r="V18" s="30"/>
      <c r="W18" s="30"/>
      <c r="X18" s="30">
        <v>2000000</v>
      </c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</row>
    <row r="19" spans="1:79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</row>
    <row r="20" spans="1:79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</row>
    <row r="21" spans="1:79" s="80" customFormat="1" x14ac:dyDescent="0.25">
      <c r="A21" s="40" t="s">
        <v>123</v>
      </c>
      <c r="B21" s="21"/>
      <c r="C21" s="32"/>
      <c r="D21" s="30"/>
      <c r="E21" s="30"/>
      <c r="F21" s="30">
        <f>924*A3</f>
        <v>77200.661999999997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</row>
    <row r="22" spans="1:79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</row>
    <row r="23" spans="1:79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>
        <f>96084*A3</f>
        <v>8027866.2419999996</v>
      </c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</row>
    <row r="24" spans="1:79" s="80" customFormat="1" x14ac:dyDescent="0.25">
      <c r="A24" s="40" t="s">
        <v>13</v>
      </c>
      <c r="B24" s="21"/>
      <c r="C24" s="59"/>
      <c r="D24" s="30"/>
      <c r="E24" s="30"/>
      <c r="F24" s="30"/>
      <c r="H24" s="30"/>
      <c r="I24" s="30"/>
      <c r="J24" s="30"/>
      <c r="K24" s="30"/>
      <c r="L24" s="30"/>
      <c r="M24" s="30"/>
      <c r="N24" s="30"/>
      <c r="O24" s="30"/>
      <c r="P24" s="30"/>
      <c r="Q24" s="30">
        <f>35000*A3</f>
        <v>2924267.5</v>
      </c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M24" s="30">
        <f>35600*A3</f>
        <v>2974397.8</v>
      </c>
      <c r="AN24" s="30"/>
      <c r="AO24" s="30"/>
      <c r="AP24" s="30"/>
      <c r="AQ24" s="30"/>
      <c r="AR24" s="30"/>
      <c r="AS24" s="30"/>
      <c r="AT24" s="30">
        <f>35600*A3</f>
        <v>2974397.8</v>
      </c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165">
        <f>35600*A3</f>
        <v>2974397.8</v>
      </c>
      <c r="BV24" s="30"/>
      <c r="BW24" s="30"/>
      <c r="BX24" s="30"/>
      <c r="BY24" s="30"/>
      <c r="BZ24" s="30"/>
      <c r="CA24" s="30"/>
    </row>
    <row r="25" spans="1:79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</row>
    <row r="26" spans="1:79" s="4" customFormat="1" x14ac:dyDescent="0.2">
      <c r="A26" s="41" t="s">
        <v>1</v>
      </c>
      <c r="B26" s="22"/>
      <c r="C26" s="34">
        <f>SUM(C28:C77)</f>
        <v>24905285.896620002</v>
      </c>
      <c r="D26" s="34"/>
      <c r="E26" s="34">
        <f t="shared" ref="E26:BO26" si="2">SUM(E27:E78)</f>
        <v>412921</v>
      </c>
      <c r="F26" s="34">
        <f t="shared" si="2"/>
        <v>3517504.666666667</v>
      </c>
      <c r="G26" s="34">
        <f t="shared" si="2"/>
        <v>319754.75024999998</v>
      </c>
      <c r="H26" s="34">
        <f t="shared" si="2"/>
        <v>0</v>
      </c>
      <c r="I26" s="34">
        <f t="shared" si="2"/>
        <v>0</v>
      </c>
      <c r="J26" s="34">
        <f t="shared" si="2"/>
        <v>2627079.8043290041</v>
      </c>
      <c r="K26" s="34">
        <f t="shared" si="2"/>
        <v>754296.56716666673</v>
      </c>
      <c r="L26" s="34">
        <f t="shared" si="2"/>
        <v>402544.46666666667</v>
      </c>
      <c r="M26" s="34">
        <f t="shared" si="2"/>
        <v>166545.70049999998</v>
      </c>
      <c r="N26" s="34">
        <f t="shared" si="2"/>
        <v>928673.20484848483</v>
      </c>
      <c r="O26" s="34">
        <f t="shared" si="2"/>
        <v>0</v>
      </c>
      <c r="P26" s="34">
        <f t="shared" si="2"/>
        <v>0</v>
      </c>
      <c r="Q26" s="34">
        <f t="shared" si="2"/>
        <v>3425398.0202597403</v>
      </c>
      <c r="R26" s="34">
        <f t="shared" si="2"/>
        <v>292370.11869999999</v>
      </c>
      <c r="S26" s="34">
        <f t="shared" si="2"/>
        <v>1083858.3981818182</v>
      </c>
      <c r="T26" s="34">
        <f t="shared" si="2"/>
        <v>754142.43869999994</v>
      </c>
      <c r="U26" s="34">
        <f t="shared" si="2"/>
        <v>0</v>
      </c>
      <c r="V26" s="34">
        <f t="shared" si="2"/>
        <v>0</v>
      </c>
      <c r="W26" s="34">
        <f t="shared" si="2"/>
        <v>0</v>
      </c>
      <c r="X26" s="34">
        <f t="shared" si="2"/>
        <v>1280372.4568818181</v>
      </c>
      <c r="Y26" s="34">
        <f t="shared" si="2"/>
        <v>180226.33869999999</v>
      </c>
      <c r="Z26" s="34">
        <f t="shared" si="2"/>
        <v>389258.5232</v>
      </c>
      <c r="AA26" s="34">
        <f t="shared" si="2"/>
        <v>2089350.960081818</v>
      </c>
      <c r="AB26" s="34">
        <f t="shared" si="2"/>
        <v>991841.92376363627</v>
      </c>
      <c r="AC26" s="34">
        <f t="shared" si="2"/>
        <v>0</v>
      </c>
      <c r="AD26" s="34">
        <f t="shared" si="2"/>
        <v>0</v>
      </c>
      <c r="AE26" s="34">
        <f t="shared" si="2"/>
        <v>620880.08678333333</v>
      </c>
      <c r="AF26" s="34">
        <f t="shared" si="2"/>
        <v>335898.80319999997</v>
      </c>
      <c r="AG26" s="34">
        <f t="shared" si="2"/>
        <v>311947.03703333333</v>
      </c>
      <c r="AH26" s="34">
        <f t="shared" si="2"/>
        <v>175517.13653333334</v>
      </c>
      <c r="AI26" s="34">
        <f t="shared" si="2"/>
        <v>448264.4752333333</v>
      </c>
      <c r="AJ26" s="34">
        <f t="shared" si="2"/>
        <v>0</v>
      </c>
      <c r="AK26" s="34">
        <f t="shared" si="2"/>
        <v>0</v>
      </c>
      <c r="AL26" s="34">
        <f t="shared" si="2"/>
        <v>497023.13653333328</v>
      </c>
      <c r="AM26" s="34">
        <f t="shared" si="2"/>
        <v>3488980.4752333337</v>
      </c>
      <c r="AN26" s="34">
        <f t="shared" si="2"/>
        <v>240538.13653333334</v>
      </c>
      <c r="AO26" s="34">
        <f t="shared" si="2"/>
        <v>930267.70319999999</v>
      </c>
      <c r="AP26" s="34">
        <f t="shared" si="2"/>
        <v>220299.15688181817</v>
      </c>
      <c r="AQ26" s="34">
        <f t="shared" si="2"/>
        <v>0</v>
      </c>
      <c r="AR26" s="34">
        <f t="shared" si="2"/>
        <v>0</v>
      </c>
      <c r="AS26" s="34">
        <f t="shared" si="2"/>
        <v>184204.80319999999</v>
      </c>
      <c r="AT26" s="34">
        <f t="shared" si="2"/>
        <v>143804.81818181818</v>
      </c>
      <c r="AU26" s="34">
        <f t="shared" si="2"/>
        <v>316786.60639999999</v>
      </c>
      <c r="AV26" s="34">
        <f t="shared" si="2"/>
        <v>276386.6213818182</v>
      </c>
      <c r="AW26" s="34">
        <f t="shared" si="2"/>
        <v>51623</v>
      </c>
      <c r="AX26" s="34">
        <f t="shared" si="2"/>
        <v>0</v>
      </c>
      <c r="AY26" s="34">
        <f t="shared" si="2"/>
        <v>0</v>
      </c>
      <c r="AZ26" s="34">
        <f t="shared" si="2"/>
        <v>1778736</v>
      </c>
      <c r="BA26" s="34">
        <f t="shared" si="2"/>
        <v>143804.81818181818</v>
      </c>
      <c r="BB26" s="34">
        <f t="shared" si="2"/>
        <v>51623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si="2"/>
        <v>0</v>
      </c>
      <c r="BO26" s="34">
        <f t="shared" si="2"/>
        <v>0</v>
      </c>
      <c r="BP26" s="34">
        <f t="shared" ref="BP26:CA26" si="3">SUM(BP27:BP78)</f>
        <v>0</v>
      </c>
      <c r="BQ26" s="34">
        <f t="shared" si="3"/>
        <v>0</v>
      </c>
      <c r="BR26" s="34">
        <f t="shared" si="3"/>
        <v>0</v>
      </c>
      <c r="BS26" s="34">
        <f t="shared" si="3"/>
        <v>0</v>
      </c>
      <c r="BT26" s="34">
        <f t="shared" si="3"/>
        <v>0</v>
      </c>
      <c r="BU26" s="34">
        <f t="shared" si="3"/>
        <v>746062.9</v>
      </c>
      <c r="BV26" s="34">
        <f t="shared" si="3"/>
        <v>0</v>
      </c>
      <c r="BW26" s="34">
        <f t="shared" si="3"/>
        <v>0</v>
      </c>
      <c r="BX26" s="34">
        <f t="shared" si="3"/>
        <v>0</v>
      </c>
      <c r="BY26" s="34">
        <f t="shared" si="3"/>
        <v>0</v>
      </c>
      <c r="BZ26" s="34">
        <f t="shared" si="3"/>
        <v>0</v>
      </c>
      <c r="CA26" s="34">
        <f t="shared" si="3"/>
        <v>0</v>
      </c>
    </row>
    <row r="27" spans="1:79" x14ac:dyDescent="0.25">
      <c r="A27" s="40"/>
      <c r="B27" s="21"/>
      <c r="C27" s="59"/>
      <c r="D27" s="31"/>
      <c r="E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</row>
    <row r="28" spans="1:79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</row>
    <row r="29" spans="1:79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</row>
    <row r="30" spans="1:79" s="1" customFormat="1" x14ac:dyDescent="0.2">
      <c r="A30" s="36" t="s">
        <v>2</v>
      </c>
      <c r="B30" s="23" t="s">
        <v>5</v>
      </c>
      <c r="C30" s="60"/>
      <c r="D30" s="24"/>
      <c r="E30" s="24"/>
      <c r="F30" s="24">
        <f>8399365/3</f>
        <v>2799788.3333333335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>
        <f>8399365/3</f>
        <v>2799788.3333333335</v>
      </c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</row>
    <row r="31" spans="1:79" s="1" customFormat="1" x14ac:dyDescent="0.2">
      <c r="A31" s="36" t="s">
        <v>2</v>
      </c>
      <c r="B31" s="23" t="s">
        <v>6</v>
      </c>
      <c r="C31" s="60"/>
      <c r="D31" s="24"/>
      <c r="E31" s="24"/>
      <c r="F31" s="90">
        <f>291375+137118</f>
        <v>428493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90">
        <f>291375+137118</f>
        <v>428493</v>
      </c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</row>
    <row r="32" spans="1:79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/>
      <c r="I32" s="24"/>
      <c r="J32" s="24"/>
      <c r="K32" s="24">
        <v>400000</v>
      </c>
      <c r="L32" s="24"/>
      <c r="M32" s="24"/>
      <c r="N32" s="24"/>
      <c r="O32" s="24"/>
      <c r="P32" s="24"/>
      <c r="Q32" s="24"/>
      <c r="R32" s="24"/>
      <c r="S32" s="24">
        <v>350000</v>
      </c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</row>
    <row r="33" spans="1:79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V33" s="24"/>
      <c r="W33" s="24"/>
      <c r="X33" s="24">
        <v>271506</v>
      </c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>
        <v>271506</v>
      </c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</row>
    <row r="34" spans="1:79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</row>
    <row r="35" spans="1:79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>
        <v>100113.9</v>
      </c>
      <c r="R35" s="24"/>
      <c r="S35" s="24"/>
      <c r="T35" s="24">
        <v>100000</v>
      </c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>
        <v>200113.9</v>
      </c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>
        <v>200113.9</v>
      </c>
      <c r="BV35" s="24"/>
      <c r="BW35" s="24"/>
      <c r="BX35" s="24"/>
      <c r="BY35" s="24"/>
      <c r="BZ35" s="24"/>
      <c r="CA35" s="24"/>
    </row>
    <row r="36" spans="1:79" s="1" customFormat="1" x14ac:dyDescent="0.2">
      <c r="A36" s="36" t="s">
        <v>53</v>
      </c>
      <c r="B36" s="23"/>
      <c r="C36" s="60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>
        <f>545949/6</f>
        <v>90991.5</v>
      </c>
      <c r="O36" s="24"/>
      <c r="P36" s="24"/>
      <c r="Q36" s="24">
        <f t="shared" ref="Q36:X36" si="4">545949/6</f>
        <v>90991.5</v>
      </c>
      <c r="R36" s="24">
        <f t="shared" si="4"/>
        <v>90991.5</v>
      </c>
      <c r="S36" s="24">
        <f t="shared" si="4"/>
        <v>90991.5</v>
      </c>
      <c r="T36" s="24">
        <f t="shared" si="4"/>
        <v>90991.5</v>
      </c>
      <c r="V36" s="24"/>
      <c r="W36" s="24"/>
      <c r="X36" s="24">
        <f t="shared" si="4"/>
        <v>90991.5</v>
      </c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>
        <v>545949</v>
      </c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>
        <v>545949</v>
      </c>
      <c r="BV36" s="24"/>
      <c r="BW36" s="24"/>
      <c r="BX36" s="24"/>
      <c r="BY36" s="24"/>
      <c r="BZ36" s="24"/>
      <c r="CA36" s="24"/>
    </row>
    <row r="37" spans="1:79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</row>
    <row r="38" spans="1:79" s="71" customFormat="1" x14ac:dyDescent="0.2">
      <c r="A38" s="69" t="s">
        <v>14</v>
      </c>
      <c r="B38" s="25" t="s">
        <v>30</v>
      </c>
      <c r="C38" s="70"/>
      <c r="D38" s="24"/>
      <c r="G38" s="108">
        <f>170889/5-823</f>
        <v>33354.800000000003</v>
      </c>
      <c r="H38" s="24"/>
      <c r="I38" s="24"/>
      <c r="J38" s="108">
        <f t="shared" ref="J38:X38" si="5">191379/5</f>
        <v>38275.800000000003</v>
      </c>
      <c r="L38" s="108">
        <f t="shared" si="5"/>
        <v>38275.800000000003</v>
      </c>
      <c r="M38" s="108">
        <f t="shared" si="5"/>
        <v>38275.800000000003</v>
      </c>
      <c r="N38" s="108">
        <f>191379/5-822.2</f>
        <v>37453.600000000006</v>
      </c>
      <c r="O38" s="24"/>
      <c r="P38" s="24"/>
      <c r="Q38" s="108">
        <f t="shared" ref="Q38" si="6">170889/5</f>
        <v>34177.800000000003</v>
      </c>
      <c r="R38" s="24"/>
      <c r="S38" s="108">
        <f>170889/5</f>
        <v>34177.800000000003</v>
      </c>
      <c r="T38" s="24"/>
      <c r="U38" s="24"/>
      <c r="V38" s="24"/>
      <c r="W38" s="24"/>
      <c r="X38" s="108">
        <f t="shared" si="5"/>
        <v>38275.800000000003</v>
      </c>
      <c r="Y38" s="24"/>
      <c r="Z38" s="108">
        <v>35000</v>
      </c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</row>
    <row r="39" spans="1:79" s="71" customFormat="1" x14ac:dyDescent="0.2">
      <c r="A39" s="69" t="s">
        <v>115</v>
      </c>
      <c r="B39" s="25" t="s">
        <v>116</v>
      </c>
      <c r="C39" s="70"/>
      <c r="D39" s="24"/>
      <c r="E39" s="100">
        <v>25000</v>
      </c>
      <c r="F39" s="24"/>
      <c r="H39" s="24"/>
      <c r="I39" s="24"/>
      <c r="J39" s="24"/>
      <c r="K39" s="108">
        <f>156160/6</f>
        <v>26026.666666666668</v>
      </c>
      <c r="L39" s="24"/>
      <c r="M39" s="24"/>
      <c r="N39" s="108">
        <f>156160/6+1026.67+1026.67</f>
        <v>28080.006666666668</v>
      </c>
      <c r="O39" s="24"/>
      <c r="P39" s="24"/>
      <c r="Q39" s="24"/>
      <c r="R39" s="24"/>
      <c r="S39" s="24"/>
      <c r="T39" s="100">
        <f>312320/10</f>
        <v>31232</v>
      </c>
      <c r="U39" s="24"/>
      <c r="V39" s="24"/>
      <c r="W39" s="24"/>
      <c r="X39" s="24"/>
      <c r="Y39" s="100">
        <f>312320/10</f>
        <v>31232</v>
      </c>
      <c r="Z39" s="24"/>
      <c r="AA39" s="24"/>
      <c r="AB39" s="100">
        <f>312320/10</f>
        <v>31232</v>
      </c>
      <c r="AC39" s="24"/>
      <c r="AD39" s="24"/>
      <c r="AE39" s="108">
        <f>312320/10</f>
        <v>31232</v>
      </c>
      <c r="AF39" s="24"/>
      <c r="AG39" s="108">
        <f>312320/10</f>
        <v>31232</v>
      </c>
      <c r="AH39" s="24"/>
      <c r="AI39" s="108">
        <f>312320/10</f>
        <v>31232</v>
      </c>
      <c r="AJ39" s="24"/>
      <c r="AK39" s="24"/>
      <c r="AL39" s="108">
        <v>124838</v>
      </c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</row>
    <row r="40" spans="1:79" s="71" customFormat="1" x14ac:dyDescent="0.2">
      <c r="A40" s="69" t="s">
        <v>117</v>
      </c>
      <c r="B40" s="25" t="s">
        <v>119</v>
      </c>
      <c r="C40" s="70">
        <v>691000</v>
      </c>
      <c r="D40" s="24"/>
      <c r="E40" s="24"/>
      <c r="F40" s="24"/>
      <c r="G40" s="100">
        <f>91000/2</f>
        <v>45500</v>
      </c>
      <c r="H40" s="24"/>
      <c r="I40" s="24"/>
      <c r="J40" s="108">
        <f>100000/2</f>
        <v>50000</v>
      </c>
      <c r="K40" s="24"/>
      <c r="L40" s="108">
        <f>100000/2</f>
        <v>50000</v>
      </c>
      <c r="M40" s="24"/>
      <c r="N40" s="108">
        <f>100000/2</f>
        <v>50000</v>
      </c>
      <c r="O40" s="24"/>
      <c r="P40" s="24"/>
      <c r="Q40" s="108">
        <f>91000/2</f>
        <v>45500</v>
      </c>
      <c r="R40" s="108">
        <v>50000</v>
      </c>
      <c r="S40" s="24"/>
      <c r="T40" s="108">
        <v>50000</v>
      </c>
      <c r="V40" s="24"/>
      <c r="W40" s="24"/>
      <c r="X40" s="24"/>
      <c r="Y40" s="24"/>
      <c r="Z40" s="24"/>
      <c r="AA40" s="108">
        <v>150000</v>
      </c>
      <c r="AB40" s="108">
        <v>100000</v>
      </c>
      <c r="AC40" s="24"/>
      <c r="AD40" s="24"/>
      <c r="AE40" s="24"/>
      <c r="AF40" s="108">
        <v>100000</v>
      </c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</row>
    <row r="41" spans="1:79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100">
        <v>235200</v>
      </c>
      <c r="O41" s="24"/>
      <c r="P41" s="24"/>
      <c r="Q41" s="24"/>
      <c r="R41" s="24"/>
      <c r="S41" s="24"/>
      <c r="T41" s="100">
        <f>510600/2</f>
        <v>255300</v>
      </c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</row>
    <row r="42" spans="1:79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1375000-500000-175000-50000-25000-25000-25000-50000-25000-50000-25000-25000-30000-25000</f>
        <v>345000</v>
      </c>
      <c r="D42" s="24"/>
      <c r="E42" s="24"/>
      <c r="F42" s="24"/>
      <c r="G42" s="129">
        <v>40000</v>
      </c>
      <c r="H42" s="24"/>
      <c r="I42" s="24"/>
      <c r="J42" s="129">
        <f>95000/2</f>
        <v>47500</v>
      </c>
      <c r="K42" s="24"/>
      <c r="L42" s="129">
        <v>50000</v>
      </c>
      <c r="M42" s="24"/>
      <c r="N42" s="129">
        <v>50000</v>
      </c>
      <c r="O42" s="24"/>
      <c r="P42" s="24"/>
      <c r="Q42" s="129">
        <v>50000</v>
      </c>
      <c r="S42" s="129">
        <v>25000</v>
      </c>
      <c r="T42" s="24"/>
      <c r="V42" s="24"/>
      <c r="W42" s="24"/>
      <c r="X42" s="108">
        <f>510600/2</f>
        <v>255300</v>
      </c>
      <c r="Y42" s="129">
        <f>95000/2</f>
        <v>47500</v>
      </c>
      <c r="Z42" s="24"/>
      <c r="AA42" s="24"/>
      <c r="AB42" s="129">
        <v>35000</v>
      </c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</row>
    <row r="43" spans="1:79" s="71" customFormat="1" x14ac:dyDescent="0.2">
      <c r="A43" s="69" t="s">
        <v>15</v>
      </c>
      <c r="B43" s="25" t="s">
        <v>31</v>
      </c>
      <c r="C43" s="70">
        <f>2480914-516230-48700-50000-50000-50000</f>
        <v>1765984</v>
      </c>
      <c r="D43" s="24"/>
      <c r="E43" s="24"/>
      <c r="F43" s="140">
        <f t="shared" ref="F43" si="7">195080/4</f>
        <v>48770</v>
      </c>
      <c r="G43" s="24"/>
      <c r="H43" s="24"/>
      <c r="I43" s="24"/>
      <c r="J43" s="108">
        <f>(515224/4)/3</f>
        <v>42935.333333333336</v>
      </c>
      <c r="L43" s="108">
        <f t="shared" ref="L43:AH43" si="8">(515224/4)/3</f>
        <v>42935.333333333336</v>
      </c>
      <c r="M43" s="24"/>
      <c r="N43" s="140">
        <f>195080/4+5112</f>
        <v>53882</v>
      </c>
      <c r="O43" s="24"/>
      <c r="P43" s="24"/>
      <c r="Q43" s="108">
        <f>(45000+65224)/2</f>
        <v>55112</v>
      </c>
      <c r="S43" s="108">
        <f t="shared" ref="S43:T43" si="9">516230/10</f>
        <v>51623</v>
      </c>
      <c r="T43" s="108">
        <f t="shared" si="9"/>
        <v>51623</v>
      </c>
      <c r="V43" s="24"/>
      <c r="W43" s="24"/>
      <c r="X43" s="108">
        <f>516230/10</f>
        <v>51623</v>
      </c>
      <c r="Z43" s="108">
        <f t="shared" ref="Z43:BB43" si="10">516230/10</f>
        <v>51623</v>
      </c>
      <c r="AA43" s="108">
        <f t="shared" si="10"/>
        <v>51623</v>
      </c>
      <c r="AB43" s="108">
        <f>516230/10</f>
        <v>51623</v>
      </c>
      <c r="AC43" s="24"/>
      <c r="AD43" s="24"/>
      <c r="AE43" s="108">
        <f>516230/10</f>
        <v>51623</v>
      </c>
      <c r="AF43" s="108">
        <f>516230/10+15224</f>
        <v>66847</v>
      </c>
      <c r="AG43" s="24"/>
      <c r="AH43" s="108">
        <f t="shared" si="8"/>
        <v>42935.333333333336</v>
      </c>
      <c r="AI43" s="108">
        <f>516230/10</f>
        <v>51623</v>
      </c>
      <c r="AJ43" s="24"/>
      <c r="AK43" s="24"/>
      <c r="AL43" s="98">
        <f>515224/4+54464</f>
        <v>183270</v>
      </c>
      <c r="AM43" s="108">
        <f t="shared" ref="AM43:AP43" si="11">516230/10</f>
        <v>51623</v>
      </c>
      <c r="AN43" s="108">
        <f t="shared" si="11"/>
        <v>51623</v>
      </c>
      <c r="AO43" s="108">
        <f t="shared" si="11"/>
        <v>51623</v>
      </c>
      <c r="AP43" s="108">
        <f t="shared" si="11"/>
        <v>51623</v>
      </c>
      <c r="AQ43" s="24"/>
      <c r="AR43" s="24"/>
      <c r="AS43" s="108">
        <f t="shared" ref="AS43:AW43" si="12">516230/10</f>
        <v>51623</v>
      </c>
      <c r="AT43" s="108">
        <f t="shared" si="12"/>
        <v>51623</v>
      </c>
      <c r="AU43" s="108">
        <f t="shared" si="12"/>
        <v>51623</v>
      </c>
      <c r="AV43" s="108">
        <f t="shared" si="12"/>
        <v>51623</v>
      </c>
      <c r="AW43" s="108">
        <f t="shared" si="12"/>
        <v>51623</v>
      </c>
      <c r="AX43" s="24"/>
      <c r="AY43" s="24"/>
      <c r="AZ43" s="100">
        <v>516230</v>
      </c>
      <c r="BA43" s="108">
        <f>516230/10</f>
        <v>51623</v>
      </c>
      <c r="BB43" s="108">
        <f t="shared" si="10"/>
        <v>51623</v>
      </c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</row>
    <row r="44" spans="1:79" s="71" customFormat="1" x14ac:dyDescent="0.2">
      <c r="A44" s="69" t="s">
        <v>16</v>
      </c>
      <c r="B44" s="25" t="s">
        <v>32</v>
      </c>
      <c r="C44" s="70">
        <f>449410-99410-50000+15000-25000</f>
        <v>290000</v>
      </c>
      <c r="D44" s="24"/>
      <c r="F44" s="108">
        <v>29120</v>
      </c>
      <c r="G44" s="24"/>
      <c r="H44" s="24"/>
      <c r="I44" s="24"/>
      <c r="K44" s="108">
        <f>(172350+10000)/5</f>
        <v>36470</v>
      </c>
      <c r="M44" s="108">
        <f t="shared" ref="M44:AF44" si="13">(172350+10000)/5</f>
        <v>36470</v>
      </c>
      <c r="N44" s="28"/>
      <c r="O44" s="24"/>
      <c r="P44" s="24"/>
      <c r="Q44" s="108">
        <v>50000</v>
      </c>
      <c r="R44" s="24"/>
      <c r="S44" s="108">
        <v>50000</v>
      </c>
      <c r="T44" s="24"/>
      <c r="U44" s="24"/>
      <c r="V44" s="24"/>
      <c r="W44" s="24"/>
      <c r="X44" s="24"/>
      <c r="Y44" s="24"/>
      <c r="Z44" s="24"/>
      <c r="AA44" s="108">
        <f t="shared" si="13"/>
        <v>36470</v>
      </c>
      <c r="AB44" s="24"/>
      <c r="AC44" s="24"/>
      <c r="AD44" s="24"/>
      <c r="AE44" s="24"/>
      <c r="AF44" s="108">
        <f t="shared" si="13"/>
        <v>36470</v>
      </c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</row>
    <row r="45" spans="1:79" s="71" customFormat="1" x14ac:dyDescent="0.2">
      <c r="A45" s="69" t="s">
        <v>85</v>
      </c>
      <c r="B45" s="25" t="s">
        <v>47</v>
      </c>
      <c r="C45" s="70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</row>
    <row r="46" spans="1:79" s="71" customFormat="1" x14ac:dyDescent="0.2">
      <c r="A46" s="69" t="s">
        <v>143</v>
      </c>
      <c r="B46" s="25" t="s">
        <v>45</v>
      </c>
      <c r="C46" s="24">
        <f>188496*A9</f>
        <v>1988727.048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8"/>
      <c r="V46" s="24"/>
      <c r="W46" s="24"/>
      <c r="Y46" s="24"/>
      <c r="Z46" s="108">
        <f t="shared" ref="Z46:AS46" si="14">(188496*$A$9)/15</f>
        <v>132581.80319999999</v>
      </c>
      <c r="AA46" s="108">
        <f t="shared" si="14"/>
        <v>132581.80319999999</v>
      </c>
      <c r="AC46" s="24"/>
      <c r="AD46" s="24"/>
      <c r="AE46" s="108">
        <f>(188496*$A$9)/15</f>
        <v>132581.80319999999</v>
      </c>
      <c r="AF46" s="108">
        <f t="shared" ref="AF46:AI46" si="15">(188496*$A$9)/15</f>
        <v>132581.80319999999</v>
      </c>
      <c r="AG46" s="108">
        <f t="shared" si="15"/>
        <v>132581.80319999999</v>
      </c>
      <c r="AH46" s="108">
        <f t="shared" si="15"/>
        <v>132581.80319999999</v>
      </c>
      <c r="AI46" s="108">
        <f t="shared" si="15"/>
        <v>132581.80319999999</v>
      </c>
      <c r="AJ46" s="24"/>
      <c r="AK46" s="24"/>
      <c r="AL46" s="108">
        <f>(188496*$A$9)/15</f>
        <v>132581.80319999999</v>
      </c>
      <c r="AM46" s="108">
        <f t="shared" ref="AM46:AO46" si="16">(188496*$A$9)/15</f>
        <v>132581.80319999999</v>
      </c>
      <c r="AN46" s="108">
        <f t="shared" si="16"/>
        <v>132581.80319999999</v>
      </c>
      <c r="AO46" s="108">
        <f t="shared" si="16"/>
        <v>132581.80319999999</v>
      </c>
      <c r="AP46" s="28"/>
      <c r="AQ46" s="24"/>
      <c r="AR46" s="24"/>
      <c r="AS46" s="108">
        <f t="shared" si="14"/>
        <v>132581.80319999999</v>
      </c>
      <c r="AT46" s="24"/>
      <c r="AU46" s="108">
        <f>((188496*$A$9)/15)*2</f>
        <v>265163.60639999999</v>
      </c>
      <c r="AV46" s="108">
        <f>(188496*$A$9)/15</f>
        <v>132581.80319999999</v>
      </c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</row>
    <row r="47" spans="1:79" s="71" customFormat="1" x14ac:dyDescent="0.2">
      <c r="A47" s="69" t="s">
        <v>120</v>
      </c>
      <c r="B47" s="25" t="s">
        <v>121</v>
      </c>
      <c r="C47" s="120">
        <f>507000+1014000-47000</f>
        <v>1474000</v>
      </c>
      <c r="D47" s="24"/>
      <c r="E47" s="24"/>
      <c r="F47" s="108">
        <f t="shared" ref="F47:AI47" si="17">507000/9</f>
        <v>56333.333333333336</v>
      </c>
      <c r="G47" s="24"/>
      <c r="H47" s="24"/>
      <c r="I47" s="24"/>
      <c r="J47" s="108">
        <f t="shared" ref="J47:AN47" si="18">507000/9</f>
        <v>56333.333333333336</v>
      </c>
      <c r="L47" s="108">
        <f t="shared" si="18"/>
        <v>56333.333333333336</v>
      </c>
      <c r="N47" s="108">
        <f>1014000/11</f>
        <v>92181.818181818177</v>
      </c>
      <c r="O47" s="24"/>
      <c r="P47" s="24"/>
      <c r="Q47" s="108">
        <f t="shared" ref="Q47:AT47" si="19">1014000/11</f>
        <v>92181.818181818177</v>
      </c>
      <c r="S47" s="108">
        <f t="shared" si="19"/>
        <v>92181.818181818177</v>
      </c>
      <c r="U47" s="28"/>
      <c r="V47" s="24"/>
      <c r="W47" s="24"/>
      <c r="X47" s="108">
        <f t="shared" ref="X47:BA47" si="20">1014000/11</f>
        <v>92181.818181818177</v>
      </c>
      <c r="Y47" s="24"/>
      <c r="AA47" s="108">
        <f t="shared" si="20"/>
        <v>92181.818181818177</v>
      </c>
      <c r="AB47" s="108">
        <f>(1014000/11)*2+9333.33</f>
        <v>193696.96636363634</v>
      </c>
      <c r="AC47" s="24"/>
      <c r="AD47" s="24"/>
      <c r="AE47" s="108">
        <f>507000/9</f>
        <v>56333.333333333336</v>
      </c>
      <c r="AF47" s="24"/>
      <c r="AG47" s="108">
        <f t="shared" si="17"/>
        <v>56333.333333333336</v>
      </c>
      <c r="AH47" s="24"/>
      <c r="AI47" s="108">
        <f t="shared" si="17"/>
        <v>56333.333333333336</v>
      </c>
      <c r="AJ47" s="24"/>
      <c r="AK47" s="24"/>
      <c r="AL47" s="108">
        <f t="shared" si="18"/>
        <v>56333.333333333336</v>
      </c>
      <c r="AM47" s="24"/>
      <c r="AN47" s="108">
        <f t="shared" si="18"/>
        <v>56333.333333333336</v>
      </c>
      <c r="AP47" s="108">
        <f t="shared" si="19"/>
        <v>92181.818181818177</v>
      </c>
      <c r="AQ47" s="24"/>
      <c r="AR47" s="24"/>
      <c r="AS47" s="24"/>
      <c r="AT47" s="108">
        <f t="shared" si="19"/>
        <v>92181.818181818177</v>
      </c>
      <c r="AU47" s="24"/>
      <c r="AV47" s="108">
        <f t="shared" si="20"/>
        <v>92181.818181818177</v>
      </c>
      <c r="AW47" s="24"/>
      <c r="AX47" s="24"/>
      <c r="AY47" s="24"/>
      <c r="AZ47" s="108">
        <v>991000</v>
      </c>
      <c r="BA47" s="108">
        <f t="shared" si="20"/>
        <v>92181.818181818177</v>
      </c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</row>
    <row r="48" spans="1:79" s="73" customFormat="1" x14ac:dyDescent="0.2">
      <c r="A48" s="69" t="s">
        <v>22</v>
      </c>
      <c r="B48" s="25" t="s">
        <v>48</v>
      </c>
      <c r="C48" s="137">
        <f>52206*A9-9201*A9-8700*A9</f>
        <v>361934.90249999997</v>
      </c>
      <c r="D48" s="72"/>
      <c r="E48" s="24"/>
      <c r="F48" s="72"/>
      <c r="G48" s="160">
        <f>((52206*$A$9)/6)/2</f>
        <v>45899.950249999994</v>
      </c>
      <c r="H48" s="72"/>
      <c r="I48" s="72"/>
      <c r="K48" s="160">
        <f>(52206*$A$9)/6</f>
        <v>91799.900499999989</v>
      </c>
      <c r="L48" s="72"/>
      <c r="M48" s="160">
        <f>(52206*$A$9)/6</f>
        <v>91799.900499999989</v>
      </c>
      <c r="O48" s="72"/>
      <c r="P48" s="72"/>
      <c r="R48" s="160">
        <f t="shared" ref="R48:AM48" si="21">(52206*$A$9+2988*$A$6)/10</f>
        <v>76494.338699999993</v>
      </c>
      <c r="T48" s="160">
        <f t="shared" si="21"/>
        <v>76494.338699999993</v>
      </c>
      <c r="U48" s="72"/>
      <c r="V48" s="72"/>
      <c r="W48" s="72"/>
      <c r="X48" s="160">
        <f>(52206*$A$9+2988*$A$6)/10</f>
        <v>76494.338699999993</v>
      </c>
      <c r="Y48" s="160">
        <f t="shared" ref="Y48:AP48" si="22">(52206*$A$9+2988*$A$6)/10</f>
        <v>76494.338699999993</v>
      </c>
      <c r="AA48" s="160">
        <f t="shared" si="22"/>
        <v>76494.338699999993</v>
      </c>
      <c r="AB48" s="160">
        <f>((52206*$A$9+2988*$A$6)/10)*2</f>
        <v>152988.67739999999</v>
      </c>
      <c r="AC48" s="72"/>
      <c r="AD48" s="72"/>
      <c r="AE48" s="160">
        <f>((52206*$A$9)/6)/2</f>
        <v>45899.950249999994</v>
      </c>
      <c r="AF48" s="72"/>
      <c r="AG48" s="160">
        <f>(52206*$A$9)/6</f>
        <v>91799.900499999989</v>
      </c>
      <c r="AH48" s="72"/>
      <c r="AI48" s="160">
        <f>(52206*$A$9+2988*$A$6)/10</f>
        <v>76494.338699999993</v>
      </c>
      <c r="AJ48" s="72"/>
      <c r="AK48" s="72"/>
      <c r="AL48" s="72"/>
      <c r="AM48" s="160">
        <f t="shared" si="21"/>
        <v>76494.338699999993</v>
      </c>
      <c r="AN48" s="72"/>
      <c r="AO48" s="72"/>
      <c r="AP48" s="160">
        <f t="shared" si="22"/>
        <v>76494.338699999993</v>
      </c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</row>
    <row r="49" spans="1:79" s="73" customFormat="1" x14ac:dyDescent="0.2">
      <c r="A49" s="69" t="s">
        <v>108</v>
      </c>
      <c r="B49" s="25" t="s">
        <v>109</v>
      </c>
      <c r="C49" s="120"/>
      <c r="D49" s="72"/>
      <c r="E49" s="24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138">
        <v>50531.25</v>
      </c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</row>
    <row r="50" spans="1:79" s="71" customFormat="1" x14ac:dyDescent="0.2">
      <c r="A50" s="69" t="s">
        <v>36</v>
      </c>
      <c r="B50" s="25" t="s">
        <v>37</v>
      </c>
      <c r="C50" s="130"/>
      <c r="D50" s="24"/>
      <c r="E50" s="28"/>
      <c r="F50" s="28"/>
      <c r="G50" s="24"/>
      <c r="H50" s="24"/>
      <c r="I50" s="24"/>
      <c r="J50" s="72"/>
      <c r="K50" s="24"/>
      <c r="L50" s="24"/>
      <c r="M50" s="24"/>
      <c r="N50" s="24"/>
      <c r="O50" s="24"/>
      <c r="P50" s="24"/>
      <c r="Q50" s="100">
        <f>1037.5*A6</f>
        <v>74355.55</v>
      </c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</row>
    <row r="51" spans="1:79" s="71" customFormat="1" x14ac:dyDescent="0.2">
      <c r="A51" s="69" t="s">
        <v>86</v>
      </c>
      <c r="B51" s="25" t="s">
        <v>35</v>
      </c>
      <c r="C51" s="70">
        <f>3250*A6</f>
        <v>232921.00000000003</v>
      </c>
      <c r="D51" s="77"/>
      <c r="E51" s="129">
        <f>3250*A6</f>
        <v>232921.00000000003</v>
      </c>
      <c r="F51" s="24"/>
      <c r="G51" s="28"/>
      <c r="H51" s="24"/>
      <c r="I51" s="24"/>
      <c r="J51" s="72"/>
      <c r="K51" s="28"/>
      <c r="L51" s="24"/>
      <c r="M51" s="24"/>
      <c r="N51" s="24"/>
      <c r="O51" s="24"/>
      <c r="P51" s="24"/>
      <c r="Q51" s="24"/>
      <c r="R51" s="24"/>
      <c r="S51" s="24"/>
      <c r="T51" s="100">
        <f>490*A6</f>
        <v>35117.32</v>
      </c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</row>
    <row r="52" spans="1:79" s="71" customFormat="1" x14ac:dyDescent="0.2">
      <c r="A52" s="69" t="s">
        <v>29</v>
      </c>
      <c r="B52" s="25" t="s">
        <v>43</v>
      </c>
      <c r="C52" s="70">
        <f>439750-19750-25000-25000-25000</f>
        <v>345000</v>
      </c>
      <c r="D52" s="24"/>
      <c r="E52" s="73"/>
      <c r="F52" s="28"/>
      <c r="H52" s="24"/>
      <c r="I52" s="24"/>
      <c r="J52" s="95">
        <v>25000</v>
      </c>
      <c r="K52" s="24"/>
      <c r="L52" s="95">
        <v>25000</v>
      </c>
      <c r="M52" s="24"/>
      <c r="N52" s="95">
        <v>25000</v>
      </c>
      <c r="O52" s="24"/>
      <c r="P52" s="24"/>
      <c r="Q52" s="95">
        <v>25000</v>
      </c>
      <c r="R52" s="24"/>
      <c r="T52" s="24"/>
      <c r="V52" s="24"/>
      <c r="W52" s="24"/>
      <c r="X52" s="95">
        <v>50000</v>
      </c>
      <c r="Y52" s="95">
        <v>25000</v>
      </c>
      <c r="AA52" s="95">
        <v>25000</v>
      </c>
      <c r="AC52" s="24"/>
      <c r="AD52" s="24"/>
      <c r="AE52" s="24"/>
      <c r="AF52" s="24"/>
      <c r="AG52" s="24"/>
      <c r="AH52" s="24"/>
      <c r="AI52" s="95">
        <v>100000</v>
      </c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</row>
    <row r="53" spans="1:79" s="71" customFormat="1" x14ac:dyDescent="0.2">
      <c r="A53" s="69" t="s">
        <v>141</v>
      </c>
      <c r="B53" s="25" t="s">
        <v>142</v>
      </c>
      <c r="C53" s="7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100">
        <v>55053.72</v>
      </c>
      <c r="AA53" s="24"/>
      <c r="AB53" s="95">
        <f>50000+14750</f>
        <v>64750</v>
      </c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</row>
    <row r="54" spans="1:79" s="71" customFormat="1" x14ac:dyDescent="0.2">
      <c r="A54" s="69" t="s">
        <v>146</v>
      </c>
      <c r="B54" s="25" t="s">
        <v>147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100">
        <v>90000</v>
      </c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</row>
    <row r="55" spans="1:79" s="71" customFormat="1" x14ac:dyDescent="0.2">
      <c r="A55" s="69" t="s">
        <v>149</v>
      </c>
      <c r="B55" s="25" t="s">
        <v>148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8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</row>
    <row r="56" spans="1:79" s="71" customFormat="1" x14ac:dyDescent="0.2">
      <c r="A56" s="69" t="s">
        <v>124</v>
      </c>
      <c r="B56" s="25" t="s">
        <v>125</v>
      </c>
      <c r="C56" s="70"/>
      <c r="D56" s="24"/>
      <c r="E56" s="24"/>
      <c r="F56" s="24"/>
      <c r="G56" s="24"/>
      <c r="H56" s="24"/>
      <c r="I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100">
        <v>203210</v>
      </c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</row>
    <row r="57" spans="1:79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</row>
    <row r="58" spans="1:79" s="71" customFormat="1" x14ac:dyDescent="0.2">
      <c r="A58" s="69" t="s">
        <v>90</v>
      </c>
      <c r="B58" s="25" t="s">
        <v>91</v>
      </c>
      <c r="C58" s="70">
        <f>912000+1012000-100000-100000-75000-75000-75000-75000-75000</f>
        <v>1349000</v>
      </c>
      <c r="D58" s="77"/>
      <c r="E58" s="129">
        <v>75000</v>
      </c>
      <c r="F58" s="129">
        <v>75000</v>
      </c>
      <c r="G58" s="129">
        <v>75000</v>
      </c>
      <c r="H58" s="24"/>
      <c r="I58" s="24"/>
      <c r="J58" s="129">
        <v>75000</v>
      </c>
      <c r="K58" s="28"/>
      <c r="L58" s="129">
        <v>75000</v>
      </c>
      <c r="M58" s="28"/>
      <c r="N58" s="129">
        <v>75000</v>
      </c>
      <c r="O58" s="24"/>
      <c r="P58" s="24"/>
      <c r="Q58" s="129">
        <v>75000</v>
      </c>
      <c r="S58" s="129">
        <v>100000</v>
      </c>
      <c r="V58" s="24"/>
      <c r="W58" s="24"/>
      <c r="X58" s="129">
        <v>124000</v>
      </c>
      <c r="Y58" s="24"/>
      <c r="Z58" s="28"/>
      <c r="AA58" s="129">
        <v>100000</v>
      </c>
      <c r="AB58" s="129">
        <v>100000</v>
      </c>
      <c r="AC58" s="24"/>
      <c r="AD58" s="24"/>
      <c r="AE58" s="129">
        <v>100000</v>
      </c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</row>
    <row r="59" spans="1:79" s="71" customFormat="1" x14ac:dyDescent="0.2">
      <c r="A59" s="69" t="s">
        <v>144</v>
      </c>
      <c r="B59" s="25" t="s">
        <v>145</v>
      </c>
      <c r="C59" s="70"/>
      <c r="D59" s="77"/>
      <c r="E59" s="28"/>
      <c r="F59" s="28"/>
      <c r="G59" s="158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</row>
    <row r="60" spans="1:79" s="71" customFormat="1" x14ac:dyDescent="0.2">
      <c r="A60" s="69" t="s">
        <v>138</v>
      </c>
      <c r="B60" s="25" t="s">
        <v>136</v>
      </c>
      <c r="C60" s="70"/>
      <c r="D60" s="77"/>
      <c r="E60" s="28"/>
      <c r="F60" s="28"/>
      <c r="G60" s="28"/>
      <c r="H60" s="24"/>
      <c r="I60" s="24"/>
      <c r="J60" s="24"/>
      <c r="K60" s="24"/>
      <c r="L60" s="24"/>
      <c r="M60" s="24"/>
      <c r="N60" s="100">
        <f>(4260*$A$6)/6</f>
        <v>50884.280000000006</v>
      </c>
      <c r="O60" s="24"/>
      <c r="P60" s="24"/>
      <c r="Q60" s="100">
        <f t="shared" ref="Q60:AB60" si="23">(4260*$A$6)/6</f>
        <v>50884.280000000006</v>
      </c>
      <c r="R60" s="100">
        <f t="shared" si="23"/>
        <v>50884.280000000006</v>
      </c>
      <c r="S60" s="100">
        <f t="shared" si="23"/>
        <v>50884.280000000006</v>
      </c>
      <c r="T60" s="100">
        <f t="shared" si="23"/>
        <v>50884.280000000006</v>
      </c>
      <c r="V60" s="24"/>
      <c r="W60" s="24"/>
      <c r="X60" s="24"/>
      <c r="Y60" s="24"/>
      <c r="Z60" s="24"/>
      <c r="AA60" s="24"/>
      <c r="AB60" s="100">
        <f t="shared" si="23"/>
        <v>50884.280000000006</v>
      </c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</row>
    <row r="61" spans="1:79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</row>
    <row r="62" spans="1:79" s="71" customFormat="1" ht="12.75" customHeight="1" x14ac:dyDescent="0.2">
      <c r="A62" s="151" t="s">
        <v>139</v>
      </c>
      <c r="B62" s="152" t="s">
        <v>114</v>
      </c>
      <c r="C62" s="70">
        <f>1732500-693000</f>
        <v>1039500</v>
      </c>
      <c r="D62" s="77"/>
      <c r="E62" s="28"/>
      <c r="F62" s="24"/>
      <c r="G62" s="28"/>
      <c r="H62" s="24"/>
      <c r="I62" s="24"/>
      <c r="K62" s="100">
        <v>200000</v>
      </c>
      <c r="M62" s="24"/>
      <c r="N62" s="100">
        <v>100000</v>
      </c>
      <c r="O62" s="24"/>
      <c r="P62" s="24"/>
      <c r="Q62" s="100">
        <v>100000</v>
      </c>
      <c r="R62" s="28"/>
      <c r="S62" s="100">
        <v>239000</v>
      </c>
      <c r="T62" s="24"/>
      <c r="U62" s="28"/>
      <c r="V62" s="24"/>
      <c r="W62" s="24"/>
      <c r="X62" s="100">
        <v>100000</v>
      </c>
      <c r="Y62" s="28"/>
      <c r="Z62" s="100">
        <v>100000</v>
      </c>
      <c r="AA62" s="24"/>
      <c r="AB62" s="100">
        <v>200000</v>
      </c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</row>
    <row r="63" spans="1:79" s="71" customFormat="1" x14ac:dyDescent="0.2">
      <c r="A63" s="69" t="s">
        <v>34</v>
      </c>
      <c r="B63" s="25" t="s">
        <v>45</v>
      </c>
      <c r="C63" s="70">
        <f>1014000-100000-100000+400-50000-25000-25000-25000-50000-53800-85600-75000-25000-80000-80000</f>
        <v>240000</v>
      </c>
      <c r="D63" s="77"/>
      <c r="E63" s="129">
        <f t="shared" ref="E63:G63" si="24">400000/5</f>
        <v>80000</v>
      </c>
      <c r="F63" s="129">
        <f t="shared" si="24"/>
        <v>80000</v>
      </c>
      <c r="G63" s="129">
        <f t="shared" si="24"/>
        <v>80000</v>
      </c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</row>
    <row r="64" spans="1:79" s="71" customFormat="1" x14ac:dyDescent="0.2">
      <c r="A64" s="69" t="s">
        <v>128</v>
      </c>
      <c r="B64" s="25" t="s">
        <v>129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</row>
    <row r="65" spans="1:79" s="71" customFormat="1" x14ac:dyDescent="0.2">
      <c r="A65" s="69" t="s">
        <v>101</v>
      </c>
      <c r="B65" s="25" t="s">
        <v>130</v>
      </c>
      <c r="C65" s="70">
        <f>110000-25000-25000-10000</f>
        <v>50000</v>
      </c>
      <c r="D65" s="77"/>
      <c r="F65" s="28"/>
      <c r="G65" s="24"/>
      <c r="H65" s="24"/>
      <c r="I65" s="24"/>
      <c r="J65" s="24"/>
      <c r="K65" s="24"/>
      <c r="L65" s="108">
        <v>25000</v>
      </c>
      <c r="M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108">
        <f>100000/4</f>
        <v>25000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</row>
    <row r="66" spans="1:79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</row>
    <row r="67" spans="1:79" s="71" customFormat="1" x14ac:dyDescent="0.2">
      <c r="A67" s="69" t="s">
        <v>38</v>
      </c>
      <c r="B67" s="25" t="s">
        <v>39</v>
      </c>
      <c r="C67" s="70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</row>
    <row r="68" spans="1:79" s="71" customFormat="1" x14ac:dyDescent="0.2">
      <c r="A68" s="69" t="s">
        <v>74</v>
      </c>
      <c r="B68" s="25" t="s">
        <v>131</v>
      </c>
      <c r="C68" s="70"/>
      <c r="D68" s="24"/>
      <c r="E68" s="24"/>
      <c r="G68" s="24"/>
      <c r="I68" s="24"/>
      <c r="J68" s="100">
        <v>20000</v>
      </c>
      <c r="K68" s="24"/>
      <c r="L68" s="100">
        <f>80000/2</f>
        <v>40000</v>
      </c>
      <c r="M68" s="24"/>
      <c r="N68" s="143">
        <v>40000</v>
      </c>
      <c r="O68" s="24"/>
      <c r="P68" s="24"/>
      <c r="Q68" s="100">
        <v>20000</v>
      </c>
      <c r="R68" s="100">
        <f>7500+16500</f>
        <v>24000</v>
      </c>
      <c r="S68" s="24"/>
      <c r="T68" s="100">
        <v>12500</v>
      </c>
      <c r="V68" s="24"/>
      <c r="W68" s="24"/>
      <c r="X68" s="100">
        <f>80000/2</f>
        <v>40000</v>
      </c>
      <c r="Y68" s="24"/>
      <c r="Z68" s="100">
        <v>15000</v>
      </c>
      <c r="AA68" s="24"/>
      <c r="AB68" s="100">
        <v>11667</v>
      </c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</row>
    <row r="69" spans="1:79" s="71" customFormat="1" x14ac:dyDescent="0.2">
      <c r="A69" s="69" t="s">
        <v>74</v>
      </c>
      <c r="B69" s="25" t="s">
        <v>150</v>
      </c>
      <c r="C69" s="164">
        <v>3567700</v>
      </c>
      <c r="D69" s="24"/>
      <c r="E69" s="28"/>
      <c r="F69" s="24"/>
      <c r="H69" s="24"/>
      <c r="I69" s="24"/>
      <c r="J69" s="24"/>
      <c r="K69" s="24"/>
      <c r="L69" s="114"/>
      <c r="M69" s="11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</row>
    <row r="70" spans="1:79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</row>
    <row r="71" spans="1:79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</row>
    <row r="72" spans="1:79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</row>
    <row r="73" spans="1:79" s="5" customFormat="1" x14ac:dyDescent="0.2">
      <c r="A73" s="36" t="s">
        <v>49</v>
      </c>
      <c r="B73" s="12"/>
      <c r="C73" s="13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>
        <v>1400000</v>
      </c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</row>
    <row r="74" spans="1:79" s="5" customFormat="1" x14ac:dyDescent="0.2">
      <c r="A74" s="36" t="s">
        <v>57</v>
      </c>
      <c r="B74" s="12"/>
      <c r="C74" s="68"/>
      <c r="D74" s="26"/>
      <c r="E74" s="13"/>
      <c r="H74" s="13"/>
      <c r="I74" s="13"/>
      <c r="J74" s="139">
        <f>1749467.21/0.77</f>
        <v>2272035.3376623373</v>
      </c>
      <c r="L74" s="13"/>
      <c r="M74" s="13"/>
      <c r="O74" s="13"/>
      <c r="P74" s="13"/>
      <c r="Q74" s="139">
        <f>1933893.44/0.77</f>
        <v>2511549.9220779222</v>
      </c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</row>
    <row r="75" spans="1:79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9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</row>
    <row r="76" spans="1:79" s="5" customFormat="1" x14ac:dyDescent="0.2">
      <c r="A76" s="42" t="s">
        <v>151</v>
      </c>
      <c r="B76" s="12"/>
      <c r="C76" s="68">
        <f>(10000*10)*A6</f>
        <v>7166800.0000000009</v>
      </c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</row>
    <row r="77" spans="1:79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</row>
    <row r="78" spans="1:79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</row>
    <row r="79" spans="1:79" s="84" customFormat="1" x14ac:dyDescent="0.2">
      <c r="A79" s="81" t="s">
        <v>66</v>
      </c>
      <c r="B79" s="82"/>
      <c r="C79" s="63"/>
      <c r="D79" s="83"/>
      <c r="E79" s="83">
        <f>$C$5+E16-E26</f>
        <v>5129486.4800000004</v>
      </c>
      <c r="F79" s="83">
        <f t="shared" ref="F79:BP79" si="25">E79+F16-F26</f>
        <v>1689182.475333333</v>
      </c>
      <c r="G79" s="83">
        <f t="shared" si="25"/>
        <v>1369427.725083333</v>
      </c>
      <c r="H79" s="83">
        <f t="shared" si="25"/>
        <v>1369427.725083333</v>
      </c>
      <c r="I79" s="83">
        <f t="shared" si="25"/>
        <v>1369427.725083333</v>
      </c>
      <c r="J79" s="83">
        <f t="shared" si="25"/>
        <v>1392347.9207543288</v>
      </c>
      <c r="K79" s="83">
        <f t="shared" si="25"/>
        <v>638051.3535876621</v>
      </c>
      <c r="L79" s="83">
        <f t="shared" si="25"/>
        <v>1735506.8869209951</v>
      </c>
      <c r="M79" s="83">
        <f t="shared" si="25"/>
        <v>1568961.186420995</v>
      </c>
      <c r="N79" s="83">
        <f t="shared" si="25"/>
        <v>640287.98157251021</v>
      </c>
      <c r="O79" s="83">
        <f t="shared" si="25"/>
        <v>640287.98157251021</v>
      </c>
      <c r="P79" s="83">
        <f t="shared" si="25"/>
        <v>640287.98157251021</v>
      </c>
      <c r="Q79" s="83">
        <f t="shared" si="25"/>
        <v>1139157.4613127704</v>
      </c>
      <c r="R79" s="83">
        <f t="shared" si="25"/>
        <v>846787.34261277039</v>
      </c>
      <c r="S79" s="83">
        <f t="shared" si="25"/>
        <v>762928.94443095219</v>
      </c>
      <c r="T79" s="83">
        <f t="shared" si="25"/>
        <v>8786.5057309522526</v>
      </c>
      <c r="U79" s="83">
        <f t="shared" si="25"/>
        <v>8786.5057309522526</v>
      </c>
      <c r="V79" s="83">
        <f t="shared" si="25"/>
        <v>8786.5057309522526</v>
      </c>
      <c r="W79" s="83">
        <f t="shared" si="25"/>
        <v>8786.5057309522526</v>
      </c>
      <c r="X79" s="83">
        <f t="shared" si="25"/>
        <v>728414.04884913401</v>
      </c>
      <c r="Y79" s="83">
        <f t="shared" si="25"/>
        <v>548187.71014913404</v>
      </c>
      <c r="Z79" s="83">
        <f t="shared" si="25"/>
        <v>158929.18694913405</v>
      </c>
      <c r="AA79" s="83">
        <f t="shared" si="25"/>
        <v>6097444.468867315</v>
      </c>
      <c r="AB79" s="83">
        <f t="shared" si="25"/>
        <v>5105602.5451036785</v>
      </c>
      <c r="AC79" s="83">
        <f t="shared" si="25"/>
        <v>5105602.5451036785</v>
      </c>
      <c r="AD79" s="83">
        <f t="shared" si="25"/>
        <v>5105602.5451036785</v>
      </c>
      <c r="AE79" s="83">
        <f t="shared" si="25"/>
        <v>4484722.4583203448</v>
      </c>
      <c r="AF79" s="83">
        <f t="shared" si="25"/>
        <v>4148823.6551203448</v>
      </c>
      <c r="AG79" s="83">
        <f t="shared" si="25"/>
        <v>3836876.6180870114</v>
      </c>
      <c r="AH79" s="83">
        <f t="shared" si="25"/>
        <v>3661359.4815536779</v>
      </c>
      <c r="AI79" s="83">
        <f t="shared" si="25"/>
        <v>3213095.0063203447</v>
      </c>
      <c r="AJ79" s="83">
        <f t="shared" si="25"/>
        <v>3213095.0063203447</v>
      </c>
      <c r="AK79" s="83">
        <f t="shared" si="25"/>
        <v>3213095.0063203447</v>
      </c>
      <c r="AL79" s="83">
        <f t="shared" si="25"/>
        <v>2716071.8697870113</v>
      </c>
      <c r="AM79" s="83">
        <f t="shared" si="25"/>
        <v>2201489.1945536775</v>
      </c>
      <c r="AN79" s="83">
        <f t="shared" si="25"/>
        <v>1960951.058020344</v>
      </c>
      <c r="AO79" s="83">
        <f t="shared" si="25"/>
        <v>1030683.354820344</v>
      </c>
      <c r="AP79" s="83">
        <f t="shared" si="25"/>
        <v>810384.19793852582</v>
      </c>
      <c r="AQ79" s="83">
        <f t="shared" si="25"/>
        <v>810384.19793852582</v>
      </c>
      <c r="AR79" s="83">
        <f t="shared" si="25"/>
        <v>810384.19793852582</v>
      </c>
      <c r="AS79" s="83">
        <f t="shared" si="25"/>
        <v>626179.39473852585</v>
      </c>
      <c r="AT79" s="83">
        <f t="shared" si="25"/>
        <v>3456772.3765567075</v>
      </c>
      <c r="AU79" s="83">
        <f t="shared" si="25"/>
        <v>3139985.7701567076</v>
      </c>
      <c r="AV79" s="83">
        <f t="shared" si="25"/>
        <v>2863599.1487748893</v>
      </c>
      <c r="AW79" s="83">
        <f t="shared" si="25"/>
        <v>2811976.1487748893</v>
      </c>
      <c r="AX79" s="83">
        <f t="shared" si="25"/>
        <v>2811976.1487748893</v>
      </c>
      <c r="AY79" s="83">
        <f t="shared" si="25"/>
        <v>2811976.1487748893</v>
      </c>
      <c r="AZ79" s="83">
        <f t="shared" si="25"/>
        <v>1033240.1487748893</v>
      </c>
      <c r="BA79" s="83">
        <f t="shared" si="25"/>
        <v>889435.33059307118</v>
      </c>
      <c r="BB79" s="83">
        <f t="shared" si="25"/>
        <v>837812.33059307118</v>
      </c>
      <c r="BC79" s="83">
        <f t="shared" si="25"/>
        <v>837812.33059307118</v>
      </c>
      <c r="BD79" s="83">
        <f t="shared" si="25"/>
        <v>837812.33059307118</v>
      </c>
      <c r="BE79" s="83">
        <f t="shared" si="25"/>
        <v>837812.33059307118</v>
      </c>
      <c r="BF79" s="83">
        <f t="shared" si="25"/>
        <v>837812.33059307118</v>
      </c>
      <c r="BG79" s="83">
        <f t="shared" si="25"/>
        <v>837812.33059307118</v>
      </c>
      <c r="BH79" s="83">
        <f t="shared" si="25"/>
        <v>837812.33059307118</v>
      </c>
      <c r="BI79" s="83">
        <f t="shared" si="25"/>
        <v>837812.33059307118</v>
      </c>
      <c r="BJ79" s="83">
        <f t="shared" si="25"/>
        <v>837812.33059307118</v>
      </c>
      <c r="BK79" s="83">
        <f t="shared" si="25"/>
        <v>837812.33059307118</v>
      </c>
      <c r="BL79" s="83">
        <f t="shared" si="25"/>
        <v>837812.33059307118</v>
      </c>
      <c r="BM79" s="83">
        <f t="shared" si="25"/>
        <v>837812.33059307118</v>
      </c>
      <c r="BN79" s="83">
        <f t="shared" si="25"/>
        <v>837812.33059307118</v>
      </c>
      <c r="BO79" s="83">
        <f t="shared" si="25"/>
        <v>837812.33059307118</v>
      </c>
      <c r="BP79" s="83">
        <f t="shared" si="25"/>
        <v>837812.33059307118</v>
      </c>
      <c r="BQ79" s="83">
        <f t="shared" ref="BQ79:CA79" si="26">BP79+BQ16-BQ26</f>
        <v>837812.33059307118</v>
      </c>
      <c r="BR79" s="83">
        <f t="shared" si="26"/>
        <v>837812.33059307118</v>
      </c>
      <c r="BS79" s="83">
        <f t="shared" si="26"/>
        <v>837812.33059307118</v>
      </c>
      <c r="BT79" s="83">
        <f t="shared" si="26"/>
        <v>837812.33059307118</v>
      </c>
      <c r="BU79" s="83">
        <f t="shared" si="26"/>
        <v>3066147.2305930709</v>
      </c>
      <c r="BV79" s="83">
        <f t="shared" si="26"/>
        <v>3066147.2305930709</v>
      </c>
      <c r="BW79" s="83">
        <f t="shared" si="26"/>
        <v>3066147.2305930709</v>
      </c>
      <c r="BX79" s="83">
        <f t="shared" si="26"/>
        <v>3066147.2305930709</v>
      </c>
      <c r="BY79" s="83">
        <f t="shared" si="26"/>
        <v>3066147.2305930709</v>
      </c>
      <c r="BZ79" s="83">
        <f t="shared" si="26"/>
        <v>3066147.2305930709</v>
      </c>
      <c r="CA79" s="83">
        <f t="shared" si="26"/>
        <v>3066147.2305930709</v>
      </c>
    </row>
    <row r="81" spans="1:79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</row>
    <row r="82" spans="1:79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</row>
    <row r="83" spans="1:79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</row>
    <row r="84" spans="1:79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</row>
    <row r="85" spans="1:79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</row>
    <row r="86" spans="1:79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</row>
    <row r="88" spans="1:79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B88"/>
  <sheetViews>
    <sheetView topLeftCell="A58" workbookViewId="0">
      <selection activeCell="G25" sqref="G25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0.85546875" style="3" bestFit="1" customWidth="1"/>
    <col min="6" max="6" width="12.28515625" style="3" customWidth="1"/>
    <col min="7" max="7" width="10.85546875" style="3" bestFit="1" customWidth="1"/>
    <col min="8" max="8" width="10.5703125" style="3" customWidth="1"/>
    <col min="9" max="9" width="12.85546875" style="3" customWidth="1"/>
    <col min="10" max="10" width="14.28515625" style="3" customWidth="1"/>
    <col min="11" max="11" width="12" style="3" customWidth="1"/>
    <col min="12" max="12" width="14.5703125" style="3" customWidth="1"/>
    <col min="13" max="13" width="11.85546875" style="3" customWidth="1"/>
    <col min="14" max="14" width="12.42578125" style="3" customWidth="1"/>
    <col min="15" max="15" width="14.85546875" style="3" customWidth="1"/>
    <col min="16" max="16" width="13" style="3" customWidth="1"/>
    <col min="17" max="17" width="12.7109375" style="3" customWidth="1"/>
    <col min="18" max="18" width="11.85546875" style="3" customWidth="1"/>
    <col min="19" max="19" width="13.140625" style="3" customWidth="1"/>
    <col min="20" max="20" width="11.7109375" style="3" customWidth="1"/>
    <col min="21" max="21" width="12.5703125" style="3" customWidth="1"/>
    <col min="22" max="22" width="15.7109375" style="3" customWidth="1"/>
    <col min="23" max="23" width="12.7109375" style="3" customWidth="1"/>
    <col min="24" max="25" width="12.85546875" style="3" customWidth="1"/>
    <col min="26" max="27" width="11.85546875" style="3" customWidth="1"/>
    <col min="28" max="28" width="13" style="3" customWidth="1"/>
    <col min="29" max="29" width="12.28515625" style="3" customWidth="1"/>
    <col min="30" max="30" width="12.140625" style="3" customWidth="1"/>
    <col min="31" max="31" width="11.140625" style="3" customWidth="1"/>
    <col min="32" max="32" width="12.7109375" style="3" customWidth="1"/>
    <col min="33" max="33" width="11.140625" style="3" customWidth="1"/>
    <col min="34" max="34" width="11.7109375" style="3" customWidth="1"/>
    <col min="35" max="35" width="11.5703125" style="3" customWidth="1"/>
    <col min="36" max="37" width="10.85546875" style="3" customWidth="1"/>
    <col min="38" max="38" width="12.85546875" style="3" customWidth="1"/>
    <col min="39" max="39" width="12" style="3" customWidth="1"/>
    <col min="40" max="40" width="11.140625" style="3" customWidth="1"/>
    <col min="41" max="41" width="10.28515625" style="3" customWidth="1"/>
    <col min="42" max="42" width="11.42578125" style="3" customWidth="1"/>
    <col min="43" max="43" width="11.7109375" style="3" customWidth="1"/>
    <col min="44" max="44" width="10.5703125" style="3" customWidth="1"/>
    <col min="45" max="45" width="12" style="3" customWidth="1"/>
    <col min="46" max="46" width="11.140625" style="3" customWidth="1"/>
    <col min="47" max="47" width="10.42578125" style="3" customWidth="1"/>
    <col min="48" max="48" width="10.28515625" style="3" bestFit="1" customWidth="1"/>
    <col min="49" max="49" width="10.42578125" style="3" customWidth="1"/>
    <col min="50" max="50" width="12.5703125" style="3" customWidth="1"/>
    <col min="51" max="51" width="13.28515625" style="3" customWidth="1"/>
    <col min="52" max="52" width="12.140625" style="3" customWidth="1"/>
    <col min="53" max="53" width="12.42578125" style="3" customWidth="1"/>
    <col min="54" max="54" width="12.28515625" style="3" customWidth="1"/>
    <col min="55" max="55" width="10.28515625" style="3" customWidth="1"/>
    <col min="56" max="56" width="11.28515625" style="3" customWidth="1"/>
    <col min="57" max="57" width="11.85546875" style="3" customWidth="1"/>
    <col min="58" max="58" width="12.28515625" style="3" customWidth="1"/>
    <col min="59" max="59" width="11.140625" style="3" customWidth="1"/>
    <col min="60" max="71" width="9" style="3"/>
    <col min="72" max="72" width="12.42578125" style="3" customWidth="1"/>
    <col min="73" max="16384" width="9" style="3"/>
  </cols>
  <sheetData>
    <row r="1" spans="1:80" ht="12" thickBot="1" x14ac:dyDescent="0.3"/>
    <row r="2" spans="1:80" s="1" customFormat="1" x14ac:dyDescent="0.2">
      <c r="A2" s="43" t="s">
        <v>50</v>
      </c>
      <c r="B2" s="15" t="s">
        <v>27</v>
      </c>
      <c r="C2" s="50">
        <v>5959286.0700000003</v>
      </c>
    </row>
    <row r="3" spans="1:80" s="1" customFormat="1" ht="12" thickBot="1" x14ac:dyDescent="0.25">
      <c r="A3" s="44">
        <v>85.449299999999994</v>
      </c>
      <c r="B3" s="15" t="s">
        <v>28</v>
      </c>
      <c r="C3" s="50">
        <v>10778.95</v>
      </c>
    </row>
    <row r="4" spans="1:80" s="8" customFormat="1" ht="12" thickBot="1" x14ac:dyDescent="0.25">
      <c r="A4" s="45"/>
      <c r="B4" s="15" t="s">
        <v>25</v>
      </c>
      <c r="C4" s="51">
        <v>0</v>
      </c>
    </row>
    <row r="5" spans="1:80" s="6" customFormat="1" x14ac:dyDescent="0.2">
      <c r="A5" s="43" t="s">
        <v>51</v>
      </c>
      <c r="B5" s="49" t="s">
        <v>26</v>
      </c>
      <c r="C5" s="52">
        <f>SUM(C2:C4)</f>
        <v>5970065.0200000005</v>
      </c>
    </row>
    <row r="6" spans="1:80" s="6" customFormat="1" ht="12" thickBot="1" x14ac:dyDescent="0.25">
      <c r="A6" s="44">
        <v>71.546000000000006</v>
      </c>
      <c r="B6" s="16"/>
      <c r="C6" s="53"/>
      <c r="D6" s="17"/>
    </row>
    <row r="7" spans="1:80" s="6" customFormat="1" ht="12" thickBot="1" x14ac:dyDescent="0.25">
      <c r="A7" s="105" t="s">
        <v>51</v>
      </c>
      <c r="B7" s="18" t="s">
        <v>127</v>
      </c>
      <c r="C7" s="54">
        <f>SUM(16:16)</f>
        <v>27013981.354399998</v>
      </c>
    </row>
    <row r="8" spans="1:80" x14ac:dyDescent="0.25">
      <c r="A8" s="43" t="s">
        <v>52</v>
      </c>
      <c r="B8" s="18" t="s">
        <v>126</v>
      </c>
      <c r="C8" s="54">
        <f>SUM(26:26)</f>
        <v>48801844.894093603</v>
      </c>
    </row>
    <row r="9" spans="1:80" ht="12" thickBot="1" x14ac:dyDescent="0.3">
      <c r="A9" s="44">
        <v>10.531700000000001</v>
      </c>
      <c r="B9" s="19" t="s">
        <v>64</v>
      </c>
      <c r="C9" s="55">
        <f>C5+C7-C8-C11</f>
        <v>-33839747.787513606</v>
      </c>
    </row>
    <row r="10" spans="1:80" x14ac:dyDescent="0.25">
      <c r="A10" s="99" t="s">
        <v>80</v>
      </c>
      <c r="B10" s="18" t="s">
        <v>23</v>
      </c>
      <c r="C10" s="56">
        <f>C16</f>
        <v>0</v>
      </c>
    </row>
    <row r="11" spans="1:80" x14ac:dyDescent="0.25">
      <c r="A11" s="101" t="s">
        <v>87</v>
      </c>
      <c r="B11" s="18" t="s">
        <v>24</v>
      </c>
      <c r="C11" s="54">
        <f>C26</f>
        <v>18021949.267820001</v>
      </c>
    </row>
    <row r="12" spans="1:80" x14ac:dyDescent="0.25">
      <c r="A12" s="107" t="s">
        <v>88</v>
      </c>
    </row>
    <row r="13" spans="1:80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</row>
    <row r="14" spans="1:80" s="2" customFormat="1" x14ac:dyDescent="0.25">
      <c r="A14" s="64"/>
      <c r="B14" s="65"/>
      <c r="C14" s="58" t="s">
        <v>56</v>
      </c>
      <c r="D14" s="66"/>
      <c r="E14" s="66">
        <v>46168</v>
      </c>
      <c r="F14" s="66">
        <v>46169</v>
      </c>
      <c r="G14" s="66">
        <v>46170</v>
      </c>
      <c r="H14" s="66">
        <v>46171</v>
      </c>
      <c r="I14" s="66">
        <v>46172</v>
      </c>
      <c r="J14" s="66">
        <v>46173</v>
      </c>
      <c r="K14" s="66">
        <v>46174</v>
      </c>
      <c r="L14" s="66">
        <v>46175</v>
      </c>
      <c r="M14" s="66">
        <v>46176</v>
      </c>
      <c r="N14" s="66">
        <v>46177</v>
      </c>
      <c r="O14" s="66">
        <v>46178</v>
      </c>
      <c r="P14" s="66">
        <v>46179</v>
      </c>
      <c r="Q14" s="66">
        <v>46180</v>
      </c>
      <c r="R14" s="66">
        <v>46181</v>
      </c>
      <c r="S14" s="66">
        <v>46182</v>
      </c>
      <c r="T14" s="66">
        <v>46183</v>
      </c>
      <c r="U14" s="66">
        <v>46184</v>
      </c>
      <c r="V14" s="66">
        <v>46185</v>
      </c>
      <c r="W14" s="66">
        <v>46186</v>
      </c>
      <c r="X14" s="66">
        <v>46187</v>
      </c>
      <c r="Y14" s="66">
        <v>46188</v>
      </c>
      <c r="Z14" s="66">
        <v>46189</v>
      </c>
      <c r="AA14" s="66">
        <v>46190</v>
      </c>
      <c r="AB14" s="66">
        <v>46191</v>
      </c>
      <c r="AC14" s="66">
        <v>46192</v>
      </c>
      <c r="AD14" s="66">
        <v>46193</v>
      </c>
      <c r="AE14" s="66">
        <v>46194</v>
      </c>
      <c r="AF14" s="66">
        <v>46195</v>
      </c>
      <c r="AG14" s="66">
        <v>46196</v>
      </c>
      <c r="AH14" s="66">
        <v>46197</v>
      </c>
      <c r="AI14" s="66">
        <v>46198</v>
      </c>
      <c r="AJ14" s="66">
        <v>46199</v>
      </c>
      <c r="AK14" s="66">
        <v>46200</v>
      </c>
      <c r="AL14" s="66">
        <v>46201</v>
      </c>
      <c r="AM14" s="66">
        <v>46202</v>
      </c>
      <c r="AN14" s="66">
        <v>46203</v>
      </c>
      <c r="AO14" s="66">
        <v>46204</v>
      </c>
      <c r="AP14" s="66">
        <v>46205</v>
      </c>
      <c r="AQ14" s="66">
        <v>46206</v>
      </c>
      <c r="AR14" s="66">
        <v>46207</v>
      </c>
      <c r="AS14" s="66">
        <v>46208</v>
      </c>
      <c r="AT14" s="66">
        <v>46209</v>
      </c>
      <c r="AU14" s="66">
        <v>46210</v>
      </c>
      <c r="AV14" s="66">
        <v>46211</v>
      </c>
      <c r="AW14" s="66">
        <v>46212</v>
      </c>
      <c r="AX14" s="66">
        <v>46213</v>
      </c>
      <c r="AY14" s="66">
        <v>46214</v>
      </c>
      <c r="AZ14" s="66">
        <v>46215</v>
      </c>
      <c r="BA14" s="66">
        <v>46216</v>
      </c>
      <c r="BB14" s="66">
        <v>46217</v>
      </c>
      <c r="BC14" s="66">
        <v>46218</v>
      </c>
      <c r="BD14" s="66">
        <v>46219</v>
      </c>
      <c r="BE14" s="66">
        <v>46220</v>
      </c>
      <c r="BF14" s="66">
        <v>46221</v>
      </c>
      <c r="BG14" s="66">
        <v>46222</v>
      </c>
      <c r="BH14" s="66">
        <v>46223</v>
      </c>
      <c r="BI14" s="66">
        <v>46224</v>
      </c>
      <c r="BJ14" s="66">
        <v>46225</v>
      </c>
      <c r="BK14" s="66">
        <v>46226</v>
      </c>
      <c r="BL14" s="66">
        <v>46227</v>
      </c>
      <c r="BM14" s="66">
        <v>46228</v>
      </c>
      <c r="BN14" s="66">
        <v>46229</v>
      </c>
      <c r="BO14" s="66">
        <v>46230</v>
      </c>
      <c r="BP14" s="66">
        <v>46231</v>
      </c>
      <c r="BQ14" s="66">
        <v>46232</v>
      </c>
      <c r="BR14" s="66">
        <v>46233</v>
      </c>
      <c r="BS14" s="66">
        <v>46234</v>
      </c>
      <c r="BT14" s="66">
        <v>46235</v>
      </c>
      <c r="BU14" s="66">
        <v>46236</v>
      </c>
      <c r="BV14" s="66">
        <v>46237</v>
      </c>
      <c r="BW14" s="66">
        <v>46238</v>
      </c>
      <c r="BX14" s="66">
        <v>46239</v>
      </c>
      <c r="BY14" s="66">
        <v>46240</v>
      </c>
      <c r="BZ14" s="66">
        <v>46241</v>
      </c>
      <c r="CA14" s="66">
        <v>46242</v>
      </c>
      <c r="CB14" s="66">
        <v>46243</v>
      </c>
    </row>
    <row r="15" spans="1:80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</row>
    <row r="16" spans="1:80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O16" si="0">SUM(E17:E25)</f>
        <v>0</v>
      </c>
      <c r="F16" s="29">
        <f t="shared" si="0"/>
        <v>0</v>
      </c>
      <c r="G16" s="29">
        <f t="shared" si="0"/>
        <v>2728955.1532000001</v>
      </c>
      <c r="H16" s="29">
        <f t="shared" si="0"/>
        <v>0</v>
      </c>
      <c r="I16" s="29">
        <f t="shared" si="0"/>
        <v>0</v>
      </c>
      <c r="J16" s="29">
        <f t="shared" si="0"/>
        <v>0</v>
      </c>
      <c r="K16" s="29">
        <f t="shared" si="0"/>
        <v>3000000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4990725.5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135">
        <f t="shared" si="0"/>
        <v>0</v>
      </c>
      <c r="W16" s="135">
        <f t="shared" si="0"/>
        <v>0</v>
      </c>
      <c r="X16" s="135">
        <f t="shared" si="0"/>
        <v>0</v>
      </c>
      <c r="Y16" s="29">
        <f t="shared" si="0"/>
        <v>2000000</v>
      </c>
      <c r="Z16" s="29">
        <f t="shared" si="0"/>
        <v>0</v>
      </c>
      <c r="AA16" s="29">
        <f t="shared" si="0"/>
        <v>0</v>
      </c>
      <c r="AB16" s="29">
        <f t="shared" si="0"/>
        <v>8210310.5411999999</v>
      </c>
      <c r="AC16" s="29">
        <f t="shared" si="0"/>
        <v>0</v>
      </c>
      <c r="AD16" s="135">
        <f t="shared" si="0"/>
        <v>0</v>
      </c>
      <c r="AE16" s="135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29">
        <f t="shared" si="0"/>
        <v>0</v>
      </c>
      <c r="AL16" s="135">
        <f t="shared" si="0"/>
        <v>0</v>
      </c>
      <c r="AM16" s="135">
        <f t="shared" si="0"/>
        <v>0</v>
      </c>
      <c r="AN16" s="29">
        <f t="shared" si="0"/>
        <v>3041995.0799999996</v>
      </c>
      <c r="AO16" s="29">
        <f t="shared" si="0"/>
        <v>0</v>
      </c>
      <c r="AP16" s="29">
        <f t="shared" si="0"/>
        <v>0</v>
      </c>
      <c r="AQ16" s="29">
        <f t="shared" si="0"/>
        <v>0</v>
      </c>
      <c r="AR16" s="135">
        <f t="shared" si="0"/>
        <v>0</v>
      </c>
      <c r="AS16" s="135">
        <f t="shared" si="0"/>
        <v>0</v>
      </c>
      <c r="AT16" s="29">
        <f t="shared" si="0"/>
        <v>0</v>
      </c>
      <c r="AU16" s="29">
        <f t="shared" si="0"/>
        <v>3041995.0799999996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135">
        <f t="shared" si="0"/>
        <v>0</v>
      </c>
      <c r="AZ16" s="135">
        <f t="shared" si="0"/>
        <v>0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135">
        <f t="shared" si="0"/>
        <v>0</v>
      </c>
      <c r="BG16" s="135">
        <f t="shared" si="0"/>
        <v>0</v>
      </c>
      <c r="BH16" s="29">
        <f t="shared" si="0"/>
        <v>0</v>
      </c>
      <c r="BI16" s="29">
        <f t="shared" si="0"/>
        <v>0</v>
      </c>
      <c r="BJ16" s="29">
        <f t="shared" si="0"/>
        <v>0</v>
      </c>
      <c r="BK16" s="29">
        <f t="shared" si="0"/>
        <v>0</v>
      </c>
      <c r="BL16" s="29">
        <f t="shared" si="0"/>
        <v>0</v>
      </c>
      <c r="BM16" s="135">
        <f t="shared" si="0"/>
        <v>0</v>
      </c>
      <c r="BN16" s="135">
        <f t="shared" si="0"/>
        <v>0</v>
      </c>
      <c r="BO16" s="29">
        <f t="shared" si="0"/>
        <v>0</v>
      </c>
      <c r="BP16" s="29">
        <f t="shared" ref="BP16:CB16" si="1">SUM(BP17:BP25)</f>
        <v>0</v>
      </c>
      <c r="BQ16" s="29">
        <f t="shared" si="1"/>
        <v>0</v>
      </c>
      <c r="BR16" s="29">
        <f t="shared" si="1"/>
        <v>0</v>
      </c>
      <c r="BS16" s="29">
        <f t="shared" si="1"/>
        <v>0</v>
      </c>
      <c r="BT16" s="135">
        <f t="shared" si="1"/>
        <v>0</v>
      </c>
      <c r="BU16" s="135">
        <f t="shared" si="1"/>
        <v>0</v>
      </c>
      <c r="BV16" s="29">
        <f t="shared" si="1"/>
        <v>0</v>
      </c>
      <c r="BW16" s="29">
        <f t="shared" si="1"/>
        <v>0</v>
      </c>
      <c r="BX16" s="29">
        <f t="shared" si="1"/>
        <v>0</v>
      </c>
      <c r="BY16" s="29">
        <f t="shared" si="1"/>
        <v>0</v>
      </c>
      <c r="BZ16" s="29">
        <f t="shared" si="1"/>
        <v>0</v>
      </c>
      <c r="CA16" s="29">
        <f t="shared" si="1"/>
        <v>0</v>
      </c>
      <c r="CB16" s="29">
        <f t="shared" si="1"/>
        <v>0</v>
      </c>
    </row>
    <row r="17" spans="1:80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</row>
    <row r="18" spans="1:80" s="80" customFormat="1" x14ac:dyDescent="0.25">
      <c r="A18" s="40" t="s">
        <v>9</v>
      </c>
      <c r="B18" s="21"/>
      <c r="C18" s="59"/>
      <c r="D18" s="30"/>
      <c r="E18" s="30"/>
      <c r="F18" s="30"/>
      <c r="G18" s="31">
        <f>5300000/2</f>
        <v>2650000</v>
      </c>
      <c r="H18" s="30"/>
      <c r="I18" s="30"/>
      <c r="J18" s="30"/>
      <c r="K18" s="80">
        <v>3000000</v>
      </c>
      <c r="L18" s="30"/>
      <c r="M18" s="30"/>
      <c r="N18" s="30"/>
      <c r="O18" s="30"/>
      <c r="P18" s="30"/>
      <c r="Q18" s="30"/>
      <c r="R18" s="30">
        <v>2000000</v>
      </c>
      <c r="S18" s="30"/>
      <c r="T18" s="30"/>
      <c r="U18" s="30"/>
      <c r="V18" s="30"/>
      <c r="W18" s="30"/>
      <c r="X18" s="30"/>
      <c r="Y18" s="30">
        <v>2000000</v>
      </c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</row>
    <row r="19" spans="1:80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</row>
    <row r="20" spans="1:80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</row>
    <row r="21" spans="1:80" s="80" customFormat="1" x14ac:dyDescent="0.25">
      <c r="A21" s="40" t="s">
        <v>123</v>
      </c>
      <c r="B21" s="21"/>
      <c r="C21" s="32"/>
      <c r="D21" s="30"/>
      <c r="E21" s="30"/>
      <c r="F21" s="30"/>
      <c r="G21" s="30">
        <f>924*A3</f>
        <v>78955.153200000001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</row>
    <row r="22" spans="1:80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</row>
    <row r="23" spans="1:80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>
        <f>96084*A3</f>
        <v>8210310.5411999999</v>
      </c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</row>
    <row r="24" spans="1:80" s="80" customFormat="1" x14ac:dyDescent="0.25">
      <c r="A24" s="40" t="s">
        <v>13</v>
      </c>
      <c r="B24" s="21"/>
      <c r="C24" s="59"/>
      <c r="D24" s="30"/>
      <c r="E24" s="30"/>
      <c r="F24" s="30"/>
      <c r="G24" s="30"/>
      <c r="I24" s="30"/>
      <c r="J24" s="30"/>
      <c r="K24" s="30"/>
      <c r="L24" s="30"/>
      <c r="M24" s="30"/>
      <c r="N24" s="30"/>
      <c r="O24" s="30"/>
      <c r="P24" s="30"/>
      <c r="Q24" s="30"/>
      <c r="R24" s="30">
        <f>35000*A3</f>
        <v>2990725.5</v>
      </c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N24" s="30">
        <f>35600*A3</f>
        <v>3041995.0799999996</v>
      </c>
      <c r="AO24" s="30"/>
      <c r="AP24" s="30"/>
      <c r="AQ24" s="30"/>
      <c r="AR24" s="30"/>
      <c r="AS24" s="30"/>
      <c r="AT24" s="30"/>
      <c r="AU24" s="30">
        <f>35600*A3</f>
        <v>3041995.0799999996</v>
      </c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</row>
    <row r="25" spans="1:80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</row>
    <row r="26" spans="1:80" s="4" customFormat="1" x14ac:dyDescent="0.2">
      <c r="A26" s="41" t="s">
        <v>1</v>
      </c>
      <c r="B26" s="22"/>
      <c r="C26" s="34">
        <f>SUM(C28:C77)</f>
        <v>18021949.267820001</v>
      </c>
      <c r="D26" s="34"/>
      <c r="E26" s="34">
        <f t="shared" ref="E26:BO26" si="2">SUM(E27:E78)</f>
        <v>396946</v>
      </c>
      <c r="F26" s="34">
        <f t="shared" si="2"/>
        <v>367654.88836666674</v>
      </c>
      <c r="G26" s="34">
        <f t="shared" si="2"/>
        <v>3532504.666666667</v>
      </c>
      <c r="H26" s="34">
        <f t="shared" si="2"/>
        <v>2983253.5220779222</v>
      </c>
      <c r="I26" s="34">
        <f t="shared" si="2"/>
        <v>0</v>
      </c>
      <c r="J26" s="34">
        <f t="shared" si="2"/>
        <v>0</v>
      </c>
      <c r="K26" s="34">
        <f t="shared" si="2"/>
        <v>3012743.6660290039</v>
      </c>
      <c r="L26" s="34">
        <f t="shared" si="2"/>
        <v>793630.50503333344</v>
      </c>
      <c r="M26" s="34">
        <f t="shared" si="2"/>
        <v>589014.46666666656</v>
      </c>
      <c r="N26" s="34">
        <f t="shared" si="2"/>
        <v>184439.65503333334</v>
      </c>
      <c r="O26" s="34">
        <f t="shared" si="2"/>
        <v>963382.11484848487</v>
      </c>
      <c r="P26" s="34">
        <f t="shared" si="2"/>
        <v>0</v>
      </c>
      <c r="Q26" s="34">
        <f t="shared" si="2"/>
        <v>0</v>
      </c>
      <c r="R26" s="34">
        <f t="shared" si="2"/>
        <v>1228851.3910018182</v>
      </c>
      <c r="S26" s="34">
        <f t="shared" si="2"/>
        <v>585953.71600181819</v>
      </c>
      <c r="T26" s="34">
        <f t="shared" si="2"/>
        <v>1224881.5160018182</v>
      </c>
      <c r="U26" s="34">
        <f t="shared" si="2"/>
        <v>1497373.716001818</v>
      </c>
      <c r="V26" s="34">
        <f t="shared" si="2"/>
        <v>0</v>
      </c>
      <c r="W26" s="34">
        <f t="shared" si="2"/>
        <v>0</v>
      </c>
      <c r="X26" s="34">
        <f t="shared" si="2"/>
        <v>0</v>
      </c>
      <c r="Y26" s="34">
        <f t="shared" si="2"/>
        <v>1157283.4108818183</v>
      </c>
      <c r="Z26" s="34">
        <f t="shared" si="2"/>
        <v>377510.11088181823</v>
      </c>
      <c r="AA26" s="34">
        <f t="shared" si="2"/>
        <v>507563.8308818182</v>
      </c>
      <c r="AB26" s="34">
        <f t="shared" si="2"/>
        <v>1877510.1108818182</v>
      </c>
      <c r="AC26" s="34">
        <f t="shared" si="2"/>
        <v>1135195.2117636362</v>
      </c>
      <c r="AD26" s="34">
        <f t="shared" si="2"/>
        <v>0</v>
      </c>
      <c r="AE26" s="34">
        <f t="shared" si="2"/>
        <v>0</v>
      </c>
      <c r="AF26" s="34">
        <f t="shared" si="2"/>
        <v>443511.88821333332</v>
      </c>
      <c r="AG26" s="34">
        <f t="shared" si="2"/>
        <v>199192.55488000001</v>
      </c>
      <c r="AH26" s="34">
        <f t="shared" si="2"/>
        <v>188678.88821333335</v>
      </c>
      <c r="AI26" s="34">
        <f t="shared" si="2"/>
        <v>132345.55488000001</v>
      </c>
      <c r="AJ26" s="34">
        <f t="shared" si="2"/>
        <v>240301.88821333335</v>
      </c>
      <c r="AK26" s="34">
        <f t="shared" si="2"/>
        <v>0</v>
      </c>
      <c r="AL26" s="34">
        <f t="shared" si="2"/>
        <v>0</v>
      </c>
      <c r="AM26" s="34">
        <f t="shared" si="2"/>
        <v>315615.55488000001</v>
      </c>
      <c r="AN26" s="34">
        <f t="shared" si="2"/>
        <v>3412249.8882133337</v>
      </c>
      <c r="AO26" s="34">
        <f t="shared" si="2"/>
        <v>183968.55488000001</v>
      </c>
      <c r="AP26" s="34">
        <f t="shared" si="2"/>
        <v>1921031.4548800001</v>
      </c>
      <c r="AQ26" s="34">
        <f t="shared" si="2"/>
        <v>51623</v>
      </c>
      <c r="AR26" s="34">
        <f t="shared" si="2"/>
        <v>0</v>
      </c>
      <c r="AS26" s="34">
        <f t="shared" si="2"/>
        <v>0</v>
      </c>
      <c r="AT26" s="34">
        <f t="shared" si="2"/>
        <v>51623</v>
      </c>
      <c r="AU26" s="34">
        <f t="shared" si="2"/>
        <v>51623</v>
      </c>
      <c r="AV26" s="34">
        <f t="shared" si="2"/>
        <v>51623</v>
      </c>
      <c r="AW26" s="34">
        <f t="shared" si="2"/>
        <v>51623</v>
      </c>
      <c r="AX26" s="34">
        <f t="shared" si="2"/>
        <v>51623</v>
      </c>
      <c r="AY26" s="34">
        <f t="shared" si="2"/>
        <v>0</v>
      </c>
      <c r="AZ26" s="34">
        <f t="shared" si="2"/>
        <v>0</v>
      </c>
      <c r="BA26" s="34">
        <f t="shared" si="2"/>
        <v>271506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si="2"/>
        <v>0</v>
      </c>
      <c r="BO26" s="34">
        <f t="shared" si="2"/>
        <v>0</v>
      </c>
      <c r="BP26" s="34">
        <f t="shared" ref="BP26:CB26" si="3">SUM(BP27:BP78)</f>
        <v>0</v>
      </c>
      <c r="BQ26" s="34">
        <f t="shared" si="3"/>
        <v>0</v>
      </c>
      <c r="BR26" s="34">
        <f t="shared" si="3"/>
        <v>0</v>
      </c>
      <c r="BS26" s="34">
        <f t="shared" si="3"/>
        <v>0</v>
      </c>
      <c r="BT26" s="34">
        <f t="shared" si="3"/>
        <v>0</v>
      </c>
      <c r="BU26" s="34">
        <f t="shared" si="3"/>
        <v>0</v>
      </c>
      <c r="BV26" s="34">
        <f t="shared" si="3"/>
        <v>746062.9</v>
      </c>
      <c r="BW26" s="34">
        <f t="shared" si="3"/>
        <v>0</v>
      </c>
      <c r="BX26" s="34">
        <f t="shared" si="3"/>
        <v>0</v>
      </c>
      <c r="BY26" s="34">
        <f t="shared" si="3"/>
        <v>0</v>
      </c>
      <c r="BZ26" s="34">
        <f t="shared" si="3"/>
        <v>0</v>
      </c>
      <c r="CA26" s="34">
        <f t="shared" si="3"/>
        <v>0</v>
      </c>
      <c r="CB26" s="34">
        <f t="shared" si="3"/>
        <v>0</v>
      </c>
    </row>
    <row r="27" spans="1:80" x14ac:dyDescent="0.25">
      <c r="A27" s="40"/>
      <c r="B27" s="21"/>
      <c r="C27" s="59"/>
      <c r="D27" s="31"/>
      <c r="E27" s="31"/>
      <c r="F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</row>
    <row r="28" spans="1:80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</row>
    <row r="29" spans="1:80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</row>
    <row r="30" spans="1:80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>
        <f>8399365/3</f>
        <v>2799788.3333333335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>
        <f>8399365/3</f>
        <v>2799788.3333333335</v>
      </c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</row>
    <row r="31" spans="1:80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90">
        <f>291375+137118</f>
        <v>428493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90">
        <f>291375+137118</f>
        <v>428493</v>
      </c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</row>
    <row r="32" spans="1:80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/>
      <c r="I32" s="24"/>
      <c r="J32" s="24"/>
      <c r="K32" s="24"/>
      <c r="L32" s="24">
        <v>400000</v>
      </c>
      <c r="M32" s="24"/>
      <c r="N32" s="24"/>
      <c r="O32" s="24"/>
      <c r="P32" s="24"/>
      <c r="Q32" s="24"/>
      <c r="R32" s="24"/>
      <c r="S32" s="24"/>
      <c r="T32" s="24">
        <v>350000</v>
      </c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</row>
    <row r="33" spans="1:80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W33" s="24"/>
      <c r="X33" s="24"/>
      <c r="Y33" s="24">
        <v>271506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>
        <v>271506</v>
      </c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</row>
    <row r="34" spans="1:80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</row>
    <row r="35" spans="1:80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>
        <v>100113.9</v>
      </c>
      <c r="S35" s="24"/>
      <c r="T35" s="24"/>
      <c r="U35" s="24">
        <v>100000</v>
      </c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>
        <v>200113.9</v>
      </c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>
        <v>200113.9</v>
      </c>
      <c r="BW35" s="24"/>
      <c r="BX35" s="24"/>
      <c r="BY35" s="24"/>
      <c r="BZ35" s="24"/>
      <c r="CA35" s="24"/>
      <c r="CB35" s="24"/>
    </row>
    <row r="36" spans="1:80" s="1" customFormat="1" x14ac:dyDescent="0.2">
      <c r="A36" s="36" t="s">
        <v>53</v>
      </c>
      <c r="B36" s="23"/>
      <c r="C36" s="60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>
        <f>545949/6</f>
        <v>90991.5</v>
      </c>
      <c r="P36" s="24"/>
      <c r="Q36" s="24"/>
      <c r="R36" s="24">
        <f t="shared" ref="R36:Y36" si="4">545949/6</f>
        <v>90991.5</v>
      </c>
      <c r="S36" s="24">
        <f t="shared" si="4"/>
        <v>90991.5</v>
      </c>
      <c r="T36" s="24">
        <f t="shared" si="4"/>
        <v>90991.5</v>
      </c>
      <c r="U36" s="24">
        <f t="shared" si="4"/>
        <v>90991.5</v>
      </c>
      <c r="W36" s="24"/>
      <c r="X36" s="24"/>
      <c r="Y36" s="24">
        <f t="shared" si="4"/>
        <v>90991.5</v>
      </c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>
        <v>545949</v>
      </c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>
        <v>545949</v>
      </c>
      <c r="BW36" s="24"/>
      <c r="BX36" s="24"/>
      <c r="BY36" s="24"/>
      <c r="BZ36" s="24"/>
      <c r="CA36" s="24"/>
      <c r="CB36" s="24"/>
    </row>
    <row r="37" spans="1:80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</row>
    <row r="38" spans="1:80" s="71" customFormat="1" x14ac:dyDescent="0.2">
      <c r="A38" s="69" t="s">
        <v>14</v>
      </c>
      <c r="B38" s="25" t="s">
        <v>30</v>
      </c>
      <c r="C38" s="70"/>
      <c r="D38" s="24"/>
      <c r="F38" s="108">
        <f t="shared" ref="F38:R38" si="5">170889/5</f>
        <v>34177.800000000003</v>
      </c>
      <c r="H38" s="108">
        <f>170889/5-823</f>
        <v>33354.800000000003</v>
      </c>
      <c r="I38" s="24"/>
      <c r="J38" s="24"/>
      <c r="K38" s="108">
        <f t="shared" ref="K38:Y38" si="6">191379/5</f>
        <v>38275.800000000003</v>
      </c>
      <c r="L38" s="108">
        <f t="shared" si="6"/>
        <v>38275.800000000003</v>
      </c>
      <c r="M38" s="108">
        <f t="shared" si="6"/>
        <v>38275.800000000003</v>
      </c>
      <c r="O38" s="108">
        <f t="shared" si="6"/>
        <v>38275.800000000003</v>
      </c>
      <c r="P38" s="24"/>
      <c r="Q38" s="24"/>
      <c r="R38" s="108">
        <f t="shared" si="5"/>
        <v>34177.800000000003</v>
      </c>
      <c r="S38" s="24"/>
      <c r="T38" s="108">
        <f>170889/5</f>
        <v>34177.800000000003</v>
      </c>
      <c r="U38" s="24"/>
      <c r="V38" s="24"/>
      <c r="W38" s="24"/>
      <c r="X38" s="24"/>
      <c r="Y38" s="108">
        <f t="shared" si="6"/>
        <v>38275.800000000003</v>
      </c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</row>
    <row r="39" spans="1:80" s="71" customFormat="1" x14ac:dyDescent="0.2">
      <c r="A39" s="69" t="s">
        <v>115</v>
      </c>
      <c r="B39" s="25" t="s">
        <v>116</v>
      </c>
      <c r="C39" s="70"/>
      <c r="D39" s="24"/>
      <c r="E39" s="24"/>
      <c r="F39" s="100">
        <f t="shared" ref="F39" si="7">156160/6</f>
        <v>26026.666666666668</v>
      </c>
      <c r="G39" s="24"/>
      <c r="I39" s="24"/>
      <c r="J39" s="24"/>
      <c r="K39" s="24"/>
      <c r="L39" s="108">
        <f>156160/6</f>
        <v>26026.666666666668</v>
      </c>
      <c r="M39" s="24"/>
      <c r="N39" s="24"/>
      <c r="O39" s="108">
        <f>156160/6+1026.67</f>
        <v>27053.33666666667</v>
      </c>
      <c r="P39" s="24"/>
      <c r="Q39" s="24"/>
      <c r="R39" s="24"/>
      <c r="S39" s="24"/>
      <c r="T39" s="24"/>
      <c r="U39" s="100">
        <v>312320</v>
      </c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</row>
    <row r="40" spans="1:80" s="71" customFormat="1" x14ac:dyDescent="0.2">
      <c r="A40" s="69" t="s">
        <v>117</v>
      </c>
      <c r="B40" s="25" t="s">
        <v>119</v>
      </c>
      <c r="C40" s="70">
        <v>691000</v>
      </c>
      <c r="D40" s="24"/>
      <c r="E40" s="24"/>
      <c r="F40" s="24"/>
      <c r="G40" s="24"/>
      <c r="H40" s="100">
        <v>91000</v>
      </c>
      <c r="I40" s="24"/>
      <c r="J40" s="24"/>
      <c r="K40" s="108">
        <v>100000</v>
      </c>
      <c r="L40" s="24"/>
      <c r="M40" s="108">
        <v>100000</v>
      </c>
      <c r="N40" s="24"/>
      <c r="O40" s="108">
        <v>100000</v>
      </c>
      <c r="P40" s="24"/>
      <c r="Q40" s="24"/>
      <c r="R40" s="24"/>
      <c r="S40" s="108">
        <v>100000</v>
      </c>
      <c r="T40" s="24"/>
      <c r="U40" s="108">
        <v>100000</v>
      </c>
      <c r="W40" s="24"/>
      <c r="X40" s="24"/>
      <c r="Y40" s="24"/>
      <c r="Z40" s="24"/>
      <c r="AA40" s="24"/>
      <c r="AB40" s="24"/>
      <c r="AC40" s="108">
        <v>100000</v>
      </c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</row>
    <row r="41" spans="1:80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100">
        <v>235200</v>
      </c>
      <c r="P41" s="24"/>
      <c r="Q41" s="24"/>
      <c r="R41" s="24"/>
      <c r="S41" s="24"/>
      <c r="T41" s="24"/>
      <c r="U41" s="100">
        <v>510600</v>
      </c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</row>
    <row r="42" spans="1:80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</f>
        <v>370000</v>
      </c>
      <c r="D42" s="24"/>
      <c r="E42" s="129">
        <v>25000</v>
      </c>
      <c r="F42" s="24"/>
      <c r="G42" s="24"/>
      <c r="H42" s="129">
        <v>40000</v>
      </c>
      <c r="I42" s="24"/>
      <c r="J42" s="24"/>
      <c r="K42" s="129">
        <v>95000</v>
      </c>
      <c r="L42" s="24"/>
      <c r="M42" s="129">
        <v>50000</v>
      </c>
      <c r="N42" s="24"/>
      <c r="O42" s="129">
        <v>50000</v>
      </c>
      <c r="P42" s="24"/>
      <c r="Q42" s="24"/>
      <c r="R42" s="129">
        <v>50000</v>
      </c>
      <c r="S42" s="24"/>
      <c r="T42" s="129">
        <v>25000</v>
      </c>
      <c r="U42" s="24"/>
      <c r="W42" s="24"/>
      <c r="X42" s="24"/>
      <c r="Y42" s="24"/>
      <c r="Z42" s="24"/>
      <c r="AA42" s="24"/>
      <c r="AB42" s="24"/>
      <c r="AC42" s="129">
        <v>35000</v>
      </c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</row>
    <row r="43" spans="1:80" s="71" customFormat="1" x14ac:dyDescent="0.2">
      <c r="A43" s="69" t="s">
        <v>15</v>
      </c>
      <c r="B43" s="25" t="s">
        <v>31</v>
      </c>
      <c r="C43" s="70">
        <f>2480914-516230-48700-50000-50000</f>
        <v>1815984</v>
      </c>
      <c r="D43" s="24"/>
      <c r="E43" s="108">
        <v>50000</v>
      </c>
      <c r="F43" s="24"/>
      <c r="G43" s="140">
        <f t="shared" ref="G43" si="8">195080/4</f>
        <v>48770</v>
      </c>
      <c r="H43" s="108">
        <f>(45000+65224)/2</f>
        <v>55112</v>
      </c>
      <c r="I43" s="24"/>
      <c r="J43" s="24"/>
      <c r="K43" s="108">
        <f>(515224/4)/3</f>
        <v>42935.333333333336</v>
      </c>
      <c r="L43" s="108">
        <f t="shared" ref="L43:M43" si="9">(515224/4)/3</f>
        <v>42935.333333333336</v>
      </c>
      <c r="M43" s="108">
        <f t="shared" si="9"/>
        <v>42935.333333333336</v>
      </c>
      <c r="O43" s="140">
        <f>195080/4+5112</f>
        <v>53882</v>
      </c>
      <c r="P43" s="24"/>
      <c r="Q43" s="24"/>
      <c r="R43" s="24"/>
      <c r="S43" s="108">
        <f>516230/10</f>
        <v>51623</v>
      </c>
      <c r="T43" s="108">
        <f t="shared" ref="T43:U43" si="10">516230/10</f>
        <v>51623</v>
      </c>
      <c r="U43" s="108">
        <f t="shared" si="10"/>
        <v>51623</v>
      </c>
      <c r="W43" s="24"/>
      <c r="X43" s="24"/>
      <c r="Y43" s="108">
        <f>516230/10</f>
        <v>51623</v>
      </c>
      <c r="Z43" s="108">
        <f t="shared" ref="Z43:AB43" si="11">516230/10</f>
        <v>51623</v>
      </c>
      <c r="AA43" s="108">
        <f t="shared" si="11"/>
        <v>51623</v>
      </c>
      <c r="AB43" s="108">
        <f t="shared" si="11"/>
        <v>51623</v>
      </c>
      <c r="AC43" s="108">
        <f>516230/10</f>
        <v>51623</v>
      </c>
      <c r="AD43" s="24"/>
      <c r="AE43" s="24"/>
      <c r="AF43" s="108">
        <f>516230/10</f>
        <v>51623</v>
      </c>
      <c r="AG43" s="108">
        <f>516230/10+15224</f>
        <v>66847</v>
      </c>
      <c r="AH43" s="24"/>
      <c r="AI43" s="24"/>
      <c r="AJ43" s="108">
        <f>516230/10</f>
        <v>51623</v>
      </c>
      <c r="AK43" s="24"/>
      <c r="AL43" s="24"/>
      <c r="AM43" s="98">
        <f>515224/4+54464</f>
        <v>183270</v>
      </c>
      <c r="AN43" s="108">
        <f t="shared" ref="AN43:AQ43" si="12">516230/10</f>
        <v>51623</v>
      </c>
      <c r="AO43" s="108">
        <f t="shared" si="12"/>
        <v>51623</v>
      </c>
      <c r="AP43" s="108">
        <f t="shared" si="12"/>
        <v>51623</v>
      </c>
      <c r="AQ43" s="108">
        <f t="shared" si="12"/>
        <v>51623</v>
      </c>
      <c r="AR43" s="24"/>
      <c r="AS43" s="24"/>
      <c r="AT43" s="108">
        <f t="shared" ref="AT43:AX43" si="13">516230/10</f>
        <v>51623</v>
      </c>
      <c r="AU43" s="108">
        <f t="shared" si="13"/>
        <v>51623</v>
      </c>
      <c r="AV43" s="108">
        <f t="shared" si="13"/>
        <v>51623</v>
      </c>
      <c r="AW43" s="108">
        <f t="shared" si="13"/>
        <v>51623</v>
      </c>
      <c r="AX43" s="108">
        <f t="shared" si="13"/>
        <v>51623</v>
      </c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</row>
    <row r="44" spans="1:80" s="71" customFormat="1" x14ac:dyDescent="0.2">
      <c r="A44" s="69" t="s">
        <v>16</v>
      </c>
      <c r="B44" s="25" t="s">
        <v>32</v>
      </c>
      <c r="C44" s="70">
        <f>449410-99410-50000+15000</f>
        <v>315000</v>
      </c>
      <c r="D44" s="24"/>
      <c r="E44" s="108">
        <v>25000</v>
      </c>
      <c r="G44" s="108">
        <v>29120</v>
      </c>
      <c r="I44" s="24"/>
      <c r="J44" s="24"/>
      <c r="K44" s="108">
        <f>(172350+10000)/5</f>
        <v>36470</v>
      </c>
      <c r="L44" s="108">
        <f t="shared" ref="L44:N44" si="14">(172350+10000)/5</f>
        <v>36470</v>
      </c>
      <c r="M44" s="108">
        <f t="shared" si="14"/>
        <v>36470</v>
      </c>
      <c r="N44" s="108">
        <f t="shared" si="14"/>
        <v>36470</v>
      </c>
      <c r="O44" s="28"/>
      <c r="P44" s="24"/>
      <c r="Q44" s="24"/>
      <c r="R44" s="108">
        <v>50000</v>
      </c>
      <c r="S44" s="24"/>
      <c r="T44" s="108">
        <v>50000</v>
      </c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</row>
    <row r="45" spans="1:80" s="71" customFormat="1" x14ac:dyDescent="0.2">
      <c r="A45" s="69" t="s">
        <v>85</v>
      </c>
      <c r="B45" s="25" t="s">
        <v>47</v>
      </c>
      <c r="C45" s="70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</row>
    <row r="46" spans="1:80" s="71" customFormat="1" x14ac:dyDescent="0.2">
      <c r="A46" s="69" t="s">
        <v>143</v>
      </c>
      <c r="B46" s="25" t="s">
        <v>45</v>
      </c>
      <c r="C46" s="24">
        <f>188496*A9</f>
        <v>1985183.3232000002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8"/>
      <c r="W46" s="24"/>
      <c r="X46" s="24"/>
      <c r="Y46" s="108">
        <f>(188496*$A$9)/15</f>
        <v>132345.55488000001</v>
      </c>
      <c r="Z46" s="108">
        <f t="shared" ref="Z46:AB46" si="15">(188496*$A$9)/15</f>
        <v>132345.55488000001</v>
      </c>
      <c r="AA46" s="108">
        <f t="shared" si="15"/>
        <v>132345.55488000001</v>
      </c>
      <c r="AB46" s="108">
        <f t="shared" si="15"/>
        <v>132345.55488000001</v>
      </c>
      <c r="AC46" s="108">
        <f>((188496*$A$9)/15)*2</f>
        <v>264691.10976000002</v>
      </c>
      <c r="AD46" s="24"/>
      <c r="AE46" s="24"/>
      <c r="AF46" s="108">
        <f>(188496*$A$9)/15</f>
        <v>132345.55488000001</v>
      </c>
      <c r="AG46" s="108">
        <f t="shared" ref="AG46:AJ46" si="16">(188496*$A$9)/15</f>
        <v>132345.55488000001</v>
      </c>
      <c r="AH46" s="108">
        <f t="shared" si="16"/>
        <v>132345.55488000001</v>
      </c>
      <c r="AI46" s="108">
        <f t="shared" si="16"/>
        <v>132345.55488000001</v>
      </c>
      <c r="AJ46" s="108">
        <f t="shared" si="16"/>
        <v>132345.55488000001</v>
      </c>
      <c r="AK46" s="24"/>
      <c r="AL46" s="24"/>
      <c r="AM46" s="108">
        <f>(188496*$A$9)/15</f>
        <v>132345.55488000001</v>
      </c>
      <c r="AN46" s="108">
        <f t="shared" ref="AN46:AP46" si="17">(188496*$A$9)/15</f>
        <v>132345.55488000001</v>
      </c>
      <c r="AO46" s="108">
        <f t="shared" si="17"/>
        <v>132345.55488000001</v>
      </c>
      <c r="AP46" s="108">
        <f t="shared" si="17"/>
        <v>132345.55488000001</v>
      </c>
      <c r="AQ46" s="28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</row>
    <row r="47" spans="1:80" s="71" customFormat="1" x14ac:dyDescent="0.2">
      <c r="A47" s="69" t="s">
        <v>120</v>
      </c>
      <c r="B47" s="25" t="s">
        <v>121</v>
      </c>
      <c r="C47" s="120">
        <f>507000+1014000</f>
        <v>1521000</v>
      </c>
      <c r="D47" s="24"/>
      <c r="E47" s="108">
        <v>47000</v>
      </c>
      <c r="G47" s="108">
        <f t="shared" ref="G47:AJ47" si="18">507000/9</f>
        <v>56333.333333333336</v>
      </c>
      <c r="H47" s="24"/>
      <c r="I47" s="24"/>
      <c r="J47" s="24"/>
      <c r="K47" s="108">
        <f t="shared" ref="K47:N47" si="19">507000/9</f>
        <v>56333.333333333336</v>
      </c>
      <c r="L47" s="108">
        <f t="shared" si="19"/>
        <v>56333.333333333336</v>
      </c>
      <c r="M47" s="108">
        <f t="shared" si="19"/>
        <v>56333.333333333336</v>
      </c>
      <c r="N47" s="108">
        <f t="shared" si="19"/>
        <v>56333.333333333336</v>
      </c>
      <c r="O47" s="108">
        <f>1014000/11</f>
        <v>92181.818181818177</v>
      </c>
      <c r="P47" s="24"/>
      <c r="Q47" s="24"/>
      <c r="R47" s="108">
        <f t="shared" ref="R47:U47" si="20">1014000/11</f>
        <v>92181.818181818177</v>
      </c>
      <c r="S47" s="108">
        <f t="shared" si="20"/>
        <v>92181.818181818177</v>
      </c>
      <c r="T47" s="108">
        <f t="shared" si="20"/>
        <v>92181.818181818177</v>
      </c>
      <c r="U47" s="108">
        <f t="shared" si="20"/>
        <v>92181.818181818177</v>
      </c>
      <c r="V47" s="28"/>
      <c r="W47" s="24"/>
      <c r="X47" s="24"/>
      <c r="Y47" s="108">
        <f t="shared" ref="Y47:AB47" si="21">1014000/11</f>
        <v>92181.818181818177</v>
      </c>
      <c r="Z47" s="108">
        <f t="shared" si="21"/>
        <v>92181.818181818177</v>
      </c>
      <c r="AA47" s="108">
        <f t="shared" si="21"/>
        <v>92181.818181818177</v>
      </c>
      <c r="AB47" s="108">
        <f t="shared" si="21"/>
        <v>92181.818181818177</v>
      </c>
      <c r="AC47" s="108">
        <f>(1014000/11)*2+9333.33</f>
        <v>193696.96636363634</v>
      </c>
      <c r="AD47" s="24"/>
      <c r="AE47" s="24"/>
      <c r="AF47" s="108">
        <f>507000/9</f>
        <v>56333.333333333336</v>
      </c>
      <c r="AG47" s="24"/>
      <c r="AH47" s="108">
        <f t="shared" si="18"/>
        <v>56333.333333333336</v>
      </c>
      <c r="AI47" s="24"/>
      <c r="AJ47" s="108">
        <f t="shared" si="18"/>
        <v>56333.333333333336</v>
      </c>
      <c r="AK47" s="24"/>
      <c r="AL47" s="24"/>
      <c r="AM47" s="24"/>
      <c r="AN47" s="24"/>
      <c r="AO47" s="24"/>
      <c r="AP47" s="100">
        <v>991000</v>
      </c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</row>
    <row r="48" spans="1:80" s="73" customFormat="1" x14ac:dyDescent="0.2">
      <c r="A48" s="69" t="s">
        <v>22</v>
      </c>
      <c r="B48" s="25" t="s">
        <v>48</v>
      </c>
      <c r="C48" s="137">
        <f>52206*A9-9201*A9-8700*A9</f>
        <v>361289.96850000008</v>
      </c>
      <c r="D48" s="72"/>
      <c r="E48" s="72"/>
      <c r="F48" s="160">
        <f>(52206*$A$9)/6</f>
        <v>91636.321700000015</v>
      </c>
      <c r="G48" s="72"/>
      <c r="H48" s="24"/>
      <c r="I48" s="72"/>
      <c r="J48" s="72"/>
      <c r="K48" s="160">
        <f>(52206*$A$9)/6</f>
        <v>91636.321700000015</v>
      </c>
      <c r="L48" s="160">
        <f>(52206*$A$9)/6</f>
        <v>91636.321700000015</v>
      </c>
      <c r="M48" s="72"/>
      <c r="N48" s="160">
        <f>(52206*$A$9)/6</f>
        <v>91636.321700000015</v>
      </c>
      <c r="P48" s="72"/>
      <c r="Q48" s="72"/>
      <c r="R48" s="160">
        <f>(52206*$A$9+2988*$A$6)/10</f>
        <v>76359.737820000009</v>
      </c>
      <c r="S48" s="160">
        <f t="shared" ref="S48:U48" si="22">(52206*$A$9+2988*$A$6)/10</f>
        <v>76359.737820000009</v>
      </c>
      <c r="T48" s="160">
        <f t="shared" si="22"/>
        <v>76359.737820000009</v>
      </c>
      <c r="U48" s="160">
        <f t="shared" si="22"/>
        <v>76359.737820000009</v>
      </c>
      <c r="V48" s="72"/>
      <c r="W48" s="72"/>
      <c r="X48" s="72"/>
      <c r="Y48" s="160">
        <f>(52206*$A$9+2988*$A$6)/10</f>
        <v>76359.737820000009</v>
      </c>
      <c r="Z48" s="160">
        <f t="shared" ref="Z48:AB48" si="23">(52206*$A$9+2988*$A$6)/10</f>
        <v>76359.737820000009</v>
      </c>
      <c r="AA48" s="160">
        <f t="shared" si="23"/>
        <v>76359.737820000009</v>
      </c>
      <c r="AB48" s="160">
        <f t="shared" si="23"/>
        <v>76359.737820000009</v>
      </c>
      <c r="AC48" s="160">
        <f>((52206*$A$9+2988*$A$6)/10)*2</f>
        <v>152719.47564000002</v>
      </c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</row>
    <row r="49" spans="1:80" s="73" customFormat="1" x14ac:dyDescent="0.2">
      <c r="A49" s="69" t="s">
        <v>108</v>
      </c>
      <c r="B49" s="25" t="s">
        <v>109</v>
      </c>
      <c r="C49" s="120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</row>
    <row r="50" spans="1:80" s="71" customFormat="1" x14ac:dyDescent="0.2">
      <c r="A50" s="69" t="s">
        <v>36</v>
      </c>
      <c r="B50" s="25" t="s">
        <v>37</v>
      </c>
      <c r="C50" s="130"/>
      <c r="D50" s="24"/>
      <c r="E50" s="100">
        <f>1000*A6</f>
        <v>71546</v>
      </c>
      <c r="F50" s="28"/>
      <c r="G50" s="28"/>
      <c r="H50" s="24"/>
      <c r="I50" s="24"/>
      <c r="J50" s="24"/>
      <c r="L50" s="24"/>
      <c r="M50" s="24"/>
      <c r="N50" s="24"/>
      <c r="O50" s="24"/>
      <c r="P50" s="24"/>
      <c r="Q50" s="24"/>
      <c r="R50" s="100">
        <f>1037.5*A6</f>
        <v>74228.975000000006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</row>
    <row r="51" spans="1:80" s="71" customFormat="1" x14ac:dyDescent="0.2">
      <c r="A51" s="69" t="s">
        <v>86</v>
      </c>
      <c r="B51" s="25" t="s">
        <v>35</v>
      </c>
      <c r="C51" s="70">
        <f>1700*A6+4050*A6-250*A6-445*A6-600*A6-600*A6-500*A6-300*A6</f>
        <v>218573.03000000009</v>
      </c>
      <c r="D51" s="77"/>
      <c r="E51" s="24"/>
      <c r="F51" s="108">
        <f>850*$A$6</f>
        <v>60814.100000000006</v>
      </c>
      <c r="G51" s="24"/>
      <c r="H51" s="108">
        <f>500*$A$6+300*A6</f>
        <v>57236.800000000003</v>
      </c>
      <c r="I51" s="24"/>
      <c r="J51" s="24"/>
      <c r="K51" s="100">
        <f>490*A6</f>
        <v>35057.54</v>
      </c>
      <c r="L51" s="108">
        <f>900*$A$6+525*A6</f>
        <v>101953.05000000002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</row>
    <row r="52" spans="1:80" s="71" customFormat="1" x14ac:dyDescent="0.2">
      <c r="A52" s="69" t="s">
        <v>29</v>
      </c>
      <c r="B52" s="25" t="s">
        <v>43</v>
      </c>
      <c r="C52" s="70">
        <f>439750-19750-25000-25000-25000</f>
        <v>345000</v>
      </c>
      <c r="D52" s="24"/>
      <c r="E52" s="28"/>
      <c r="F52" s="73"/>
      <c r="G52" s="28"/>
      <c r="I52" s="24"/>
      <c r="J52" s="24"/>
      <c r="K52" s="95">
        <v>50000</v>
      </c>
      <c r="L52" s="24"/>
      <c r="M52" s="95">
        <v>25000</v>
      </c>
      <c r="N52" s="24"/>
      <c r="O52" s="95">
        <v>25000</v>
      </c>
      <c r="P52" s="24"/>
      <c r="Q52" s="24"/>
      <c r="R52" s="95">
        <v>25000</v>
      </c>
      <c r="S52" s="24"/>
      <c r="T52" s="95">
        <f>50000+14750</f>
        <v>64750</v>
      </c>
      <c r="U52" s="24"/>
      <c r="W52" s="24"/>
      <c r="X52" s="24"/>
      <c r="Y52" s="95">
        <v>50000</v>
      </c>
      <c r="Z52" s="95">
        <v>25000</v>
      </c>
      <c r="AB52" s="95">
        <v>25000</v>
      </c>
      <c r="AC52" s="95">
        <v>75000</v>
      </c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</row>
    <row r="53" spans="1:80" s="71" customFormat="1" x14ac:dyDescent="0.2">
      <c r="A53" s="69" t="s">
        <v>141</v>
      </c>
      <c r="B53" s="25" t="s">
        <v>142</v>
      </c>
      <c r="C53" s="7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100">
        <v>55053.72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</row>
    <row r="54" spans="1:80" s="71" customFormat="1" x14ac:dyDescent="0.2">
      <c r="A54" s="69" t="s">
        <v>146</v>
      </c>
      <c r="B54" s="25" t="s">
        <v>147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100">
        <v>90000</v>
      </c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</row>
    <row r="55" spans="1:80" s="71" customFormat="1" x14ac:dyDescent="0.2">
      <c r="A55" s="69" t="s">
        <v>149</v>
      </c>
      <c r="B55" s="25" t="s">
        <v>148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8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</row>
    <row r="56" spans="1:80" s="71" customFormat="1" x14ac:dyDescent="0.2">
      <c r="A56" s="69" t="s">
        <v>124</v>
      </c>
      <c r="B56" s="25" t="s">
        <v>125</v>
      </c>
      <c r="C56" s="70"/>
      <c r="D56" s="24"/>
      <c r="E56" s="24"/>
      <c r="F56" s="24"/>
      <c r="G56" s="24"/>
      <c r="H56" s="24"/>
      <c r="I56" s="24"/>
      <c r="J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100">
        <v>203210</v>
      </c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</row>
    <row r="57" spans="1:80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</row>
    <row r="58" spans="1:80" s="71" customFormat="1" x14ac:dyDescent="0.2">
      <c r="A58" s="69" t="s">
        <v>90</v>
      </c>
      <c r="B58" s="25" t="s">
        <v>91</v>
      </c>
      <c r="C58" s="70">
        <f>912000+1012000-100000-100000-75000-75000-75000-75000</f>
        <v>1424000</v>
      </c>
      <c r="D58" s="77"/>
      <c r="E58" s="129">
        <v>75000</v>
      </c>
      <c r="F58" s="129">
        <v>75000</v>
      </c>
      <c r="G58" s="129">
        <v>75000</v>
      </c>
      <c r="H58" s="129">
        <v>75000</v>
      </c>
      <c r="I58" s="24"/>
      <c r="J58" s="24"/>
      <c r="K58" s="129">
        <v>75000</v>
      </c>
      <c r="L58" s="28"/>
      <c r="M58" s="129">
        <v>75000</v>
      </c>
      <c r="N58" s="28"/>
      <c r="O58" s="129">
        <v>75000</v>
      </c>
      <c r="P58" s="24"/>
      <c r="Q58" s="24"/>
      <c r="R58" s="129">
        <v>75000</v>
      </c>
      <c r="S58" s="129">
        <v>100000</v>
      </c>
      <c r="T58" s="129">
        <v>100000</v>
      </c>
      <c r="U58" s="129">
        <v>100000</v>
      </c>
      <c r="W58" s="24"/>
      <c r="X58" s="24"/>
      <c r="Y58" s="129">
        <v>124000</v>
      </c>
      <c r="Z58" s="24"/>
      <c r="AA58" s="129">
        <f>C58-1424000</f>
        <v>0</v>
      </c>
      <c r="AB58" s="129">
        <v>100000</v>
      </c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</row>
    <row r="59" spans="1:80" s="71" customFormat="1" x14ac:dyDescent="0.2">
      <c r="A59" s="69" t="s">
        <v>144</v>
      </c>
      <c r="B59" s="25" t="s">
        <v>145</v>
      </c>
      <c r="C59" s="70"/>
      <c r="D59" s="77"/>
      <c r="E59" s="28"/>
      <c r="F59" s="28"/>
      <c r="G59" s="28"/>
      <c r="H59" s="158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</row>
    <row r="60" spans="1:80" s="71" customFormat="1" x14ac:dyDescent="0.2">
      <c r="A60" s="69" t="s">
        <v>138</v>
      </c>
      <c r="B60" s="25" t="s">
        <v>136</v>
      </c>
      <c r="C60" s="70"/>
      <c r="D60" s="77"/>
      <c r="E60" s="28"/>
      <c r="F60" s="28"/>
      <c r="G60" s="28"/>
      <c r="H60" s="28"/>
      <c r="I60" s="24"/>
      <c r="J60" s="24"/>
      <c r="K60" s="24"/>
      <c r="L60" s="24"/>
      <c r="M60" s="24"/>
      <c r="N60" s="24"/>
      <c r="O60" s="100">
        <f>(4260*$A$6)/6</f>
        <v>50797.66</v>
      </c>
      <c r="P60" s="24"/>
      <c r="Q60" s="24"/>
      <c r="R60" s="100">
        <f t="shared" ref="R60:AC60" si="24">(4260*$A$6)/6</f>
        <v>50797.66</v>
      </c>
      <c r="S60" s="100">
        <f t="shared" si="24"/>
        <v>50797.66</v>
      </c>
      <c r="T60" s="100">
        <f t="shared" si="24"/>
        <v>50797.66</v>
      </c>
      <c r="U60" s="100">
        <f t="shared" si="24"/>
        <v>50797.66</v>
      </c>
      <c r="W60" s="24"/>
      <c r="X60" s="24"/>
      <c r="Y60" s="24"/>
      <c r="Z60" s="24"/>
      <c r="AA60" s="24"/>
      <c r="AB60" s="24"/>
      <c r="AC60" s="100">
        <f t="shared" si="24"/>
        <v>50797.66</v>
      </c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</row>
    <row r="61" spans="1:80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</row>
    <row r="62" spans="1:80" s="71" customFormat="1" x14ac:dyDescent="0.2">
      <c r="A62" s="151" t="s">
        <v>139</v>
      </c>
      <c r="B62" s="152" t="s">
        <v>114</v>
      </c>
      <c r="C62" s="70">
        <f>1732500-693000</f>
        <v>1039500</v>
      </c>
      <c r="D62" s="77"/>
      <c r="E62" s="28"/>
      <c r="F62" s="28"/>
      <c r="G62" s="24"/>
      <c r="H62" s="28"/>
      <c r="I62" s="24"/>
      <c r="J62" s="24"/>
      <c r="K62" s="100">
        <v>100000</v>
      </c>
      <c r="L62" s="28"/>
      <c r="M62" s="100">
        <v>100000</v>
      </c>
      <c r="N62" s="24"/>
      <c r="O62" s="100">
        <v>100000</v>
      </c>
      <c r="P62" s="24"/>
      <c r="Q62" s="24"/>
      <c r="R62" s="100">
        <v>100000</v>
      </c>
      <c r="S62" s="28"/>
      <c r="T62" s="100">
        <v>239000</v>
      </c>
      <c r="U62" s="24"/>
      <c r="V62" s="28"/>
      <c r="W62" s="24"/>
      <c r="X62" s="24"/>
      <c r="Y62" s="100">
        <v>100000</v>
      </c>
      <c r="Z62" s="28"/>
      <c r="AA62" s="100">
        <v>100000</v>
      </c>
      <c r="AB62" s="24"/>
      <c r="AC62" s="100">
        <v>200000</v>
      </c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</row>
    <row r="63" spans="1:80" s="71" customFormat="1" x14ac:dyDescent="0.2">
      <c r="A63" s="69" t="s">
        <v>34</v>
      </c>
      <c r="B63" s="25" t="s">
        <v>45</v>
      </c>
      <c r="C63" s="70">
        <f>1014000-100000-100000+400-50000-25000-25000-25000-50000-53800-85600-75000-25000-80000</f>
        <v>320000</v>
      </c>
      <c r="D63" s="77"/>
      <c r="E63" s="129">
        <f t="shared" ref="E63:H63" si="25">400000/5</f>
        <v>80000</v>
      </c>
      <c r="F63" s="129">
        <f t="shared" si="25"/>
        <v>80000</v>
      </c>
      <c r="G63" s="129">
        <f t="shared" si="25"/>
        <v>80000</v>
      </c>
      <c r="H63" s="129">
        <f t="shared" si="25"/>
        <v>80000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</row>
    <row r="64" spans="1:80" s="71" customFormat="1" x14ac:dyDescent="0.2">
      <c r="A64" s="69" t="s">
        <v>128</v>
      </c>
      <c r="B64" s="25" t="s">
        <v>129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</row>
    <row r="65" spans="1:80" s="71" customFormat="1" x14ac:dyDescent="0.2">
      <c r="A65" s="69" t="s">
        <v>101</v>
      </c>
      <c r="B65" s="25" t="s">
        <v>130</v>
      </c>
      <c r="C65" s="70">
        <f>110000-25000-25000-10000</f>
        <v>50000</v>
      </c>
      <c r="D65" s="77"/>
      <c r="G65" s="28"/>
      <c r="H65" s="24"/>
      <c r="I65" s="24"/>
      <c r="J65" s="24"/>
      <c r="K65" s="24"/>
      <c r="L65" s="24"/>
      <c r="M65" s="108">
        <v>25000</v>
      </c>
      <c r="N65" s="24"/>
      <c r="O65" s="108">
        <f>100000/4</f>
        <v>25000</v>
      </c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</row>
    <row r="66" spans="1:80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</row>
    <row r="67" spans="1:80" s="71" customFormat="1" x14ac:dyDescent="0.2">
      <c r="A67" s="69" t="s">
        <v>38</v>
      </c>
      <c r="B67" s="25" t="s">
        <v>39</v>
      </c>
      <c r="C67" s="70"/>
      <c r="D67" s="24"/>
      <c r="E67" s="118">
        <v>23400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</row>
    <row r="68" spans="1:80" s="71" customFormat="1" x14ac:dyDescent="0.2">
      <c r="A68" s="69" t="s">
        <v>74</v>
      </c>
      <c r="B68" s="25" t="s">
        <v>131</v>
      </c>
      <c r="C68" s="70"/>
      <c r="D68" s="24"/>
      <c r="E68" s="24"/>
      <c r="F68" s="24"/>
      <c r="G68" s="100">
        <v>15000</v>
      </c>
      <c r="H68" s="143">
        <v>40000</v>
      </c>
      <c r="J68" s="24"/>
      <c r="K68" s="100">
        <v>20000</v>
      </c>
      <c r="L68" s="24"/>
      <c r="M68" s="100">
        <f>80000/2</f>
        <v>40000</v>
      </c>
      <c r="N68" s="24"/>
      <c r="O68" s="24"/>
      <c r="P68" s="24"/>
      <c r="Q68" s="24"/>
      <c r="R68" s="100">
        <v>20000</v>
      </c>
      <c r="S68" s="100">
        <f>7500+16500</f>
        <v>24000</v>
      </c>
      <c r="T68" s="24"/>
      <c r="U68" s="100">
        <v>12500</v>
      </c>
      <c r="W68" s="24"/>
      <c r="X68" s="24"/>
      <c r="Y68" s="100">
        <f>80000/2</f>
        <v>40000</v>
      </c>
      <c r="Z68" s="24"/>
      <c r="AA68" s="24"/>
      <c r="AB68" s="24"/>
      <c r="AC68" s="100">
        <v>11667</v>
      </c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</row>
    <row r="69" spans="1:80" s="71" customFormat="1" x14ac:dyDescent="0.2">
      <c r="A69" s="69" t="s">
        <v>74</v>
      </c>
      <c r="B69" s="25" t="s">
        <v>150</v>
      </c>
      <c r="C69" s="164">
        <v>3567700</v>
      </c>
      <c r="D69" s="24"/>
      <c r="E69" s="28"/>
      <c r="F69" s="28"/>
      <c r="G69" s="24"/>
      <c r="I69" s="24"/>
      <c r="J69" s="24"/>
      <c r="K69" s="24"/>
      <c r="L69" s="24"/>
      <c r="M69" s="114"/>
      <c r="N69" s="11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</row>
    <row r="70" spans="1:80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</row>
    <row r="71" spans="1:80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</row>
    <row r="72" spans="1:80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</row>
    <row r="73" spans="1:80" s="5" customFormat="1" x14ac:dyDescent="0.2">
      <c r="A73" s="36" t="s">
        <v>49</v>
      </c>
      <c r="B73" s="12"/>
      <c r="C73" s="13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>
        <v>1400000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</row>
    <row r="74" spans="1:80" s="5" customFormat="1" x14ac:dyDescent="0.2">
      <c r="A74" s="36" t="s">
        <v>57</v>
      </c>
      <c r="B74" s="12"/>
      <c r="C74" s="68"/>
      <c r="D74" s="26"/>
      <c r="F74" s="13"/>
      <c r="G74" s="13"/>
      <c r="H74" s="139">
        <f>1933893.44/0.77</f>
        <v>2511549.9220779222</v>
      </c>
      <c r="I74" s="13"/>
      <c r="J74" s="13"/>
      <c r="K74" s="139">
        <f>1749467.21/0.77</f>
        <v>2272035.3376623373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</row>
    <row r="75" spans="1:80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9">
        <v>390000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</row>
    <row r="76" spans="1:80" s="5" customFormat="1" x14ac:dyDescent="0.2">
      <c r="A76" s="42"/>
      <c r="B76" s="12"/>
      <c r="C76" s="68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</row>
    <row r="77" spans="1:80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</row>
    <row r="78" spans="1:80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</row>
    <row r="79" spans="1:80" s="84" customFormat="1" x14ac:dyDescent="0.2">
      <c r="A79" s="81" t="s">
        <v>66</v>
      </c>
      <c r="B79" s="82"/>
      <c r="C79" s="63"/>
      <c r="D79" s="83"/>
      <c r="E79" s="83">
        <f>$C$5+E16-E26</f>
        <v>5573119.0200000005</v>
      </c>
      <c r="F79" s="83">
        <f t="shared" ref="F79:BP79" si="26">E79+F16-F26</f>
        <v>5205464.1316333339</v>
      </c>
      <c r="G79" s="83">
        <f t="shared" si="26"/>
        <v>4401914.6181666674</v>
      </c>
      <c r="H79" s="83">
        <f t="shared" si="26"/>
        <v>1418661.0960887452</v>
      </c>
      <c r="I79" s="83">
        <f t="shared" si="26"/>
        <v>1418661.0960887452</v>
      </c>
      <c r="J79" s="83">
        <f t="shared" si="26"/>
        <v>1418661.0960887452</v>
      </c>
      <c r="K79" s="83">
        <f t="shared" si="26"/>
        <v>1405917.4300597408</v>
      </c>
      <c r="L79" s="83">
        <f t="shared" si="26"/>
        <v>612286.92502640735</v>
      </c>
      <c r="M79" s="83">
        <f t="shared" si="26"/>
        <v>23272.458359740791</v>
      </c>
      <c r="N79" s="83">
        <f t="shared" si="26"/>
        <v>-161167.19667359255</v>
      </c>
      <c r="O79" s="83">
        <f t="shared" si="26"/>
        <v>-1124549.3115220773</v>
      </c>
      <c r="P79" s="83">
        <f t="shared" si="26"/>
        <v>-1124549.3115220773</v>
      </c>
      <c r="Q79" s="83">
        <f t="shared" si="26"/>
        <v>-1124549.3115220773</v>
      </c>
      <c r="R79" s="83">
        <f t="shared" si="26"/>
        <v>2637324.7974761045</v>
      </c>
      <c r="S79" s="83">
        <f t="shared" si="26"/>
        <v>2051371.0814742863</v>
      </c>
      <c r="T79" s="83">
        <f t="shared" si="26"/>
        <v>826489.56547246804</v>
      </c>
      <c r="U79" s="83">
        <f t="shared" si="26"/>
        <v>-670884.15052934992</v>
      </c>
      <c r="V79" s="83">
        <f t="shared" si="26"/>
        <v>-670884.15052934992</v>
      </c>
      <c r="W79" s="83">
        <f t="shared" si="26"/>
        <v>-670884.15052934992</v>
      </c>
      <c r="X79" s="83">
        <f t="shared" si="26"/>
        <v>-670884.15052934992</v>
      </c>
      <c r="Y79" s="83">
        <f t="shared" si="26"/>
        <v>171832.43858883181</v>
      </c>
      <c r="Z79" s="83">
        <f t="shared" si="26"/>
        <v>-205677.67229298642</v>
      </c>
      <c r="AA79" s="83">
        <f t="shared" si="26"/>
        <v>-713241.50317480462</v>
      </c>
      <c r="AB79" s="83">
        <f t="shared" si="26"/>
        <v>5619558.9271433763</v>
      </c>
      <c r="AC79" s="83">
        <f t="shared" si="26"/>
        <v>4484363.7153797401</v>
      </c>
      <c r="AD79" s="83">
        <f t="shared" si="26"/>
        <v>4484363.7153797401</v>
      </c>
      <c r="AE79" s="83">
        <f t="shared" si="26"/>
        <v>4484363.7153797401</v>
      </c>
      <c r="AF79" s="83">
        <f t="shared" si="26"/>
        <v>4040851.8271664069</v>
      </c>
      <c r="AG79" s="83">
        <f t="shared" si="26"/>
        <v>3841659.2722864067</v>
      </c>
      <c r="AH79" s="83">
        <f t="shared" si="26"/>
        <v>3652980.3840730735</v>
      </c>
      <c r="AI79" s="83">
        <f t="shared" si="26"/>
        <v>3520634.8291930733</v>
      </c>
      <c r="AJ79" s="83">
        <f t="shared" si="26"/>
        <v>3280332.9409797401</v>
      </c>
      <c r="AK79" s="83">
        <f t="shared" si="26"/>
        <v>3280332.9409797401</v>
      </c>
      <c r="AL79" s="83">
        <f t="shared" si="26"/>
        <v>3280332.9409797401</v>
      </c>
      <c r="AM79" s="83">
        <f t="shared" si="26"/>
        <v>2964717.3860997399</v>
      </c>
      <c r="AN79" s="83">
        <f t="shared" si="26"/>
        <v>2594462.5778864054</v>
      </c>
      <c r="AO79" s="83">
        <f t="shared" si="26"/>
        <v>2410494.0230064052</v>
      </c>
      <c r="AP79" s="83">
        <f t="shared" si="26"/>
        <v>489462.56812640512</v>
      </c>
      <c r="AQ79" s="83">
        <f t="shared" si="26"/>
        <v>437839.56812640512</v>
      </c>
      <c r="AR79" s="83">
        <f t="shared" si="26"/>
        <v>437839.56812640512</v>
      </c>
      <c r="AS79" s="83">
        <f t="shared" si="26"/>
        <v>437839.56812640512</v>
      </c>
      <c r="AT79" s="83">
        <f t="shared" si="26"/>
        <v>386216.56812640512</v>
      </c>
      <c r="AU79" s="83">
        <f t="shared" si="26"/>
        <v>3376588.6481264047</v>
      </c>
      <c r="AV79" s="83">
        <f t="shared" si="26"/>
        <v>3324965.6481264047</v>
      </c>
      <c r="AW79" s="83">
        <f t="shared" si="26"/>
        <v>3273342.6481264047</v>
      </c>
      <c r="AX79" s="83">
        <f t="shared" si="26"/>
        <v>3221719.6481264047</v>
      </c>
      <c r="AY79" s="83">
        <f t="shared" si="26"/>
        <v>3221719.6481264047</v>
      </c>
      <c r="AZ79" s="83">
        <f t="shared" si="26"/>
        <v>3221719.6481264047</v>
      </c>
      <c r="BA79" s="83">
        <f t="shared" si="26"/>
        <v>2950213.6481264047</v>
      </c>
      <c r="BB79" s="83">
        <f t="shared" si="26"/>
        <v>2950213.6481264047</v>
      </c>
      <c r="BC79" s="83">
        <f t="shared" si="26"/>
        <v>2950213.6481264047</v>
      </c>
      <c r="BD79" s="83">
        <f t="shared" si="26"/>
        <v>2950213.6481264047</v>
      </c>
      <c r="BE79" s="83">
        <f t="shared" si="26"/>
        <v>2950213.6481264047</v>
      </c>
      <c r="BF79" s="83">
        <f t="shared" si="26"/>
        <v>2950213.6481264047</v>
      </c>
      <c r="BG79" s="83">
        <f t="shared" si="26"/>
        <v>2950213.6481264047</v>
      </c>
      <c r="BH79" s="83">
        <f t="shared" si="26"/>
        <v>2950213.6481264047</v>
      </c>
      <c r="BI79" s="83">
        <f t="shared" si="26"/>
        <v>2950213.6481264047</v>
      </c>
      <c r="BJ79" s="83">
        <f t="shared" si="26"/>
        <v>2950213.6481264047</v>
      </c>
      <c r="BK79" s="83">
        <f t="shared" si="26"/>
        <v>2950213.6481264047</v>
      </c>
      <c r="BL79" s="83">
        <f t="shared" si="26"/>
        <v>2950213.6481264047</v>
      </c>
      <c r="BM79" s="83">
        <f t="shared" si="26"/>
        <v>2950213.6481264047</v>
      </c>
      <c r="BN79" s="83">
        <f t="shared" si="26"/>
        <v>2950213.6481264047</v>
      </c>
      <c r="BO79" s="83">
        <f t="shared" si="26"/>
        <v>2950213.6481264047</v>
      </c>
      <c r="BP79" s="83">
        <f t="shared" si="26"/>
        <v>2950213.6481264047</v>
      </c>
      <c r="BQ79" s="83">
        <f t="shared" ref="BQ79:CB79" si="27">BP79+BQ16-BQ26</f>
        <v>2950213.6481264047</v>
      </c>
      <c r="BR79" s="83">
        <f t="shared" si="27"/>
        <v>2950213.6481264047</v>
      </c>
      <c r="BS79" s="83">
        <f t="shared" si="27"/>
        <v>2950213.6481264047</v>
      </c>
      <c r="BT79" s="83">
        <f t="shared" si="27"/>
        <v>2950213.6481264047</v>
      </c>
      <c r="BU79" s="83">
        <f t="shared" si="27"/>
        <v>2950213.6481264047</v>
      </c>
      <c r="BV79" s="83">
        <f t="shared" si="27"/>
        <v>2204150.7481264048</v>
      </c>
      <c r="BW79" s="83">
        <f t="shared" si="27"/>
        <v>2204150.7481264048</v>
      </c>
      <c r="BX79" s="83">
        <f t="shared" si="27"/>
        <v>2204150.7481264048</v>
      </c>
      <c r="BY79" s="83">
        <f t="shared" si="27"/>
        <v>2204150.7481264048</v>
      </c>
      <c r="BZ79" s="83">
        <f t="shared" si="27"/>
        <v>2204150.7481264048</v>
      </c>
      <c r="CA79" s="83">
        <f t="shared" si="27"/>
        <v>2204150.7481264048</v>
      </c>
      <c r="CB79" s="83">
        <f t="shared" si="27"/>
        <v>2204150.7481264048</v>
      </c>
    </row>
    <row r="81" spans="1:80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</row>
    <row r="82" spans="1:80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</row>
    <row r="83" spans="1:80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</row>
    <row r="84" spans="1:80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</row>
    <row r="85" spans="1:80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</row>
    <row r="86" spans="1:80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</row>
    <row r="88" spans="1:80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C88"/>
  <sheetViews>
    <sheetView workbookViewId="0">
      <selection activeCell="F8" sqref="F8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8" width="10.85546875" style="3" bestFit="1" customWidth="1"/>
    <col min="9" max="9" width="10.5703125" style="3" customWidth="1"/>
    <col min="10" max="10" width="12.85546875" style="3" customWidth="1"/>
    <col min="11" max="11" width="14.28515625" style="3" customWidth="1"/>
    <col min="12" max="12" width="12" style="3" customWidth="1"/>
    <col min="13" max="13" width="14.5703125" style="3" customWidth="1"/>
    <col min="14" max="14" width="11.85546875" style="3" customWidth="1"/>
    <col min="15" max="15" width="12.42578125" style="3" customWidth="1"/>
    <col min="16" max="16" width="14.85546875" style="3" customWidth="1"/>
    <col min="17" max="17" width="13" style="3" customWidth="1"/>
    <col min="18" max="18" width="12.7109375" style="3" customWidth="1"/>
    <col min="19" max="19" width="11.85546875" style="3" customWidth="1"/>
    <col min="20" max="20" width="13.140625" style="3" customWidth="1"/>
    <col min="21" max="21" width="11.7109375" style="3" customWidth="1"/>
    <col min="22" max="22" width="12.5703125" style="3" customWidth="1"/>
    <col min="23" max="23" width="15.7109375" style="3" customWidth="1"/>
    <col min="24" max="24" width="12.7109375" style="3" customWidth="1"/>
    <col min="25" max="26" width="12.85546875" style="3" customWidth="1"/>
    <col min="27" max="28" width="11.85546875" style="3" customWidth="1"/>
    <col min="29" max="29" width="13" style="3" customWidth="1"/>
    <col min="30" max="30" width="12.28515625" style="3" customWidth="1"/>
    <col min="31" max="31" width="12.140625" style="3" customWidth="1"/>
    <col min="32" max="32" width="11.140625" style="3" customWidth="1"/>
    <col min="33" max="33" width="12.7109375" style="3" customWidth="1"/>
    <col min="34" max="34" width="11.140625" style="3" customWidth="1"/>
    <col min="35" max="35" width="11.7109375" style="3" customWidth="1"/>
    <col min="36" max="36" width="11.5703125" style="3" customWidth="1"/>
    <col min="37" max="38" width="10.85546875" style="3" customWidth="1"/>
    <col min="39" max="39" width="12.85546875" style="3" customWidth="1"/>
    <col min="40" max="40" width="12" style="3" customWidth="1"/>
    <col min="41" max="41" width="11.140625" style="3" customWidth="1"/>
    <col min="42" max="42" width="10.28515625" style="3" customWidth="1"/>
    <col min="43" max="43" width="11.42578125" style="3" customWidth="1"/>
    <col min="44" max="44" width="11.7109375" style="3" customWidth="1"/>
    <col min="45" max="47" width="9" style="3"/>
    <col min="48" max="48" width="10.42578125" style="3" customWidth="1"/>
    <col min="49" max="49" width="10.28515625" style="3" bestFit="1" customWidth="1"/>
    <col min="50" max="50" width="10.42578125" style="3" customWidth="1"/>
    <col min="51" max="51" width="12.5703125" style="3" customWidth="1"/>
    <col min="52" max="52" width="13.28515625" style="3" customWidth="1"/>
    <col min="53" max="53" width="12.140625" style="3" customWidth="1"/>
    <col min="54" max="54" width="12.42578125" style="3" customWidth="1"/>
    <col min="55" max="55" width="12.28515625" style="3" customWidth="1"/>
    <col min="56" max="56" width="10.28515625" style="3" customWidth="1"/>
    <col min="57" max="57" width="11.28515625" style="3" customWidth="1"/>
    <col min="58" max="58" width="11.85546875" style="3" customWidth="1"/>
    <col min="59" max="59" width="12.28515625" style="3" customWidth="1"/>
    <col min="60" max="60" width="11.140625" style="3" customWidth="1"/>
    <col min="61" max="72" width="9" style="3"/>
    <col min="73" max="73" width="12.42578125" style="3" customWidth="1"/>
    <col min="74" max="16384" width="9" style="3"/>
  </cols>
  <sheetData>
    <row r="1" spans="1:81" ht="12" thickBot="1" x14ac:dyDescent="0.3"/>
    <row r="2" spans="1:81" s="1" customFormat="1" x14ac:dyDescent="0.2">
      <c r="A2" s="43" t="s">
        <v>50</v>
      </c>
      <c r="B2" s="15" t="s">
        <v>27</v>
      </c>
      <c r="C2" s="50">
        <v>7384793.2599999998</v>
      </c>
    </row>
    <row r="3" spans="1:81" s="1" customFormat="1" ht="12" thickBot="1" x14ac:dyDescent="0.25">
      <c r="A3" s="44">
        <v>82.544499999999999</v>
      </c>
      <c r="B3" s="15" t="s">
        <v>28</v>
      </c>
      <c r="C3" s="50">
        <v>10778.95</v>
      </c>
    </row>
    <row r="4" spans="1:81" s="8" customFormat="1" ht="12" thickBot="1" x14ac:dyDescent="0.25">
      <c r="A4" s="45"/>
      <c r="B4" s="15" t="s">
        <v>25</v>
      </c>
      <c r="C4" s="51">
        <v>0</v>
      </c>
    </row>
    <row r="5" spans="1:81" s="6" customFormat="1" x14ac:dyDescent="0.2">
      <c r="A5" s="43" t="s">
        <v>51</v>
      </c>
      <c r="B5" s="49" t="s">
        <v>26</v>
      </c>
      <c r="C5" s="52">
        <f>SUM(C2:C4)</f>
        <v>7395572.21</v>
      </c>
    </row>
    <row r="6" spans="1:81" s="6" customFormat="1" ht="12" thickBot="1" x14ac:dyDescent="0.25">
      <c r="A6" s="44">
        <v>71.209000000000003</v>
      </c>
      <c r="B6" s="16"/>
      <c r="C6" s="53"/>
      <c r="D6" s="17"/>
    </row>
    <row r="7" spans="1:81" s="6" customFormat="1" ht="12" thickBot="1" x14ac:dyDescent="0.25">
      <c r="A7" s="105" t="s">
        <v>51</v>
      </c>
      <c r="B7" s="18" t="s">
        <v>127</v>
      </c>
      <c r="C7" s="54">
        <f>SUM(16:16)</f>
        <v>26423702.755999997</v>
      </c>
    </row>
    <row r="8" spans="1:81" x14ac:dyDescent="0.25">
      <c r="A8" s="43" t="s">
        <v>52</v>
      </c>
      <c r="B8" s="18" t="s">
        <v>126</v>
      </c>
      <c r="C8" s="54">
        <f>SUM(26:26)</f>
        <v>50907064.648126915</v>
      </c>
      <c r="F8" s="109"/>
    </row>
    <row r="9" spans="1:81" ht="12" thickBot="1" x14ac:dyDescent="0.3">
      <c r="A9" s="44">
        <v>10.4823</v>
      </c>
      <c r="B9" s="19" t="s">
        <v>64</v>
      </c>
      <c r="C9" s="55">
        <f>C5+C7-C8-C11</f>
        <v>-36071899.055546917</v>
      </c>
    </row>
    <row r="10" spans="1:81" x14ac:dyDescent="0.25">
      <c r="A10" s="99" t="s">
        <v>80</v>
      </c>
      <c r="B10" s="18" t="s">
        <v>23</v>
      </c>
      <c r="C10" s="56">
        <f>C16</f>
        <v>0</v>
      </c>
    </row>
    <row r="11" spans="1:81" x14ac:dyDescent="0.25">
      <c r="A11" s="101" t="s">
        <v>87</v>
      </c>
      <c r="B11" s="18" t="s">
        <v>24</v>
      </c>
      <c r="C11" s="54">
        <f>C26</f>
        <v>18984109.37342</v>
      </c>
    </row>
    <row r="12" spans="1:81" x14ac:dyDescent="0.25">
      <c r="A12" s="107" t="s">
        <v>88</v>
      </c>
    </row>
    <row r="13" spans="1:8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</row>
    <row r="14" spans="1:81" s="2" customFormat="1" x14ac:dyDescent="0.25">
      <c r="A14" s="64"/>
      <c r="B14" s="65"/>
      <c r="C14" s="58" t="s">
        <v>56</v>
      </c>
      <c r="D14" s="66"/>
      <c r="E14" s="66">
        <v>46167</v>
      </c>
      <c r="F14" s="66">
        <v>46168</v>
      </c>
      <c r="G14" s="66">
        <v>46169</v>
      </c>
      <c r="H14" s="66">
        <v>46170</v>
      </c>
      <c r="I14" s="66">
        <v>46171</v>
      </c>
      <c r="J14" s="66">
        <v>46172</v>
      </c>
      <c r="K14" s="66">
        <v>46173</v>
      </c>
      <c r="L14" s="66">
        <v>46174</v>
      </c>
      <c r="M14" s="66">
        <v>46175</v>
      </c>
      <c r="N14" s="66">
        <v>46176</v>
      </c>
      <c r="O14" s="66">
        <v>46177</v>
      </c>
      <c r="P14" s="66">
        <v>46178</v>
      </c>
      <c r="Q14" s="66">
        <v>46179</v>
      </c>
      <c r="R14" s="66">
        <v>46180</v>
      </c>
      <c r="S14" s="66">
        <v>46181</v>
      </c>
      <c r="T14" s="66">
        <v>46182</v>
      </c>
      <c r="U14" s="66">
        <v>46183</v>
      </c>
      <c r="V14" s="66">
        <v>46184</v>
      </c>
      <c r="W14" s="66">
        <v>46185</v>
      </c>
      <c r="X14" s="66">
        <v>46186</v>
      </c>
      <c r="Y14" s="66">
        <v>46187</v>
      </c>
      <c r="Z14" s="66">
        <v>46188</v>
      </c>
      <c r="AA14" s="66">
        <v>46189</v>
      </c>
      <c r="AB14" s="66">
        <v>46190</v>
      </c>
      <c r="AC14" s="66">
        <v>46191</v>
      </c>
      <c r="AD14" s="66">
        <v>46192</v>
      </c>
      <c r="AE14" s="66">
        <v>46193</v>
      </c>
      <c r="AF14" s="66">
        <v>46194</v>
      </c>
      <c r="AG14" s="66">
        <v>46195</v>
      </c>
      <c r="AH14" s="66">
        <v>46196</v>
      </c>
      <c r="AI14" s="66">
        <v>46197</v>
      </c>
      <c r="AJ14" s="66">
        <v>46198</v>
      </c>
      <c r="AK14" s="66">
        <v>46199</v>
      </c>
      <c r="AL14" s="66">
        <v>46200</v>
      </c>
      <c r="AM14" s="66">
        <v>46201</v>
      </c>
      <c r="AN14" s="66">
        <v>46202</v>
      </c>
      <c r="AO14" s="66">
        <v>46203</v>
      </c>
      <c r="AP14" s="66">
        <v>46204</v>
      </c>
      <c r="AQ14" s="66">
        <v>46205</v>
      </c>
      <c r="AR14" s="66">
        <v>46206</v>
      </c>
      <c r="AS14" s="66">
        <v>46207</v>
      </c>
      <c r="AT14" s="66">
        <v>46208</v>
      </c>
      <c r="AU14" s="66">
        <v>46209</v>
      </c>
      <c r="AV14" s="66">
        <v>46210</v>
      </c>
      <c r="AW14" s="66">
        <v>46211</v>
      </c>
      <c r="AX14" s="66">
        <v>46212</v>
      </c>
      <c r="AY14" s="66">
        <v>46213</v>
      </c>
      <c r="AZ14" s="66">
        <v>46214</v>
      </c>
      <c r="BA14" s="66">
        <v>46215</v>
      </c>
      <c r="BB14" s="66">
        <v>46216</v>
      </c>
      <c r="BC14" s="66">
        <v>46217</v>
      </c>
      <c r="BD14" s="66">
        <v>46218</v>
      </c>
      <c r="BE14" s="66">
        <v>46219</v>
      </c>
      <c r="BF14" s="66">
        <v>46220</v>
      </c>
      <c r="BG14" s="66">
        <v>46221</v>
      </c>
      <c r="BH14" s="66">
        <v>46222</v>
      </c>
      <c r="BI14" s="66">
        <v>46223</v>
      </c>
      <c r="BJ14" s="66">
        <v>46224</v>
      </c>
      <c r="BK14" s="66">
        <v>46225</v>
      </c>
      <c r="BL14" s="66">
        <v>46226</v>
      </c>
      <c r="BM14" s="66">
        <v>46227</v>
      </c>
      <c r="BN14" s="66">
        <v>46228</v>
      </c>
      <c r="BO14" s="66">
        <v>46229</v>
      </c>
      <c r="BP14" s="66">
        <v>46230</v>
      </c>
      <c r="BQ14" s="66">
        <v>46231</v>
      </c>
      <c r="BR14" s="66">
        <v>46232</v>
      </c>
      <c r="BS14" s="66">
        <v>46233</v>
      </c>
      <c r="BT14" s="66">
        <v>46234</v>
      </c>
      <c r="BU14" s="66">
        <v>46235</v>
      </c>
      <c r="BV14" s="66">
        <v>46236</v>
      </c>
      <c r="BW14" s="66">
        <v>46237</v>
      </c>
      <c r="BX14" s="66">
        <v>46238</v>
      </c>
      <c r="BY14" s="66">
        <v>46239</v>
      </c>
      <c r="BZ14" s="66">
        <v>46240</v>
      </c>
      <c r="CA14" s="66">
        <v>46241</v>
      </c>
      <c r="CB14" s="66">
        <v>46242</v>
      </c>
      <c r="CC14" s="66">
        <v>46243</v>
      </c>
    </row>
    <row r="15" spans="1:8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</row>
    <row r="16" spans="1:81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M16" si="0">SUM(E17:E25)</f>
        <v>0</v>
      </c>
      <c r="F16" s="29">
        <f t="shared" si="0"/>
        <v>0</v>
      </c>
      <c r="G16" s="29">
        <f t="shared" si="0"/>
        <v>0</v>
      </c>
      <c r="H16" s="29">
        <f t="shared" si="0"/>
        <v>2726271.1179999998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3000000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4889057.5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135">
        <f t="shared" si="0"/>
        <v>0</v>
      </c>
      <c r="X16" s="135">
        <f t="shared" si="0"/>
        <v>0</v>
      </c>
      <c r="Y16" s="135">
        <f t="shared" si="0"/>
        <v>0</v>
      </c>
      <c r="Z16" s="29">
        <f t="shared" si="0"/>
        <v>2000000</v>
      </c>
      <c r="AA16" s="29">
        <f t="shared" si="0"/>
        <v>0</v>
      </c>
      <c r="AB16" s="29">
        <f t="shared" si="0"/>
        <v>0</v>
      </c>
      <c r="AC16" s="29">
        <f t="shared" si="0"/>
        <v>7931205.7379999999</v>
      </c>
      <c r="AD16" s="29">
        <f t="shared" si="0"/>
        <v>0</v>
      </c>
      <c r="AE16" s="135">
        <f t="shared" si="0"/>
        <v>0</v>
      </c>
      <c r="AF16" s="135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29">
        <f t="shared" si="0"/>
        <v>0</v>
      </c>
      <c r="AL16" s="29">
        <f t="shared" si="0"/>
        <v>0</v>
      </c>
      <c r="AM16" s="135">
        <f t="shared" si="0"/>
        <v>0</v>
      </c>
      <c r="AN16" s="135">
        <f t="shared" si="0"/>
        <v>0</v>
      </c>
      <c r="AO16" s="29">
        <f t="shared" si="0"/>
        <v>2938584.2</v>
      </c>
      <c r="AP16" s="29">
        <f t="shared" si="0"/>
        <v>0</v>
      </c>
      <c r="AQ16" s="29">
        <f t="shared" si="0"/>
        <v>0</v>
      </c>
      <c r="AR16" s="29">
        <f t="shared" si="0"/>
        <v>0</v>
      </c>
      <c r="AS16" s="135">
        <f t="shared" si="0"/>
        <v>0</v>
      </c>
      <c r="AT16" s="135">
        <f t="shared" si="0"/>
        <v>0</v>
      </c>
      <c r="AU16" s="29">
        <f t="shared" si="0"/>
        <v>0</v>
      </c>
      <c r="AV16" s="29">
        <f t="shared" si="0"/>
        <v>2938584.2</v>
      </c>
      <c r="AW16" s="29">
        <f t="shared" si="0"/>
        <v>0</v>
      </c>
      <c r="AX16" s="29">
        <f t="shared" si="0"/>
        <v>0</v>
      </c>
      <c r="AY16" s="29">
        <f t="shared" si="0"/>
        <v>0</v>
      </c>
      <c r="AZ16" s="135">
        <f t="shared" si="0"/>
        <v>0</v>
      </c>
      <c r="BA16" s="135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29">
        <f t="shared" si="0"/>
        <v>0</v>
      </c>
      <c r="BG16" s="135">
        <f t="shared" si="0"/>
        <v>0</v>
      </c>
      <c r="BH16" s="135">
        <f t="shared" si="0"/>
        <v>0</v>
      </c>
      <c r="BI16" s="29">
        <f t="shared" si="0"/>
        <v>0</v>
      </c>
      <c r="BJ16" s="29">
        <f t="shared" si="0"/>
        <v>0</v>
      </c>
      <c r="BK16" s="29">
        <f t="shared" si="0"/>
        <v>0</v>
      </c>
      <c r="BL16" s="29">
        <f t="shared" si="0"/>
        <v>0</v>
      </c>
      <c r="BM16" s="29">
        <f t="shared" si="0"/>
        <v>0</v>
      </c>
      <c r="BN16" s="135">
        <f t="shared" ref="BN16:CC16" si="1">SUM(BN17:BN25)</f>
        <v>0</v>
      </c>
      <c r="BO16" s="135">
        <f t="shared" si="1"/>
        <v>0</v>
      </c>
      <c r="BP16" s="29">
        <f t="shared" si="1"/>
        <v>0</v>
      </c>
      <c r="BQ16" s="29">
        <f t="shared" si="1"/>
        <v>0</v>
      </c>
      <c r="BR16" s="29">
        <f t="shared" si="1"/>
        <v>0</v>
      </c>
      <c r="BS16" s="29">
        <f t="shared" si="1"/>
        <v>0</v>
      </c>
      <c r="BT16" s="29">
        <f t="shared" si="1"/>
        <v>0</v>
      </c>
      <c r="BU16" s="135">
        <f t="shared" si="1"/>
        <v>0</v>
      </c>
      <c r="BV16" s="135">
        <f t="shared" si="1"/>
        <v>0</v>
      </c>
      <c r="BW16" s="29">
        <f t="shared" si="1"/>
        <v>0</v>
      </c>
      <c r="BX16" s="29">
        <f t="shared" si="1"/>
        <v>0</v>
      </c>
      <c r="BY16" s="29">
        <f t="shared" si="1"/>
        <v>0</v>
      </c>
      <c r="BZ16" s="29">
        <f t="shared" si="1"/>
        <v>0</v>
      </c>
      <c r="CA16" s="29">
        <f t="shared" si="1"/>
        <v>0</v>
      </c>
      <c r="CB16" s="29">
        <f t="shared" si="1"/>
        <v>0</v>
      </c>
      <c r="CC16" s="29">
        <f t="shared" si="1"/>
        <v>0</v>
      </c>
    </row>
    <row r="17" spans="1:8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</row>
    <row r="18" spans="1:81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1">
        <f>5300000/2</f>
        <v>2650000</v>
      </c>
      <c r="I18" s="30"/>
      <c r="J18" s="30"/>
      <c r="K18" s="30"/>
      <c r="L18" s="80">
        <v>3000000</v>
      </c>
      <c r="M18" s="30"/>
      <c r="N18" s="30"/>
      <c r="O18" s="30"/>
      <c r="P18" s="30"/>
      <c r="Q18" s="30"/>
      <c r="R18" s="30"/>
      <c r="S18" s="30">
        <v>2000000</v>
      </c>
      <c r="T18" s="30"/>
      <c r="U18" s="30"/>
      <c r="V18" s="30"/>
      <c r="W18" s="30"/>
      <c r="X18" s="30"/>
      <c r="Y18" s="30"/>
      <c r="Z18" s="30">
        <v>2000000</v>
      </c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</row>
    <row r="19" spans="1:81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</row>
    <row r="20" spans="1:81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</row>
    <row r="21" spans="1:81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>
        <f>924*A3</f>
        <v>76271.118000000002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</row>
    <row r="22" spans="1:81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</row>
    <row r="23" spans="1:81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>
        <f>96084*A3</f>
        <v>7931205.7379999999</v>
      </c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</row>
    <row r="24" spans="1:81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J24" s="30"/>
      <c r="K24" s="30"/>
      <c r="L24" s="30"/>
      <c r="M24" s="30"/>
      <c r="N24" s="30"/>
      <c r="O24" s="30"/>
      <c r="P24" s="30"/>
      <c r="Q24" s="30"/>
      <c r="R24" s="30"/>
      <c r="S24" s="30">
        <f>35000*A3</f>
        <v>2889057.5</v>
      </c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O24" s="30">
        <f>35600*A3</f>
        <v>2938584.2</v>
      </c>
      <c r="AP24" s="30"/>
      <c r="AQ24" s="30"/>
      <c r="AR24" s="30"/>
      <c r="AS24" s="30"/>
      <c r="AT24" s="30"/>
      <c r="AU24" s="30"/>
      <c r="AV24" s="30">
        <f>35600*A3</f>
        <v>2938584.2</v>
      </c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</row>
    <row r="25" spans="1:81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</row>
    <row r="26" spans="1:81" s="4" customFormat="1" x14ac:dyDescent="0.2">
      <c r="A26" s="41" t="s">
        <v>1</v>
      </c>
      <c r="B26" s="22"/>
      <c r="C26" s="34">
        <f>SUM(C28:C77)</f>
        <v>18984109.37342</v>
      </c>
      <c r="D26" s="34"/>
      <c r="E26" s="34">
        <f t="shared" ref="E26:BM26" si="2">SUM(E27:E78)</f>
        <v>1398320.26</v>
      </c>
      <c r="F26" s="34">
        <f t="shared" si="2"/>
        <v>2677977.6709956708</v>
      </c>
      <c r="G26" s="34">
        <f t="shared" si="2"/>
        <v>366938.60896666662</v>
      </c>
      <c r="H26" s="34">
        <f t="shared" si="2"/>
        <v>3532504.666666667</v>
      </c>
      <c r="I26" s="34">
        <f t="shared" si="2"/>
        <v>2982983.9220779222</v>
      </c>
      <c r="J26" s="34">
        <f t="shared" si="2"/>
        <v>0</v>
      </c>
      <c r="K26" s="34">
        <f t="shared" si="2"/>
        <v>0</v>
      </c>
      <c r="L26" s="34">
        <f t="shared" si="2"/>
        <v>740113.36896666663</v>
      </c>
      <c r="M26" s="34">
        <f t="shared" si="2"/>
        <v>792720.45063333353</v>
      </c>
      <c r="N26" s="34">
        <f t="shared" si="2"/>
        <v>589014.46666666656</v>
      </c>
      <c r="O26" s="34">
        <f t="shared" si="2"/>
        <v>184009.82563333336</v>
      </c>
      <c r="P26" s="34">
        <f t="shared" si="2"/>
        <v>963142.84484848485</v>
      </c>
      <c r="Q26" s="34">
        <f t="shared" si="2"/>
        <v>0</v>
      </c>
      <c r="R26" s="34">
        <f t="shared" si="2"/>
        <v>0</v>
      </c>
      <c r="S26" s="34">
        <f t="shared" si="2"/>
        <v>1227903.8902618182</v>
      </c>
      <c r="T26" s="34">
        <f t="shared" si="2"/>
        <v>585355.85276181821</v>
      </c>
      <c r="U26" s="34">
        <f t="shared" si="2"/>
        <v>1224283.6527618181</v>
      </c>
      <c r="V26" s="34">
        <f t="shared" si="2"/>
        <v>1184455.8527618179</v>
      </c>
      <c r="W26" s="34">
        <f t="shared" si="2"/>
        <v>0</v>
      </c>
      <c r="X26" s="34">
        <f t="shared" si="2"/>
        <v>0</v>
      </c>
      <c r="Y26" s="34">
        <f t="shared" si="2"/>
        <v>0</v>
      </c>
      <c r="Z26" s="34">
        <f t="shared" si="2"/>
        <v>1156304.0374818183</v>
      </c>
      <c r="AA26" s="34">
        <f t="shared" si="2"/>
        <v>376530.73748181819</v>
      </c>
      <c r="AB26" s="34">
        <f t="shared" si="2"/>
        <v>581584.45748181816</v>
      </c>
      <c r="AC26" s="34">
        <f t="shared" si="2"/>
        <v>1876530.7374818181</v>
      </c>
      <c r="AD26" s="34">
        <f t="shared" si="2"/>
        <v>1123663.8649636363</v>
      </c>
      <c r="AE26" s="34">
        <f t="shared" si="2"/>
        <v>0</v>
      </c>
      <c r="AF26" s="34">
        <f t="shared" si="2"/>
        <v>0</v>
      </c>
      <c r="AG26" s="34">
        <f t="shared" si="2"/>
        <v>442891.10805333336</v>
      </c>
      <c r="AH26" s="34">
        <f t="shared" si="2"/>
        <v>198571.77472000002</v>
      </c>
      <c r="AI26" s="34">
        <f t="shared" si="2"/>
        <v>188058.10805333336</v>
      </c>
      <c r="AJ26" s="34">
        <f t="shared" si="2"/>
        <v>131724.77472000002</v>
      </c>
      <c r="AK26" s="34">
        <f t="shared" si="2"/>
        <v>239681.10805333336</v>
      </c>
      <c r="AL26" s="34">
        <f t="shared" si="2"/>
        <v>0</v>
      </c>
      <c r="AM26" s="34">
        <f t="shared" si="2"/>
        <v>0</v>
      </c>
      <c r="AN26" s="34">
        <f t="shared" si="2"/>
        <v>314994.77471999999</v>
      </c>
      <c r="AO26" s="34">
        <f t="shared" si="2"/>
        <v>3411629.1080533336</v>
      </c>
      <c r="AP26" s="34">
        <f t="shared" si="2"/>
        <v>183347.77472000002</v>
      </c>
      <c r="AQ26" s="34">
        <f t="shared" si="2"/>
        <v>1920410.67472</v>
      </c>
      <c r="AR26" s="34">
        <f t="shared" si="2"/>
        <v>51623</v>
      </c>
      <c r="AS26" s="34">
        <f t="shared" si="2"/>
        <v>0</v>
      </c>
      <c r="AT26" s="34">
        <f t="shared" si="2"/>
        <v>0</v>
      </c>
      <c r="AU26" s="34">
        <f t="shared" si="2"/>
        <v>51623</v>
      </c>
      <c r="AV26" s="34">
        <f t="shared" si="2"/>
        <v>51623</v>
      </c>
      <c r="AW26" s="34">
        <f t="shared" si="2"/>
        <v>51623</v>
      </c>
      <c r="AX26" s="34">
        <f t="shared" si="2"/>
        <v>51623</v>
      </c>
      <c r="AY26" s="34">
        <f t="shared" si="2"/>
        <v>51623</v>
      </c>
      <c r="AZ26" s="34">
        <f t="shared" si="2"/>
        <v>0</v>
      </c>
      <c r="BA26" s="34">
        <f t="shared" si="2"/>
        <v>0</v>
      </c>
      <c r="BB26" s="34">
        <f t="shared" si="2"/>
        <v>271506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ref="BN26:CC26" si="3">SUM(BN27:BN78)</f>
        <v>0</v>
      </c>
      <c r="BO26" s="34">
        <f t="shared" si="3"/>
        <v>0</v>
      </c>
      <c r="BP26" s="34">
        <f t="shared" si="3"/>
        <v>0</v>
      </c>
      <c r="BQ26" s="34">
        <f t="shared" si="3"/>
        <v>0</v>
      </c>
      <c r="BR26" s="34">
        <f t="shared" si="3"/>
        <v>0</v>
      </c>
      <c r="BS26" s="34">
        <f t="shared" si="3"/>
        <v>0</v>
      </c>
      <c r="BT26" s="34">
        <f t="shared" si="3"/>
        <v>0</v>
      </c>
      <c r="BU26" s="34">
        <f t="shared" si="3"/>
        <v>0</v>
      </c>
      <c r="BV26" s="34">
        <f t="shared" si="3"/>
        <v>0</v>
      </c>
      <c r="BW26" s="34">
        <f t="shared" si="3"/>
        <v>746062.9</v>
      </c>
      <c r="BX26" s="34">
        <f t="shared" si="3"/>
        <v>0</v>
      </c>
      <c r="BY26" s="34">
        <f t="shared" si="3"/>
        <v>0</v>
      </c>
      <c r="BZ26" s="34">
        <f t="shared" si="3"/>
        <v>0</v>
      </c>
      <c r="CA26" s="34">
        <f t="shared" si="3"/>
        <v>0</v>
      </c>
      <c r="CB26" s="34">
        <f t="shared" si="3"/>
        <v>0</v>
      </c>
      <c r="CC26" s="34">
        <f t="shared" si="3"/>
        <v>0</v>
      </c>
    </row>
    <row r="27" spans="1:81" x14ac:dyDescent="0.25">
      <c r="A27" s="40"/>
      <c r="B27" s="21"/>
      <c r="C27" s="59"/>
      <c r="D27" s="31"/>
      <c r="E27" s="31"/>
      <c r="F27" s="31"/>
      <c r="G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</row>
    <row r="28" spans="1:81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</row>
    <row r="29" spans="1:81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</row>
    <row r="30" spans="1:81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>
        <f>8399365/3</f>
        <v>2799788.3333333335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>
        <f>8399365/3</f>
        <v>2799788.3333333335</v>
      </c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</row>
    <row r="31" spans="1:81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90">
        <f>291375+137118</f>
        <v>428493</v>
      </c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90">
        <f>291375+137118</f>
        <v>428493</v>
      </c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</row>
    <row r="32" spans="1:81" s="1" customFormat="1" x14ac:dyDescent="0.2">
      <c r="A32" s="36" t="s">
        <v>7</v>
      </c>
      <c r="B32" s="23" t="s">
        <v>8</v>
      </c>
      <c r="C32" s="60"/>
      <c r="D32" s="24"/>
      <c r="E32" s="24">
        <v>352124.25</v>
      </c>
      <c r="F32" s="24"/>
      <c r="G32" s="24"/>
      <c r="H32" s="24"/>
      <c r="I32" s="24"/>
      <c r="J32" s="24"/>
      <c r="K32" s="24"/>
      <c r="L32" s="24"/>
      <c r="M32" s="24">
        <v>400000</v>
      </c>
      <c r="N32" s="24"/>
      <c r="O32" s="24"/>
      <c r="P32" s="24"/>
      <c r="Q32" s="24"/>
      <c r="R32" s="24"/>
      <c r="S32" s="24"/>
      <c r="T32" s="24"/>
      <c r="U32" s="24">
        <v>350000</v>
      </c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</row>
    <row r="33" spans="1:81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X33" s="24"/>
      <c r="Y33" s="24"/>
      <c r="Z33" s="24">
        <v>271506</v>
      </c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>
        <v>271506</v>
      </c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</row>
    <row r="34" spans="1:81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</row>
    <row r="35" spans="1:81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>
        <v>100113.9</v>
      </c>
      <c r="T35" s="24"/>
      <c r="U35" s="24"/>
      <c r="V35" s="24">
        <v>100000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>
        <v>200113.9</v>
      </c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>
        <v>200113.9</v>
      </c>
      <c r="BX35" s="24"/>
      <c r="BY35" s="24"/>
      <c r="BZ35" s="24"/>
      <c r="CA35" s="24"/>
      <c r="CB35" s="24"/>
      <c r="CC35" s="24"/>
    </row>
    <row r="36" spans="1:81" s="1" customFormat="1" x14ac:dyDescent="0.2">
      <c r="A36" s="36" t="s">
        <v>53</v>
      </c>
      <c r="B36" s="23"/>
      <c r="C36" s="60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>
        <f>545949/6</f>
        <v>90991.5</v>
      </c>
      <c r="Q36" s="24"/>
      <c r="R36" s="24"/>
      <c r="S36" s="24">
        <f t="shared" ref="S36:Z36" si="4">545949/6</f>
        <v>90991.5</v>
      </c>
      <c r="T36" s="24">
        <f t="shared" si="4"/>
        <v>90991.5</v>
      </c>
      <c r="U36" s="24">
        <f t="shared" si="4"/>
        <v>90991.5</v>
      </c>
      <c r="V36" s="24">
        <f t="shared" si="4"/>
        <v>90991.5</v>
      </c>
      <c r="X36" s="24"/>
      <c r="Y36" s="24"/>
      <c r="Z36" s="24">
        <f t="shared" si="4"/>
        <v>90991.5</v>
      </c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>
        <v>545949</v>
      </c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>
        <v>545949</v>
      </c>
      <c r="BX36" s="24"/>
      <c r="BY36" s="24"/>
      <c r="BZ36" s="24"/>
      <c r="CA36" s="24"/>
      <c r="CB36" s="24"/>
      <c r="CC36" s="24"/>
    </row>
    <row r="37" spans="1:81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</row>
    <row r="38" spans="1:81" s="71" customFormat="1" x14ac:dyDescent="0.2">
      <c r="A38" s="69" t="s">
        <v>14</v>
      </c>
      <c r="B38" s="25" t="s">
        <v>30</v>
      </c>
      <c r="C38" s="70"/>
      <c r="D38" s="24"/>
      <c r="E38" s="108">
        <v>35000</v>
      </c>
      <c r="G38" s="108">
        <f t="shared" ref="G38:S38" si="5">170889/5</f>
        <v>34177.800000000003</v>
      </c>
      <c r="I38" s="108">
        <f>170889/5-823</f>
        <v>33354.800000000003</v>
      </c>
      <c r="J38" s="24"/>
      <c r="K38" s="24"/>
      <c r="L38" s="108">
        <f t="shared" ref="L38:Z38" si="6">191379/5</f>
        <v>38275.800000000003</v>
      </c>
      <c r="M38" s="108">
        <f t="shared" si="6"/>
        <v>38275.800000000003</v>
      </c>
      <c r="N38" s="108">
        <f t="shared" si="6"/>
        <v>38275.800000000003</v>
      </c>
      <c r="P38" s="108">
        <f t="shared" si="6"/>
        <v>38275.800000000003</v>
      </c>
      <c r="Q38" s="24"/>
      <c r="R38" s="24"/>
      <c r="S38" s="108">
        <f t="shared" si="5"/>
        <v>34177.800000000003</v>
      </c>
      <c r="T38" s="24"/>
      <c r="U38" s="108">
        <f>170889/5</f>
        <v>34177.800000000003</v>
      </c>
      <c r="V38" s="24"/>
      <c r="W38" s="24"/>
      <c r="X38" s="24"/>
      <c r="Y38" s="24"/>
      <c r="Z38" s="108">
        <f t="shared" si="6"/>
        <v>38275.800000000003</v>
      </c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</row>
    <row r="39" spans="1:81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100">
        <f t="shared" ref="G39" si="7">156160/6</f>
        <v>26026.666666666668</v>
      </c>
      <c r="H39" s="24"/>
      <c r="J39" s="24"/>
      <c r="K39" s="24"/>
      <c r="L39" s="24"/>
      <c r="M39" s="108">
        <f>156160/6</f>
        <v>26026.666666666668</v>
      </c>
      <c r="N39" s="24"/>
      <c r="O39" s="24"/>
      <c r="P39" s="108">
        <f>156160/6+1026.67</f>
        <v>27053.33666666667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</row>
    <row r="40" spans="1:81" s="71" customFormat="1" x14ac:dyDescent="0.2">
      <c r="A40" s="69" t="s">
        <v>117</v>
      </c>
      <c r="B40" s="25" t="s">
        <v>119</v>
      </c>
      <c r="C40" s="70">
        <v>691000</v>
      </c>
      <c r="D40" s="24"/>
      <c r="E40" s="24"/>
      <c r="F40" s="24"/>
      <c r="G40" s="24"/>
      <c r="H40" s="24"/>
      <c r="I40" s="100">
        <v>91000</v>
      </c>
      <c r="J40" s="24"/>
      <c r="K40" s="24"/>
      <c r="L40" s="108">
        <v>100000</v>
      </c>
      <c r="M40" s="24"/>
      <c r="N40" s="108">
        <v>100000</v>
      </c>
      <c r="O40" s="24"/>
      <c r="P40" s="108">
        <v>100000</v>
      </c>
      <c r="Q40" s="24"/>
      <c r="R40" s="24"/>
      <c r="S40" s="24"/>
      <c r="T40" s="108">
        <v>100000</v>
      </c>
      <c r="U40" s="24"/>
      <c r="V40" s="108">
        <v>100000</v>
      </c>
      <c r="X40" s="24"/>
      <c r="Y40" s="24"/>
      <c r="Z40" s="24"/>
      <c r="AA40" s="24"/>
      <c r="AB40" s="24"/>
      <c r="AC40" s="24"/>
      <c r="AD40" s="108">
        <v>100000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</row>
    <row r="41" spans="1:81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100">
        <v>235200</v>
      </c>
      <c r="Q41" s="24"/>
      <c r="R41" s="24"/>
      <c r="S41" s="24"/>
      <c r="T41" s="24"/>
      <c r="U41" s="24"/>
      <c r="V41" s="100">
        <v>510600</v>
      </c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</row>
    <row r="42" spans="1:81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1375000-500000-175000-50000-25000-25000-25000-50000-25000-50000-25000-25000-30000</f>
        <v>370000</v>
      </c>
      <c r="D42" s="24"/>
      <c r="F42" s="129">
        <v>25000</v>
      </c>
      <c r="G42" s="24"/>
      <c r="H42" s="24"/>
      <c r="I42" s="129">
        <v>40000</v>
      </c>
      <c r="J42" s="24"/>
      <c r="K42" s="24"/>
      <c r="L42" s="129">
        <v>95000</v>
      </c>
      <c r="M42" s="24"/>
      <c r="N42" s="129">
        <v>50000</v>
      </c>
      <c r="O42" s="24"/>
      <c r="P42" s="129">
        <v>50000</v>
      </c>
      <c r="Q42" s="24"/>
      <c r="R42" s="24"/>
      <c r="S42" s="129">
        <v>50000</v>
      </c>
      <c r="T42" s="24"/>
      <c r="U42" s="129">
        <v>25000</v>
      </c>
      <c r="V42" s="24"/>
      <c r="X42" s="24"/>
      <c r="Y42" s="24"/>
      <c r="Z42" s="24"/>
      <c r="AA42" s="24"/>
      <c r="AB42" s="24"/>
      <c r="AC42" s="24"/>
      <c r="AD42" s="129">
        <v>35000</v>
      </c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</row>
    <row r="43" spans="1:81" s="71" customFormat="1" x14ac:dyDescent="0.2">
      <c r="A43" s="69" t="s">
        <v>15</v>
      </c>
      <c r="B43" s="25" t="s">
        <v>31</v>
      </c>
      <c r="C43" s="70">
        <f>2480914-516230-48700-50000</f>
        <v>1865984</v>
      </c>
      <c r="D43" s="24"/>
      <c r="E43" s="108">
        <v>50000</v>
      </c>
      <c r="F43" s="108">
        <v>50000</v>
      </c>
      <c r="G43" s="24"/>
      <c r="H43" s="140">
        <f t="shared" ref="H43" si="8">195080/4</f>
        <v>48770</v>
      </c>
      <c r="I43" s="108">
        <f>(45000+65224)/2</f>
        <v>55112</v>
      </c>
      <c r="J43" s="24"/>
      <c r="K43" s="24"/>
      <c r="L43" s="108">
        <f>(515224/4)/3</f>
        <v>42935.333333333336</v>
      </c>
      <c r="M43" s="108">
        <f t="shared" ref="M43:N43" si="9">(515224/4)/3</f>
        <v>42935.333333333336</v>
      </c>
      <c r="N43" s="108">
        <f t="shared" si="9"/>
        <v>42935.333333333336</v>
      </c>
      <c r="P43" s="140">
        <f>195080/4+5112</f>
        <v>53882</v>
      </c>
      <c r="Q43" s="24"/>
      <c r="R43" s="24"/>
      <c r="S43" s="24"/>
      <c r="T43" s="108">
        <f>516230/10</f>
        <v>51623</v>
      </c>
      <c r="U43" s="108">
        <f t="shared" ref="U43:V43" si="10">516230/10</f>
        <v>51623</v>
      </c>
      <c r="V43" s="108">
        <f t="shared" si="10"/>
        <v>51623</v>
      </c>
      <c r="X43" s="24"/>
      <c r="Y43" s="24"/>
      <c r="Z43" s="108">
        <f>516230/10</f>
        <v>51623</v>
      </c>
      <c r="AA43" s="108">
        <f t="shared" ref="AA43:AC43" si="11">516230/10</f>
        <v>51623</v>
      </c>
      <c r="AB43" s="108">
        <f t="shared" si="11"/>
        <v>51623</v>
      </c>
      <c r="AC43" s="108">
        <f t="shared" si="11"/>
        <v>51623</v>
      </c>
      <c r="AD43" s="108">
        <f>516230/10</f>
        <v>51623</v>
      </c>
      <c r="AE43" s="24"/>
      <c r="AF43" s="24"/>
      <c r="AG43" s="108">
        <f>516230/10</f>
        <v>51623</v>
      </c>
      <c r="AH43" s="108">
        <f>516230/10+15224</f>
        <v>66847</v>
      </c>
      <c r="AI43" s="24"/>
      <c r="AJ43" s="24"/>
      <c r="AK43" s="108">
        <f>516230/10</f>
        <v>51623</v>
      </c>
      <c r="AL43" s="24"/>
      <c r="AM43" s="24"/>
      <c r="AN43" s="98">
        <f>515224/4+54464</f>
        <v>183270</v>
      </c>
      <c r="AO43" s="108">
        <f t="shared" ref="AO43:AR43" si="12">516230/10</f>
        <v>51623</v>
      </c>
      <c r="AP43" s="108">
        <f t="shared" si="12"/>
        <v>51623</v>
      </c>
      <c r="AQ43" s="108">
        <f t="shared" si="12"/>
        <v>51623</v>
      </c>
      <c r="AR43" s="108">
        <f t="shared" si="12"/>
        <v>51623</v>
      </c>
      <c r="AS43" s="24"/>
      <c r="AT43" s="24"/>
      <c r="AU43" s="108">
        <f t="shared" ref="AU43:AY43" si="13">516230/10</f>
        <v>51623</v>
      </c>
      <c r="AV43" s="108">
        <f t="shared" si="13"/>
        <v>51623</v>
      </c>
      <c r="AW43" s="108">
        <f t="shared" si="13"/>
        <v>51623</v>
      </c>
      <c r="AX43" s="108">
        <f t="shared" si="13"/>
        <v>51623</v>
      </c>
      <c r="AY43" s="108">
        <f t="shared" si="13"/>
        <v>51623</v>
      </c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</row>
    <row r="44" spans="1:81" s="71" customFormat="1" x14ac:dyDescent="0.2">
      <c r="A44" s="69" t="s">
        <v>16</v>
      </c>
      <c r="B44" s="25" t="s">
        <v>32</v>
      </c>
      <c r="C44" s="70">
        <f>449410-99410-50000</f>
        <v>300000</v>
      </c>
      <c r="D44" s="24"/>
      <c r="F44" s="108">
        <v>25000</v>
      </c>
      <c r="H44" s="108">
        <v>29120</v>
      </c>
      <c r="J44" s="24"/>
      <c r="K44" s="24"/>
      <c r="L44" s="108">
        <f>(172350+10000)/5</f>
        <v>36470</v>
      </c>
      <c r="M44" s="108">
        <f t="shared" ref="M44:O44" si="14">(172350+10000)/5</f>
        <v>36470</v>
      </c>
      <c r="N44" s="108">
        <f t="shared" si="14"/>
        <v>36470</v>
      </c>
      <c r="O44" s="108">
        <f t="shared" si="14"/>
        <v>36470</v>
      </c>
      <c r="P44" s="28"/>
      <c r="Q44" s="24"/>
      <c r="R44" s="24"/>
      <c r="S44" s="108">
        <v>50000</v>
      </c>
      <c r="T44" s="24"/>
      <c r="U44" s="108">
        <v>50000</v>
      </c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</row>
    <row r="45" spans="1:81" s="71" customFormat="1" x14ac:dyDescent="0.2">
      <c r="A45" s="69" t="s">
        <v>85</v>
      </c>
      <c r="B45" s="25" t="s">
        <v>47</v>
      </c>
      <c r="C45" s="70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</row>
    <row r="46" spans="1:81" s="71" customFormat="1" x14ac:dyDescent="0.2">
      <c r="A46" s="69" t="s">
        <v>143</v>
      </c>
      <c r="B46" s="25" t="s">
        <v>45</v>
      </c>
      <c r="C46" s="24">
        <f>188496*A9</f>
        <v>1975871.6208000001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8"/>
      <c r="X46" s="24"/>
      <c r="Y46" s="24"/>
      <c r="Z46" s="108">
        <f>(188496*$A$9)/15</f>
        <v>131724.77472000002</v>
      </c>
      <c r="AA46" s="108">
        <f t="shared" ref="AA46:AC46" si="15">(188496*$A$9)/15</f>
        <v>131724.77472000002</v>
      </c>
      <c r="AB46" s="108">
        <f t="shared" si="15"/>
        <v>131724.77472000002</v>
      </c>
      <c r="AC46" s="108">
        <f t="shared" si="15"/>
        <v>131724.77472000002</v>
      </c>
      <c r="AD46" s="108">
        <f>((188496*$A$9)/15)*2</f>
        <v>263449.54944000003</v>
      </c>
      <c r="AE46" s="24"/>
      <c r="AF46" s="24"/>
      <c r="AG46" s="108">
        <f>(188496*$A$9)/15</f>
        <v>131724.77472000002</v>
      </c>
      <c r="AH46" s="108">
        <f t="shared" ref="AH46:AK46" si="16">(188496*$A$9)/15</f>
        <v>131724.77472000002</v>
      </c>
      <c r="AI46" s="108">
        <f t="shared" si="16"/>
        <v>131724.77472000002</v>
      </c>
      <c r="AJ46" s="108">
        <f t="shared" si="16"/>
        <v>131724.77472000002</v>
      </c>
      <c r="AK46" s="108">
        <f t="shared" si="16"/>
        <v>131724.77472000002</v>
      </c>
      <c r="AL46" s="24"/>
      <c r="AM46" s="24"/>
      <c r="AN46" s="108">
        <f>(188496*$A$9)/15</f>
        <v>131724.77472000002</v>
      </c>
      <c r="AO46" s="108">
        <f t="shared" ref="AO46:AQ46" si="17">(188496*$A$9)/15</f>
        <v>131724.77472000002</v>
      </c>
      <c r="AP46" s="108">
        <f t="shared" si="17"/>
        <v>131724.77472000002</v>
      </c>
      <c r="AQ46" s="108">
        <f t="shared" si="17"/>
        <v>131724.77472000002</v>
      </c>
      <c r="AR46" s="28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</row>
    <row r="47" spans="1:81" s="71" customFormat="1" x14ac:dyDescent="0.2">
      <c r="A47" s="69" t="s">
        <v>120</v>
      </c>
      <c r="B47" s="25" t="s">
        <v>121</v>
      </c>
      <c r="C47" s="120">
        <f>507000+1014000</f>
        <v>1521000</v>
      </c>
      <c r="D47" s="24"/>
      <c r="F47" s="108">
        <f t="shared" ref="F47:AK47" si="18">507000/9</f>
        <v>56333.333333333336</v>
      </c>
      <c r="H47" s="108">
        <f t="shared" si="18"/>
        <v>56333.333333333336</v>
      </c>
      <c r="I47" s="24"/>
      <c r="J47" s="24"/>
      <c r="K47" s="24"/>
      <c r="L47" s="108">
        <f t="shared" ref="L47:O47" si="19">507000/9</f>
        <v>56333.333333333336</v>
      </c>
      <c r="M47" s="108">
        <f t="shared" si="19"/>
        <v>56333.333333333336</v>
      </c>
      <c r="N47" s="108">
        <f t="shared" si="19"/>
        <v>56333.333333333336</v>
      </c>
      <c r="O47" s="108">
        <f t="shared" si="19"/>
        <v>56333.333333333336</v>
      </c>
      <c r="P47" s="108">
        <f>1014000/11</f>
        <v>92181.818181818177</v>
      </c>
      <c r="Q47" s="24"/>
      <c r="R47" s="24"/>
      <c r="S47" s="108">
        <f t="shared" ref="S47:V47" si="20">1014000/11</f>
        <v>92181.818181818177</v>
      </c>
      <c r="T47" s="108">
        <f t="shared" si="20"/>
        <v>92181.818181818177</v>
      </c>
      <c r="U47" s="108">
        <f t="shared" si="20"/>
        <v>92181.818181818177</v>
      </c>
      <c r="V47" s="108">
        <f t="shared" si="20"/>
        <v>92181.818181818177</v>
      </c>
      <c r="W47" s="28"/>
      <c r="X47" s="24"/>
      <c r="Y47" s="24"/>
      <c r="Z47" s="108">
        <f t="shared" ref="Z47:AC47" si="21">1014000/11</f>
        <v>92181.818181818177</v>
      </c>
      <c r="AA47" s="108">
        <f t="shared" si="21"/>
        <v>92181.818181818177</v>
      </c>
      <c r="AB47" s="108">
        <f t="shared" si="21"/>
        <v>92181.818181818177</v>
      </c>
      <c r="AC47" s="108">
        <f t="shared" si="21"/>
        <v>92181.818181818177</v>
      </c>
      <c r="AD47" s="108">
        <f>(1014000/11)*2</f>
        <v>184363.63636363635</v>
      </c>
      <c r="AE47" s="24"/>
      <c r="AF47" s="24"/>
      <c r="AG47" s="108">
        <f>507000/9</f>
        <v>56333.333333333336</v>
      </c>
      <c r="AH47" s="24"/>
      <c r="AI47" s="108">
        <f t="shared" si="18"/>
        <v>56333.333333333336</v>
      </c>
      <c r="AJ47" s="24"/>
      <c r="AK47" s="108">
        <f t="shared" si="18"/>
        <v>56333.333333333336</v>
      </c>
      <c r="AL47" s="24"/>
      <c r="AM47" s="24"/>
      <c r="AN47" s="24"/>
      <c r="AO47" s="24"/>
      <c r="AP47" s="24"/>
      <c r="AQ47" s="100">
        <v>991000</v>
      </c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</row>
    <row r="48" spans="1:81" s="73" customFormat="1" x14ac:dyDescent="0.2">
      <c r="A48" s="69" t="s">
        <v>22</v>
      </c>
      <c r="B48" s="25" t="s">
        <v>48</v>
      </c>
      <c r="C48" s="137">
        <f>52206*A9-9201*A9</f>
        <v>450791.31150000001</v>
      </c>
      <c r="D48" s="72"/>
      <c r="E48" s="160">
        <f>8700*A9</f>
        <v>91196.010000000009</v>
      </c>
      <c r="F48" s="72"/>
      <c r="G48" s="160">
        <f>(52206*$A$9)/6</f>
        <v>91206.492299999998</v>
      </c>
      <c r="H48" s="72"/>
      <c r="I48" s="24"/>
      <c r="J48" s="72"/>
      <c r="K48" s="72"/>
      <c r="L48" s="160">
        <f>(52206*$A$9)/6</f>
        <v>91206.492299999998</v>
      </c>
      <c r="M48" s="160">
        <f>(52206*$A$9)/6</f>
        <v>91206.492299999998</v>
      </c>
      <c r="N48" s="72"/>
      <c r="O48" s="160">
        <f>(52206*$A$9)/6</f>
        <v>91206.492299999998</v>
      </c>
      <c r="Q48" s="72"/>
      <c r="R48" s="72"/>
      <c r="S48" s="160">
        <f>(52206*$A$9+2988*$A$6)/10</f>
        <v>76001.144579999993</v>
      </c>
      <c r="T48" s="160">
        <f t="shared" ref="T48:V48" si="22">(52206*$A$9+2988*$A$6)/10</f>
        <v>76001.144579999993</v>
      </c>
      <c r="U48" s="160">
        <f t="shared" si="22"/>
        <v>76001.144579999993</v>
      </c>
      <c r="V48" s="160">
        <f t="shared" si="22"/>
        <v>76001.144579999993</v>
      </c>
      <c r="W48" s="72"/>
      <c r="X48" s="72"/>
      <c r="Y48" s="72"/>
      <c r="Z48" s="160">
        <f>(52206*$A$9+2988*$A$6)/10</f>
        <v>76001.144579999993</v>
      </c>
      <c r="AA48" s="160">
        <f t="shared" ref="AA48:AC48" si="23">(52206*$A$9+2988*$A$6)/10</f>
        <v>76001.144579999993</v>
      </c>
      <c r="AB48" s="160">
        <f t="shared" si="23"/>
        <v>76001.144579999993</v>
      </c>
      <c r="AC48" s="160">
        <f t="shared" si="23"/>
        <v>76001.144579999993</v>
      </c>
      <c r="AD48" s="160">
        <f>((52206*$A$9+2988*$A$6)/10)*2</f>
        <v>152002.28915999999</v>
      </c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</row>
    <row r="49" spans="1:81" s="73" customFormat="1" x14ac:dyDescent="0.2">
      <c r="A49" s="69" t="s">
        <v>108</v>
      </c>
      <c r="B49" s="25" t="s">
        <v>109</v>
      </c>
      <c r="C49" s="120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</row>
    <row r="50" spans="1:81" s="71" customFormat="1" x14ac:dyDescent="0.2">
      <c r="A50" s="69" t="s">
        <v>36</v>
      </c>
      <c r="B50" s="25" t="s">
        <v>37</v>
      </c>
      <c r="C50" s="130"/>
      <c r="D50" s="24"/>
      <c r="E50" s="72"/>
      <c r="F50" s="100">
        <f>1000*A6</f>
        <v>71209</v>
      </c>
      <c r="G50" s="28"/>
      <c r="H50" s="28"/>
      <c r="I50" s="24"/>
      <c r="J50" s="24"/>
      <c r="K50" s="24"/>
      <c r="M50" s="24"/>
      <c r="N50" s="24"/>
      <c r="O50" s="24"/>
      <c r="P50" s="24"/>
      <c r="Q50" s="24"/>
      <c r="R50" s="24"/>
      <c r="S50" s="100">
        <f>1037.5*A6</f>
        <v>73879.337500000009</v>
      </c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</row>
    <row r="51" spans="1:81" s="71" customFormat="1" x14ac:dyDescent="0.2">
      <c r="A51" s="69" t="s">
        <v>86</v>
      </c>
      <c r="B51" s="25" t="s">
        <v>35</v>
      </c>
      <c r="C51" s="70">
        <f>1700*A6+4050*A6-250*A6-445*A6-600*A6-600*A6-500*A6-300*A6</f>
        <v>217543.49499999994</v>
      </c>
      <c r="D51" s="77"/>
      <c r="E51" s="72"/>
      <c r="F51" s="24"/>
      <c r="G51" s="108">
        <f>850*$A$6</f>
        <v>60527.65</v>
      </c>
      <c r="H51" s="24"/>
      <c r="I51" s="108">
        <f>500*$A$6+300*A6</f>
        <v>56967.199999999997</v>
      </c>
      <c r="J51" s="24"/>
      <c r="K51" s="24"/>
      <c r="L51" s="100">
        <f>490*A6</f>
        <v>34892.410000000003</v>
      </c>
      <c r="M51" s="108">
        <f>900*$A$6+525*A6</f>
        <v>101472.82500000001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</row>
    <row r="52" spans="1:81" s="71" customFormat="1" x14ac:dyDescent="0.2">
      <c r="A52" s="69" t="s">
        <v>29</v>
      </c>
      <c r="B52" s="25" t="s">
        <v>43</v>
      </c>
      <c r="C52" s="70">
        <f>439750-19750-25000-25000-25000</f>
        <v>345000</v>
      </c>
      <c r="D52" s="24"/>
      <c r="E52" s="72"/>
      <c r="F52" s="28"/>
      <c r="G52" s="73"/>
      <c r="H52" s="28"/>
      <c r="J52" s="24"/>
      <c r="K52" s="24"/>
      <c r="L52" s="95">
        <v>50000</v>
      </c>
      <c r="M52" s="24"/>
      <c r="N52" s="95">
        <v>25000</v>
      </c>
      <c r="O52" s="24"/>
      <c r="P52" s="95">
        <v>25000</v>
      </c>
      <c r="Q52" s="24"/>
      <c r="R52" s="24"/>
      <c r="S52" s="95">
        <v>25000</v>
      </c>
      <c r="T52" s="24"/>
      <c r="U52" s="95">
        <f>50000+14750</f>
        <v>64750</v>
      </c>
      <c r="V52" s="24"/>
      <c r="X52" s="24"/>
      <c r="Y52" s="24"/>
      <c r="Z52" s="95">
        <v>50000</v>
      </c>
      <c r="AA52" s="95">
        <v>25000</v>
      </c>
      <c r="AC52" s="95">
        <v>25000</v>
      </c>
      <c r="AD52" s="95">
        <v>75000</v>
      </c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</row>
    <row r="53" spans="1:81" s="71" customFormat="1" x14ac:dyDescent="0.2">
      <c r="A53" s="69" t="s">
        <v>141</v>
      </c>
      <c r="B53" s="25" t="s">
        <v>142</v>
      </c>
      <c r="C53" s="7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100">
        <v>55053.72</v>
      </c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</row>
    <row r="54" spans="1:81" s="71" customFormat="1" x14ac:dyDescent="0.2">
      <c r="A54" s="69" t="s">
        <v>146</v>
      </c>
      <c r="B54" s="25" t="s">
        <v>147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100">
        <v>90000</v>
      </c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</row>
    <row r="55" spans="1:81" s="71" customFormat="1" x14ac:dyDescent="0.2">
      <c r="A55" s="69" t="s">
        <v>149</v>
      </c>
      <c r="B55" s="25" t="s">
        <v>148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8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</row>
    <row r="56" spans="1:81" s="71" customFormat="1" x14ac:dyDescent="0.2">
      <c r="A56" s="69" t="s">
        <v>124</v>
      </c>
      <c r="B56" s="25" t="s">
        <v>125</v>
      </c>
      <c r="C56" s="70"/>
      <c r="D56" s="24"/>
      <c r="E56" s="24"/>
      <c r="F56" s="24"/>
      <c r="G56" s="24"/>
      <c r="H56" s="24"/>
      <c r="I56" s="24"/>
      <c r="J56" s="24"/>
      <c r="K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100">
        <v>203210</v>
      </c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</row>
    <row r="57" spans="1:81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</row>
    <row r="58" spans="1:81" s="71" customFormat="1" x14ac:dyDescent="0.2">
      <c r="A58" s="69" t="s">
        <v>90</v>
      </c>
      <c r="B58" s="25" t="s">
        <v>91</v>
      </c>
      <c r="C58" s="70">
        <f>912000+1012000-100000-100000-75000-75000-75000</f>
        <v>1499000</v>
      </c>
      <c r="D58" s="77"/>
      <c r="E58" s="129">
        <v>75000</v>
      </c>
      <c r="F58" s="129">
        <v>75000</v>
      </c>
      <c r="G58" s="129">
        <v>75000</v>
      </c>
      <c r="H58" s="129">
        <v>75000</v>
      </c>
      <c r="I58" s="129">
        <v>75000</v>
      </c>
      <c r="J58" s="24"/>
      <c r="K58" s="24"/>
      <c r="L58" s="129">
        <v>75000</v>
      </c>
      <c r="M58" s="28"/>
      <c r="N58" s="129">
        <v>75000</v>
      </c>
      <c r="O58" s="28"/>
      <c r="P58" s="129">
        <v>75000</v>
      </c>
      <c r="Q58" s="24"/>
      <c r="R58" s="24"/>
      <c r="S58" s="129">
        <v>75000</v>
      </c>
      <c r="T58" s="129">
        <v>100000</v>
      </c>
      <c r="U58" s="129">
        <v>100000</v>
      </c>
      <c r="V58" s="129">
        <v>100000</v>
      </c>
      <c r="X58" s="24"/>
      <c r="Y58" s="24"/>
      <c r="Z58" s="129">
        <v>124000</v>
      </c>
      <c r="AA58" s="24"/>
      <c r="AB58" s="129">
        <f>C58-1424000</f>
        <v>75000</v>
      </c>
      <c r="AC58" s="129">
        <v>100000</v>
      </c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</row>
    <row r="59" spans="1:81" s="71" customFormat="1" x14ac:dyDescent="0.2">
      <c r="A59" s="69" t="s">
        <v>144</v>
      </c>
      <c r="B59" s="25" t="s">
        <v>145</v>
      </c>
      <c r="C59" s="70"/>
      <c r="D59" s="77"/>
      <c r="E59" s="28"/>
      <c r="F59" s="28"/>
      <c r="G59" s="28"/>
      <c r="H59" s="28"/>
      <c r="I59" s="158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</row>
    <row r="60" spans="1:81" s="71" customFormat="1" x14ac:dyDescent="0.2">
      <c r="A60" s="69" t="s">
        <v>138</v>
      </c>
      <c r="B60" s="25" t="s">
        <v>136</v>
      </c>
      <c r="C60" s="70"/>
      <c r="D60" s="77"/>
      <c r="E60" s="28"/>
      <c r="F60" s="28"/>
      <c r="G60" s="28"/>
      <c r="H60" s="28"/>
      <c r="I60" s="28"/>
      <c r="J60" s="24"/>
      <c r="K60" s="24"/>
      <c r="L60" s="24"/>
      <c r="M60" s="24"/>
      <c r="N60" s="24"/>
      <c r="O60" s="24"/>
      <c r="P60" s="100">
        <f>(4260*$A$6)/6</f>
        <v>50558.390000000007</v>
      </c>
      <c r="Q60" s="24"/>
      <c r="R60" s="24"/>
      <c r="S60" s="100">
        <f t="shared" ref="S60:AD60" si="24">(4260*$A$6)/6</f>
        <v>50558.390000000007</v>
      </c>
      <c r="T60" s="100">
        <f t="shared" si="24"/>
        <v>50558.390000000007</v>
      </c>
      <c r="U60" s="100">
        <f t="shared" si="24"/>
        <v>50558.390000000007</v>
      </c>
      <c r="V60" s="100">
        <f t="shared" si="24"/>
        <v>50558.390000000007</v>
      </c>
      <c r="X60" s="24"/>
      <c r="Y60" s="24"/>
      <c r="Z60" s="24"/>
      <c r="AA60" s="24"/>
      <c r="AB60" s="24"/>
      <c r="AC60" s="24"/>
      <c r="AD60" s="100">
        <f t="shared" si="24"/>
        <v>50558.390000000007</v>
      </c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</row>
    <row r="61" spans="1:81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</row>
    <row r="62" spans="1:81" s="71" customFormat="1" x14ac:dyDescent="0.2">
      <c r="A62" s="151" t="s">
        <v>139</v>
      </c>
      <c r="B62" s="152" t="s">
        <v>114</v>
      </c>
      <c r="C62" s="70">
        <v>1732500</v>
      </c>
      <c r="D62" s="77"/>
      <c r="E62" s="100">
        <v>693000</v>
      </c>
      <c r="F62" s="28"/>
      <c r="G62" s="28"/>
      <c r="H62" s="24"/>
      <c r="I62" s="28"/>
      <c r="J62" s="24"/>
      <c r="K62" s="24"/>
      <c r="L62" s="100">
        <v>100000</v>
      </c>
      <c r="M62" s="28"/>
      <c r="N62" s="100">
        <v>100000</v>
      </c>
      <c r="O62" s="24"/>
      <c r="P62" s="100">
        <v>100000</v>
      </c>
      <c r="Q62" s="24"/>
      <c r="R62" s="24"/>
      <c r="S62" s="100">
        <v>100000</v>
      </c>
      <c r="T62" s="28"/>
      <c r="U62" s="100">
        <v>239000</v>
      </c>
      <c r="V62" s="24"/>
      <c r="W62" s="28"/>
      <c r="X62" s="24"/>
      <c r="Y62" s="24"/>
      <c r="Z62" s="100">
        <v>100000</v>
      </c>
      <c r="AA62" s="28"/>
      <c r="AB62" s="100">
        <v>100000</v>
      </c>
      <c r="AC62" s="24"/>
      <c r="AD62" s="100">
        <v>200000</v>
      </c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</row>
    <row r="63" spans="1:81" s="71" customFormat="1" x14ac:dyDescent="0.2">
      <c r="A63" s="69" t="s">
        <v>34</v>
      </c>
      <c r="B63" s="25" t="s">
        <v>45</v>
      </c>
      <c r="C63" s="70">
        <f>1014000-100000-100000+400-50000-25000-25000-25000-50000-53800-85600-75000-25000</f>
        <v>400000</v>
      </c>
      <c r="D63" s="77"/>
      <c r="E63" s="129">
        <f>400000/5</f>
        <v>80000</v>
      </c>
      <c r="F63" s="129">
        <f t="shared" ref="F63:I63" si="25">400000/5</f>
        <v>80000</v>
      </c>
      <c r="G63" s="129">
        <f t="shared" si="25"/>
        <v>80000</v>
      </c>
      <c r="H63" s="129">
        <f t="shared" si="25"/>
        <v>80000</v>
      </c>
      <c r="I63" s="129">
        <f t="shared" si="25"/>
        <v>80000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</row>
    <row r="64" spans="1:81" s="71" customFormat="1" x14ac:dyDescent="0.2">
      <c r="A64" s="69" t="s">
        <v>128</v>
      </c>
      <c r="B64" s="25" t="s">
        <v>129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</row>
    <row r="65" spans="1:81" s="71" customFormat="1" x14ac:dyDescent="0.2">
      <c r="A65" s="69" t="s">
        <v>101</v>
      </c>
      <c r="B65" s="25" t="s">
        <v>130</v>
      </c>
      <c r="C65" s="70">
        <f>110000-25000-25000-10000</f>
        <v>50000</v>
      </c>
      <c r="D65" s="77"/>
      <c r="E65" s="24"/>
      <c r="H65" s="28"/>
      <c r="I65" s="24"/>
      <c r="J65" s="24"/>
      <c r="K65" s="24"/>
      <c r="L65" s="24"/>
      <c r="M65" s="24"/>
      <c r="N65" s="108">
        <v>25000</v>
      </c>
      <c r="O65" s="24"/>
      <c r="P65" s="108">
        <f>100000/4</f>
        <v>25000</v>
      </c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</row>
    <row r="66" spans="1:81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</row>
    <row r="67" spans="1:81" s="71" customFormat="1" x14ac:dyDescent="0.2">
      <c r="A67" s="69" t="s">
        <v>38</v>
      </c>
      <c r="B67" s="25" t="s">
        <v>39</v>
      </c>
      <c r="C67" s="70"/>
      <c r="D67" s="24"/>
      <c r="E67" s="24"/>
      <c r="F67" s="118">
        <v>23400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</row>
    <row r="68" spans="1:81" s="71" customFormat="1" x14ac:dyDescent="0.2">
      <c r="A68" s="69" t="s">
        <v>74</v>
      </c>
      <c r="B68" s="25" t="s">
        <v>131</v>
      </c>
      <c r="C68" s="70"/>
      <c r="D68" s="24"/>
      <c r="E68" s="100">
        <v>22000</v>
      </c>
      <c r="F68" s="24"/>
      <c r="G68" s="24"/>
      <c r="H68" s="100">
        <v>15000</v>
      </c>
      <c r="I68" s="143">
        <v>40000</v>
      </c>
      <c r="K68" s="24"/>
      <c r="L68" s="100">
        <v>20000</v>
      </c>
      <c r="M68" s="24"/>
      <c r="N68" s="100">
        <f>80000/2</f>
        <v>40000</v>
      </c>
      <c r="O68" s="24"/>
      <c r="P68" s="24"/>
      <c r="Q68" s="24"/>
      <c r="R68" s="24"/>
      <c r="S68" s="100">
        <v>20000</v>
      </c>
      <c r="T68" s="100">
        <f>7500+16500</f>
        <v>24000</v>
      </c>
      <c r="U68" s="24"/>
      <c r="V68" s="100">
        <v>12500</v>
      </c>
      <c r="X68" s="24"/>
      <c r="Y68" s="24"/>
      <c r="Z68" s="100">
        <f>80000/2</f>
        <v>40000</v>
      </c>
      <c r="AA68" s="24"/>
      <c r="AB68" s="24"/>
      <c r="AC68" s="24"/>
      <c r="AD68" s="100">
        <v>11667</v>
      </c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</row>
    <row r="69" spans="1:81" s="71" customFormat="1" x14ac:dyDescent="0.2">
      <c r="A69" s="69" t="s">
        <v>74</v>
      </c>
      <c r="B69" s="25" t="s">
        <v>150</v>
      </c>
      <c r="C69" s="164">
        <v>3567700</v>
      </c>
      <c r="D69" s="24"/>
      <c r="E69" s="28"/>
      <c r="F69" s="28"/>
      <c r="G69" s="28"/>
      <c r="H69" s="24"/>
      <c r="J69" s="24"/>
      <c r="K69" s="24"/>
      <c r="L69" s="24"/>
      <c r="M69" s="24"/>
      <c r="N69" s="114"/>
      <c r="O69" s="11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</row>
    <row r="70" spans="1:81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</row>
    <row r="71" spans="1:81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</row>
    <row r="72" spans="1:81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</row>
    <row r="73" spans="1:81" s="5" customFormat="1" x14ac:dyDescent="0.2">
      <c r="A73" s="36" t="s">
        <v>49</v>
      </c>
      <c r="B73" s="12"/>
      <c r="C73" s="13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>
        <v>1400000</v>
      </c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</row>
    <row r="74" spans="1:81" s="5" customFormat="1" x14ac:dyDescent="0.2">
      <c r="A74" s="36" t="s">
        <v>57</v>
      </c>
      <c r="B74" s="12"/>
      <c r="C74" s="68"/>
      <c r="D74" s="26"/>
      <c r="F74" s="139">
        <f>1749467.21/0.77</f>
        <v>2272035.3376623373</v>
      </c>
      <c r="G74" s="13"/>
      <c r="H74" s="13"/>
      <c r="I74" s="139">
        <f>1933893.44/0.77</f>
        <v>2511549.9220779222</v>
      </c>
      <c r="J74" s="13"/>
      <c r="K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</row>
    <row r="75" spans="1:81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9">
        <v>390000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</row>
    <row r="76" spans="1:81" s="5" customFormat="1" x14ac:dyDescent="0.2">
      <c r="A76" s="42"/>
      <c r="B76" s="12"/>
      <c r="C76" s="68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</row>
    <row r="77" spans="1:81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</row>
    <row r="78" spans="1:81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</row>
    <row r="79" spans="1:81" s="84" customFormat="1" x14ac:dyDescent="0.2">
      <c r="A79" s="81" t="s">
        <v>66</v>
      </c>
      <c r="B79" s="82"/>
      <c r="C79" s="63"/>
      <c r="D79" s="83"/>
      <c r="E79" s="83">
        <f>$C$5+E16-E26</f>
        <v>5997251.9500000002</v>
      </c>
      <c r="F79" s="83">
        <f t="shared" ref="F79:BN79" si="26">E79+F16-F26</f>
        <v>3319274.2790043293</v>
      </c>
      <c r="G79" s="83">
        <f t="shared" si="26"/>
        <v>2952335.6700376626</v>
      </c>
      <c r="H79" s="83">
        <f t="shared" si="26"/>
        <v>2146102.1213709954</v>
      </c>
      <c r="I79" s="83">
        <f t="shared" si="26"/>
        <v>-836881.80070692673</v>
      </c>
      <c r="J79" s="83">
        <f t="shared" si="26"/>
        <v>-836881.80070692673</v>
      </c>
      <c r="K79" s="83">
        <f t="shared" si="26"/>
        <v>-836881.80070692673</v>
      </c>
      <c r="L79" s="83">
        <f t="shared" si="26"/>
        <v>1423004.8303264068</v>
      </c>
      <c r="M79" s="83">
        <f t="shared" si="26"/>
        <v>630284.37969307322</v>
      </c>
      <c r="N79" s="83">
        <f t="shared" si="26"/>
        <v>41269.913026406663</v>
      </c>
      <c r="O79" s="83">
        <f t="shared" si="26"/>
        <v>-142739.91260692669</v>
      </c>
      <c r="P79" s="83">
        <f t="shared" si="26"/>
        <v>-1105882.7574554116</v>
      </c>
      <c r="Q79" s="83">
        <f t="shared" si="26"/>
        <v>-1105882.7574554116</v>
      </c>
      <c r="R79" s="83">
        <f t="shared" si="26"/>
        <v>-1105882.7574554116</v>
      </c>
      <c r="S79" s="83">
        <f t="shared" si="26"/>
        <v>2555270.8522827704</v>
      </c>
      <c r="T79" s="83">
        <f t="shared" si="26"/>
        <v>1969914.9995209523</v>
      </c>
      <c r="U79" s="83">
        <f t="shared" si="26"/>
        <v>745631.34675913421</v>
      </c>
      <c r="V79" s="83">
        <f t="shared" si="26"/>
        <v>-438824.50600268366</v>
      </c>
      <c r="W79" s="83">
        <f t="shared" si="26"/>
        <v>-438824.50600268366</v>
      </c>
      <c r="X79" s="83">
        <f t="shared" si="26"/>
        <v>-438824.50600268366</v>
      </c>
      <c r="Y79" s="83">
        <f t="shared" si="26"/>
        <v>-438824.50600268366</v>
      </c>
      <c r="Z79" s="83">
        <f t="shared" si="26"/>
        <v>404871.45651549799</v>
      </c>
      <c r="AA79" s="83">
        <f t="shared" si="26"/>
        <v>28340.719033679808</v>
      </c>
      <c r="AB79" s="83">
        <f t="shared" si="26"/>
        <v>-553243.73844813835</v>
      </c>
      <c r="AC79" s="83">
        <f t="shared" si="26"/>
        <v>5501431.262070043</v>
      </c>
      <c r="AD79" s="83">
        <f t="shared" si="26"/>
        <v>4377767.3971064072</v>
      </c>
      <c r="AE79" s="83">
        <f t="shared" si="26"/>
        <v>4377767.3971064072</v>
      </c>
      <c r="AF79" s="83">
        <f t="shared" si="26"/>
        <v>4377767.3971064072</v>
      </c>
      <c r="AG79" s="83">
        <f t="shared" si="26"/>
        <v>3934876.2890530741</v>
      </c>
      <c r="AH79" s="83">
        <f t="shared" si="26"/>
        <v>3736304.514333074</v>
      </c>
      <c r="AI79" s="83">
        <f t="shared" si="26"/>
        <v>3548246.4062797409</v>
      </c>
      <c r="AJ79" s="83">
        <f t="shared" si="26"/>
        <v>3416521.6315597408</v>
      </c>
      <c r="AK79" s="83">
        <f t="shared" si="26"/>
        <v>3176840.5235064076</v>
      </c>
      <c r="AL79" s="83">
        <f t="shared" si="26"/>
        <v>3176840.5235064076</v>
      </c>
      <c r="AM79" s="83">
        <f t="shared" si="26"/>
        <v>3176840.5235064076</v>
      </c>
      <c r="AN79" s="83">
        <f t="shared" si="26"/>
        <v>2861845.7487864075</v>
      </c>
      <c r="AO79" s="83">
        <f t="shared" si="26"/>
        <v>2388800.8407330741</v>
      </c>
      <c r="AP79" s="83">
        <f t="shared" si="26"/>
        <v>2205453.066013074</v>
      </c>
      <c r="AQ79" s="83">
        <f t="shared" si="26"/>
        <v>285042.391293074</v>
      </c>
      <c r="AR79" s="83">
        <f t="shared" si="26"/>
        <v>233419.391293074</v>
      </c>
      <c r="AS79" s="83">
        <f t="shared" si="26"/>
        <v>233419.391293074</v>
      </c>
      <c r="AT79" s="83">
        <f t="shared" si="26"/>
        <v>233419.391293074</v>
      </c>
      <c r="AU79" s="83">
        <f t="shared" si="26"/>
        <v>181796.391293074</v>
      </c>
      <c r="AV79" s="83">
        <f t="shared" si="26"/>
        <v>3068757.5912930742</v>
      </c>
      <c r="AW79" s="83">
        <f t="shared" si="26"/>
        <v>3017134.5912930742</v>
      </c>
      <c r="AX79" s="83">
        <f t="shared" si="26"/>
        <v>2965511.5912930742</v>
      </c>
      <c r="AY79" s="83">
        <f t="shared" si="26"/>
        <v>2913888.5912930742</v>
      </c>
      <c r="AZ79" s="83">
        <f t="shared" si="26"/>
        <v>2913888.5912930742</v>
      </c>
      <c r="BA79" s="83">
        <f t="shared" si="26"/>
        <v>2913888.5912930742</v>
      </c>
      <c r="BB79" s="83">
        <f t="shared" si="26"/>
        <v>2642382.5912930742</v>
      </c>
      <c r="BC79" s="83">
        <f t="shared" si="26"/>
        <v>2642382.5912930742</v>
      </c>
      <c r="BD79" s="83">
        <f t="shared" si="26"/>
        <v>2642382.5912930742</v>
      </c>
      <c r="BE79" s="83">
        <f t="shared" si="26"/>
        <v>2642382.5912930742</v>
      </c>
      <c r="BF79" s="83">
        <f t="shared" si="26"/>
        <v>2642382.5912930742</v>
      </c>
      <c r="BG79" s="83">
        <f t="shared" si="26"/>
        <v>2642382.5912930742</v>
      </c>
      <c r="BH79" s="83">
        <f t="shared" si="26"/>
        <v>2642382.5912930742</v>
      </c>
      <c r="BI79" s="83">
        <f t="shared" si="26"/>
        <v>2642382.5912930742</v>
      </c>
      <c r="BJ79" s="83">
        <f t="shared" si="26"/>
        <v>2642382.5912930742</v>
      </c>
      <c r="BK79" s="83">
        <f t="shared" si="26"/>
        <v>2642382.5912930742</v>
      </c>
      <c r="BL79" s="83">
        <f t="shared" si="26"/>
        <v>2642382.5912930742</v>
      </c>
      <c r="BM79" s="83">
        <f t="shared" si="26"/>
        <v>2642382.5912930742</v>
      </c>
      <c r="BN79" s="83">
        <f t="shared" si="26"/>
        <v>2642382.5912930742</v>
      </c>
      <c r="BO79" s="83">
        <f t="shared" ref="BO79:CC79" si="27">BN79+BO16-BO26</f>
        <v>2642382.5912930742</v>
      </c>
      <c r="BP79" s="83">
        <f t="shared" si="27"/>
        <v>2642382.5912930742</v>
      </c>
      <c r="BQ79" s="83">
        <f t="shared" si="27"/>
        <v>2642382.5912930742</v>
      </c>
      <c r="BR79" s="83">
        <f t="shared" si="27"/>
        <v>2642382.5912930742</v>
      </c>
      <c r="BS79" s="83">
        <f t="shared" si="27"/>
        <v>2642382.5912930742</v>
      </c>
      <c r="BT79" s="83">
        <f t="shared" si="27"/>
        <v>2642382.5912930742</v>
      </c>
      <c r="BU79" s="83">
        <f t="shared" si="27"/>
        <v>2642382.5912930742</v>
      </c>
      <c r="BV79" s="83">
        <f t="shared" si="27"/>
        <v>2642382.5912930742</v>
      </c>
      <c r="BW79" s="83">
        <f t="shared" si="27"/>
        <v>1896319.6912930743</v>
      </c>
      <c r="BX79" s="83">
        <f t="shared" si="27"/>
        <v>1896319.6912930743</v>
      </c>
      <c r="BY79" s="83">
        <f t="shared" si="27"/>
        <v>1896319.6912930743</v>
      </c>
      <c r="BZ79" s="83">
        <f t="shared" si="27"/>
        <v>1896319.6912930743</v>
      </c>
      <c r="CA79" s="83">
        <f t="shared" si="27"/>
        <v>1896319.6912930743</v>
      </c>
      <c r="CB79" s="83">
        <f t="shared" si="27"/>
        <v>1896319.6912930743</v>
      </c>
      <c r="CC79" s="83">
        <f t="shared" si="27"/>
        <v>1896319.6912930743</v>
      </c>
    </row>
    <row r="81" spans="1:81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</row>
    <row r="82" spans="1:81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</row>
    <row r="83" spans="1:81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</row>
    <row r="84" spans="1:81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</row>
    <row r="85" spans="1:81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</row>
    <row r="86" spans="1:81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</row>
    <row r="88" spans="1:81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F88"/>
  <sheetViews>
    <sheetView topLeftCell="A4" workbookViewId="0">
      <selection activeCell="C33" sqref="C33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1.7109375" style="3" bestFit="1" customWidth="1"/>
    <col min="6" max="11" width="10.85546875" style="3" bestFit="1" customWidth="1"/>
    <col min="12" max="12" width="14" style="3" customWidth="1"/>
    <col min="13" max="13" width="12.85546875" style="3" customWidth="1"/>
    <col min="14" max="14" width="14.28515625" style="3" customWidth="1"/>
    <col min="15" max="15" width="12" style="3" customWidth="1"/>
    <col min="16" max="16" width="14.5703125" style="3" customWidth="1"/>
    <col min="17" max="17" width="11.85546875" style="3" customWidth="1"/>
    <col min="18" max="18" width="12.42578125" style="3" customWidth="1"/>
    <col min="19" max="19" width="14.85546875" style="3" customWidth="1"/>
    <col min="20" max="20" width="13" style="3" customWidth="1"/>
    <col min="21" max="21" width="12.7109375" style="3" customWidth="1"/>
    <col min="22" max="22" width="11.85546875" style="3" customWidth="1"/>
    <col min="23" max="23" width="13.140625" style="3" customWidth="1"/>
    <col min="24" max="24" width="11.7109375" style="3" customWidth="1"/>
    <col min="25" max="25" width="12.5703125" style="3" customWidth="1"/>
    <col min="26" max="26" width="15.7109375" style="3" customWidth="1"/>
    <col min="27" max="27" width="12.7109375" style="3" customWidth="1"/>
    <col min="28" max="29" width="12.85546875" style="3" customWidth="1"/>
    <col min="30" max="31" width="11.85546875" style="3" customWidth="1"/>
    <col min="32" max="32" width="13" style="3" customWidth="1"/>
    <col min="33" max="33" width="12.28515625" style="3" customWidth="1"/>
    <col min="34" max="34" width="12.140625" style="3" customWidth="1"/>
    <col min="35" max="35" width="11.140625" style="3" customWidth="1"/>
    <col min="36" max="36" width="12.7109375" style="3" customWidth="1"/>
    <col min="37" max="37" width="11.140625" style="3" customWidth="1"/>
    <col min="38" max="38" width="11.7109375" style="3" customWidth="1"/>
    <col min="39" max="39" width="11.5703125" style="3" customWidth="1"/>
    <col min="40" max="40" width="10.85546875" style="3" customWidth="1"/>
    <col min="41" max="42" width="9" style="3"/>
    <col min="43" max="43" width="12" style="3" customWidth="1"/>
    <col min="44" max="44" width="11.140625" style="3" customWidth="1"/>
    <col min="45" max="45" width="10.28515625" style="3" customWidth="1"/>
    <col min="46" max="46" width="11.42578125" style="3" customWidth="1"/>
    <col min="47" max="47" width="11.7109375" style="3" customWidth="1"/>
    <col min="48" max="50" width="9" style="3"/>
    <col min="51" max="51" width="10.42578125" style="3" customWidth="1"/>
    <col min="52" max="52" width="10.28515625" style="3" bestFit="1" customWidth="1"/>
    <col min="53" max="56" width="9" style="3"/>
    <col min="57" max="57" width="12.42578125" style="3" customWidth="1"/>
    <col min="58" max="75" width="9" style="3"/>
    <col min="76" max="76" width="12.42578125" style="3" customWidth="1"/>
    <col min="77" max="16384" width="9" style="3"/>
  </cols>
  <sheetData>
    <row r="1" spans="1:84" ht="12" thickBot="1" x14ac:dyDescent="0.3"/>
    <row r="2" spans="1:84" s="1" customFormat="1" x14ac:dyDescent="0.2">
      <c r="A2" s="43" t="s">
        <v>50</v>
      </c>
      <c r="B2" s="15" t="s">
        <v>27</v>
      </c>
      <c r="C2" s="50">
        <v>8030303.21</v>
      </c>
    </row>
    <row r="3" spans="1:84" s="1" customFormat="1" ht="12" thickBot="1" x14ac:dyDescent="0.25">
      <c r="A3" s="44">
        <v>83.274600000000007</v>
      </c>
      <c r="B3" s="15" t="s">
        <v>28</v>
      </c>
      <c r="C3" s="50">
        <v>10778.95</v>
      </c>
    </row>
    <row r="4" spans="1:84" s="8" customFormat="1" ht="12" thickBot="1" x14ac:dyDescent="0.25">
      <c r="A4" s="45"/>
      <c r="B4" s="15" t="s">
        <v>25</v>
      </c>
      <c r="C4" s="51">
        <v>0</v>
      </c>
      <c r="G4" s="161"/>
    </row>
    <row r="5" spans="1:84" s="6" customFormat="1" x14ac:dyDescent="0.2">
      <c r="A5" s="43" t="s">
        <v>51</v>
      </c>
      <c r="B5" s="49" t="s">
        <v>26</v>
      </c>
      <c r="C5" s="52">
        <f>SUM(C2:C4)</f>
        <v>8041082.1600000001</v>
      </c>
      <c r="G5" s="162"/>
    </row>
    <row r="6" spans="1:84" s="6" customFormat="1" ht="12" thickBot="1" x14ac:dyDescent="0.25">
      <c r="A6" s="44">
        <v>70.790199999999999</v>
      </c>
      <c r="B6" s="16"/>
      <c r="C6" s="53"/>
      <c r="D6" s="17"/>
      <c r="E6" s="162"/>
    </row>
    <row r="7" spans="1:84" s="6" customFormat="1" ht="12" thickBot="1" x14ac:dyDescent="0.25">
      <c r="A7" s="105" t="s">
        <v>51</v>
      </c>
      <c r="B7" s="18" t="s">
        <v>127</v>
      </c>
      <c r="C7" s="54">
        <f>SUM(16:16)</f>
        <v>26572064.916800003</v>
      </c>
    </row>
    <row r="8" spans="1:84" x14ac:dyDescent="0.25">
      <c r="A8" s="43" t="s">
        <v>52</v>
      </c>
      <c r="B8" s="18" t="s">
        <v>126</v>
      </c>
      <c r="C8" s="54">
        <f>SUM(26:26)</f>
        <v>51439669.127626926</v>
      </c>
    </row>
    <row r="9" spans="1:84" ht="12" thickBot="1" x14ac:dyDescent="0.3">
      <c r="A9" s="44">
        <v>10.398</v>
      </c>
      <c r="B9" s="19" t="s">
        <v>64</v>
      </c>
      <c r="C9" s="55">
        <f>C5+C7-C8-C11</f>
        <v>-32661353.403946925</v>
      </c>
    </row>
    <row r="10" spans="1:84" x14ac:dyDescent="0.25">
      <c r="A10" s="99" t="s">
        <v>80</v>
      </c>
      <c r="B10" s="18" t="s">
        <v>23</v>
      </c>
      <c r="C10" s="56">
        <f>C16</f>
        <v>0</v>
      </c>
    </row>
    <row r="11" spans="1:84" x14ac:dyDescent="0.25">
      <c r="A11" s="101" t="s">
        <v>87</v>
      </c>
      <c r="B11" s="18" t="s">
        <v>24</v>
      </c>
      <c r="C11" s="54">
        <f>C26</f>
        <v>15834831.353120003</v>
      </c>
    </row>
    <row r="12" spans="1:84" x14ac:dyDescent="0.25">
      <c r="A12" s="107" t="s">
        <v>88</v>
      </c>
    </row>
    <row r="13" spans="1:84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84" s="2" customFormat="1" x14ac:dyDescent="0.25">
      <c r="A14" s="64"/>
      <c r="B14" s="65"/>
      <c r="C14" s="58" t="s">
        <v>56</v>
      </c>
      <c r="D14" s="66"/>
      <c r="E14" s="66">
        <v>46164</v>
      </c>
      <c r="F14" s="66">
        <v>46165</v>
      </c>
      <c r="G14" s="66">
        <v>46166</v>
      </c>
      <c r="H14" s="66">
        <v>46167</v>
      </c>
      <c r="I14" s="66">
        <v>46168</v>
      </c>
      <c r="J14" s="66">
        <v>46169</v>
      </c>
      <c r="K14" s="66">
        <v>46170</v>
      </c>
      <c r="L14" s="66">
        <v>46171</v>
      </c>
      <c r="M14" s="66">
        <v>46172</v>
      </c>
      <c r="N14" s="66">
        <v>46173</v>
      </c>
      <c r="O14" s="66">
        <v>46174</v>
      </c>
      <c r="P14" s="66">
        <v>46175</v>
      </c>
      <c r="Q14" s="66">
        <v>46176</v>
      </c>
      <c r="R14" s="66">
        <v>46177</v>
      </c>
      <c r="S14" s="66">
        <v>46178</v>
      </c>
      <c r="T14" s="66">
        <v>46179</v>
      </c>
      <c r="U14" s="66">
        <v>46180</v>
      </c>
      <c r="V14" s="66">
        <v>46181</v>
      </c>
      <c r="W14" s="66">
        <v>46182</v>
      </c>
      <c r="X14" s="66">
        <v>46183</v>
      </c>
      <c r="Y14" s="66">
        <v>46184</v>
      </c>
      <c r="Z14" s="66">
        <v>46185</v>
      </c>
      <c r="AA14" s="66">
        <v>46186</v>
      </c>
      <c r="AB14" s="66">
        <v>46187</v>
      </c>
      <c r="AC14" s="66">
        <v>46188</v>
      </c>
      <c r="AD14" s="66">
        <v>46189</v>
      </c>
      <c r="AE14" s="66">
        <v>46190</v>
      </c>
      <c r="AF14" s="66">
        <v>46191</v>
      </c>
      <c r="AG14" s="66">
        <v>46192</v>
      </c>
      <c r="AH14" s="66">
        <v>46193</v>
      </c>
      <c r="AI14" s="66">
        <v>46194</v>
      </c>
      <c r="AJ14" s="66">
        <v>46195</v>
      </c>
      <c r="AK14" s="66">
        <v>46196</v>
      </c>
      <c r="AL14" s="66">
        <v>46197</v>
      </c>
      <c r="AM14" s="66">
        <v>46198</v>
      </c>
      <c r="AN14" s="66">
        <v>46199</v>
      </c>
      <c r="AO14" s="66">
        <v>46200</v>
      </c>
      <c r="AP14" s="66">
        <v>46201</v>
      </c>
      <c r="AQ14" s="66">
        <v>46202</v>
      </c>
      <c r="AR14" s="66">
        <v>46203</v>
      </c>
      <c r="AS14" s="66">
        <v>46204</v>
      </c>
      <c r="AT14" s="66">
        <v>46205</v>
      </c>
      <c r="AU14" s="66">
        <v>46206</v>
      </c>
      <c r="AV14" s="66">
        <v>46207</v>
      </c>
      <c r="AW14" s="66">
        <v>46208</v>
      </c>
      <c r="AX14" s="66">
        <v>46209</v>
      </c>
      <c r="AY14" s="66">
        <v>46210</v>
      </c>
      <c r="AZ14" s="66">
        <v>46211</v>
      </c>
      <c r="BA14" s="66">
        <v>46212</v>
      </c>
      <c r="BB14" s="66">
        <v>46213</v>
      </c>
      <c r="BC14" s="66">
        <v>46214</v>
      </c>
      <c r="BD14" s="66">
        <v>46215</v>
      </c>
      <c r="BE14" s="66">
        <v>46216</v>
      </c>
      <c r="BF14" s="66">
        <v>46217</v>
      </c>
      <c r="BG14" s="66">
        <v>46218</v>
      </c>
      <c r="BH14" s="66">
        <v>46219</v>
      </c>
      <c r="BI14" s="66">
        <v>46220</v>
      </c>
      <c r="BJ14" s="66">
        <v>46221</v>
      </c>
      <c r="BK14" s="66">
        <v>46222</v>
      </c>
      <c r="BL14" s="66">
        <v>46223</v>
      </c>
      <c r="BM14" s="66">
        <v>46224</v>
      </c>
      <c r="BN14" s="66">
        <v>46225</v>
      </c>
      <c r="BO14" s="66">
        <v>46226</v>
      </c>
      <c r="BP14" s="66">
        <v>46227</v>
      </c>
      <c r="BQ14" s="66">
        <v>46228</v>
      </c>
      <c r="BR14" s="66">
        <v>46229</v>
      </c>
      <c r="BS14" s="66">
        <v>46230</v>
      </c>
      <c r="BT14" s="66">
        <v>46231</v>
      </c>
      <c r="BU14" s="66">
        <v>46232</v>
      </c>
      <c r="BV14" s="66">
        <v>46233</v>
      </c>
      <c r="BW14" s="66">
        <v>46234</v>
      </c>
      <c r="BX14" s="66">
        <v>46235</v>
      </c>
      <c r="BY14" s="66">
        <v>46236</v>
      </c>
      <c r="BZ14" s="66">
        <v>46237</v>
      </c>
      <c r="CA14" s="66">
        <v>46238</v>
      </c>
      <c r="CB14" s="66">
        <v>46239</v>
      </c>
      <c r="CC14" s="66">
        <v>46240</v>
      </c>
      <c r="CD14" s="66">
        <v>46241</v>
      </c>
      <c r="CE14" s="66">
        <v>46242</v>
      </c>
      <c r="CF14" s="66">
        <v>46243</v>
      </c>
    </row>
    <row r="15" spans="1:84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</row>
    <row r="16" spans="1:84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O16" si="0">SUM(E17:E25)</f>
        <v>0</v>
      </c>
      <c r="F16" s="135">
        <f t="shared" si="0"/>
        <v>0</v>
      </c>
      <c r="G16" s="135">
        <f t="shared" si="0"/>
        <v>0</v>
      </c>
      <c r="H16" s="29">
        <f t="shared" si="0"/>
        <v>0</v>
      </c>
      <c r="I16" s="29">
        <f t="shared" si="0"/>
        <v>0</v>
      </c>
      <c r="J16" s="29">
        <f t="shared" si="0"/>
        <v>0</v>
      </c>
      <c r="K16" s="29">
        <f t="shared" si="0"/>
        <v>2726945.7303999998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3000000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4914611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2000000</v>
      </c>
      <c r="AD16" s="29">
        <f t="shared" si="0"/>
        <v>0</v>
      </c>
      <c r="AE16" s="29">
        <f t="shared" si="0"/>
        <v>0</v>
      </c>
      <c r="AF16" s="29">
        <f t="shared" si="0"/>
        <v>8001356.6664000005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29">
        <f t="shared" si="0"/>
        <v>0</v>
      </c>
      <c r="AL16" s="29">
        <f t="shared" si="0"/>
        <v>0</v>
      </c>
      <c r="AM16" s="29">
        <f t="shared" si="0"/>
        <v>0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29">
        <f t="shared" si="0"/>
        <v>2964575.7600000002</v>
      </c>
      <c r="AR16" s="29">
        <f t="shared" si="0"/>
        <v>0</v>
      </c>
      <c r="AS16" s="29">
        <f t="shared" si="0"/>
        <v>0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29">
        <f t="shared" si="0"/>
        <v>2964575.7600000002</v>
      </c>
      <c r="AZ16" s="29">
        <f t="shared" si="0"/>
        <v>0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29">
        <f t="shared" si="0"/>
        <v>0</v>
      </c>
      <c r="BG16" s="29">
        <f t="shared" si="0"/>
        <v>0</v>
      </c>
      <c r="BH16" s="29">
        <f t="shared" si="0"/>
        <v>0</v>
      </c>
      <c r="BI16" s="29">
        <f t="shared" si="0"/>
        <v>0</v>
      </c>
      <c r="BJ16" s="29">
        <f t="shared" si="0"/>
        <v>0</v>
      </c>
      <c r="BK16" s="29">
        <f t="shared" si="0"/>
        <v>0</v>
      </c>
      <c r="BL16" s="29">
        <f t="shared" si="0"/>
        <v>0</v>
      </c>
      <c r="BM16" s="29">
        <f t="shared" si="0"/>
        <v>0</v>
      </c>
      <c r="BN16" s="29">
        <f t="shared" si="0"/>
        <v>0</v>
      </c>
      <c r="BO16" s="29">
        <f t="shared" si="0"/>
        <v>0</v>
      </c>
      <c r="BP16" s="29">
        <f t="shared" ref="BP16:CF16" si="1">SUM(BP17:BP25)</f>
        <v>0</v>
      </c>
      <c r="BQ16" s="29">
        <f t="shared" si="1"/>
        <v>0</v>
      </c>
      <c r="BR16" s="29">
        <f t="shared" si="1"/>
        <v>0</v>
      </c>
      <c r="BS16" s="29">
        <f t="shared" si="1"/>
        <v>0</v>
      </c>
      <c r="BT16" s="29">
        <f t="shared" si="1"/>
        <v>0</v>
      </c>
      <c r="BU16" s="29">
        <f t="shared" si="1"/>
        <v>0</v>
      </c>
      <c r="BV16" s="29">
        <f t="shared" si="1"/>
        <v>0</v>
      </c>
      <c r="BW16" s="29">
        <f t="shared" si="1"/>
        <v>0</v>
      </c>
      <c r="BX16" s="29">
        <f t="shared" si="1"/>
        <v>0</v>
      </c>
      <c r="BY16" s="29">
        <f t="shared" si="1"/>
        <v>0</v>
      </c>
      <c r="BZ16" s="29">
        <f t="shared" si="1"/>
        <v>0</v>
      </c>
      <c r="CA16" s="29">
        <f t="shared" si="1"/>
        <v>0</v>
      </c>
      <c r="CB16" s="29">
        <f t="shared" si="1"/>
        <v>0</v>
      </c>
      <c r="CC16" s="29">
        <f t="shared" si="1"/>
        <v>0</v>
      </c>
      <c r="CD16" s="29">
        <f t="shared" si="1"/>
        <v>0</v>
      </c>
      <c r="CE16" s="29">
        <f t="shared" si="1"/>
        <v>0</v>
      </c>
      <c r="CF16" s="29">
        <f t="shared" si="1"/>
        <v>0</v>
      </c>
    </row>
    <row r="17" spans="1:84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</row>
    <row r="18" spans="1:84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1">
        <f>5300000/2</f>
        <v>2650000</v>
      </c>
      <c r="L18" s="30"/>
      <c r="M18" s="30"/>
      <c r="N18" s="30"/>
      <c r="O18" s="80">
        <v>3000000</v>
      </c>
      <c r="P18" s="30"/>
      <c r="Q18" s="30"/>
      <c r="R18" s="30"/>
      <c r="S18" s="30"/>
      <c r="T18" s="30"/>
      <c r="U18" s="30"/>
      <c r="V18" s="30">
        <v>2000000</v>
      </c>
      <c r="W18" s="30"/>
      <c r="X18" s="30"/>
      <c r="Y18" s="30"/>
      <c r="Z18" s="30"/>
      <c r="AA18" s="30"/>
      <c r="AB18" s="30"/>
      <c r="AC18" s="30">
        <v>2000000</v>
      </c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</row>
    <row r="19" spans="1:84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</row>
    <row r="20" spans="1:84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</row>
    <row r="21" spans="1:84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>
        <f>924*A3</f>
        <v>76945.7304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</row>
    <row r="22" spans="1:84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</row>
    <row r="23" spans="1:84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>
        <f>96084*A3</f>
        <v>8001356.6664000005</v>
      </c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</row>
    <row r="24" spans="1:84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M24" s="30"/>
      <c r="N24" s="30"/>
      <c r="O24" s="30"/>
      <c r="P24" s="30"/>
      <c r="Q24" s="30"/>
      <c r="R24" s="30"/>
      <c r="S24" s="30"/>
      <c r="T24" s="30"/>
      <c r="U24" s="30"/>
      <c r="V24" s="30">
        <f>35000*A3</f>
        <v>2914611</v>
      </c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>
        <f>35600*A3</f>
        <v>2964575.7600000002</v>
      </c>
      <c r="AR24" s="30"/>
      <c r="AS24" s="30"/>
      <c r="AT24" s="30"/>
      <c r="AU24" s="30"/>
      <c r="AV24" s="30"/>
      <c r="AW24" s="30"/>
      <c r="AX24" s="30"/>
      <c r="AY24" s="30">
        <f>35600*A3</f>
        <v>2964575.7600000002</v>
      </c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</row>
    <row r="25" spans="1:84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</row>
    <row r="26" spans="1:84" s="4" customFormat="1" x14ac:dyDescent="0.2">
      <c r="A26" s="41" t="s">
        <v>1</v>
      </c>
      <c r="B26" s="22"/>
      <c r="C26" s="34">
        <f>SUM(C28:C77)</f>
        <v>15834831.353120003</v>
      </c>
      <c r="D26" s="34"/>
      <c r="E26" s="34">
        <f t="shared" ref="E26:BO26" si="2">SUM(E27:E78)</f>
        <v>640064.79700000002</v>
      </c>
      <c r="F26" s="34">
        <f t="shared" si="2"/>
        <v>0</v>
      </c>
      <c r="G26" s="34">
        <f t="shared" si="2"/>
        <v>0</v>
      </c>
      <c r="H26" s="34">
        <f t="shared" si="2"/>
        <v>3540666.1900779223</v>
      </c>
      <c r="I26" s="34">
        <f t="shared" si="2"/>
        <v>2665946.4709956707</v>
      </c>
      <c r="J26" s="34">
        <f t="shared" si="2"/>
        <v>597182.46799999999</v>
      </c>
      <c r="K26" s="34">
        <f t="shared" si="2"/>
        <v>3572504.666666667</v>
      </c>
      <c r="L26" s="34">
        <f t="shared" si="2"/>
        <v>800025.50300000003</v>
      </c>
      <c r="M26" s="34">
        <f t="shared" si="2"/>
        <v>12500</v>
      </c>
      <c r="N26" s="34">
        <f t="shared" si="2"/>
        <v>0</v>
      </c>
      <c r="O26" s="34">
        <f t="shared" si="2"/>
        <v>648701.66466666665</v>
      </c>
      <c r="P26" s="34">
        <f t="shared" si="2"/>
        <v>664487.4646666667</v>
      </c>
      <c r="Q26" s="34">
        <f t="shared" si="2"/>
        <v>604014.46666666656</v>
      </c>
      <c r="R26" s="34">
        <f t="shared" si="2"/>
        <v>3789252.1313333334</v>
      </c>
      <c r="S26" s="34">
        <f t="shared" si="2"/>
        <v>1812056.7701818184</v>
      </c>
      <c r="T26" s="34">
        <f t="shared" si="2"/>
        <v>0</v>
      </c>
      <c r="U26" s="34">
        <f t="shared" si="2"/>
        <v>0</v>
      </c>
      <c r="V26" s="34">
        <f t="shared" si="2"/>
        <v>935240.36124181817</v>
      </c>
      <c r="W26" s="34">
        <f t="shared" si="2"/>
        <v>443240.72874181817</v>
      </c>
      <c r="X26" s="34">
        <f t="shared" si="2"/>
        <v>858990.72874181822</v>
      </c>
      <c r="Y26" s="34">
        <f t="shared" si="2"/>
        <v>929840.72874181811</v>
      </c>
      <c r="Z26" s="34">
        <f t="shared" si="2"/>
        <v>1058303.1559418181</v>
      </c>
      <c r="AA26" s="34">
        <f t="shared" si="2"/>
        <v>0</v>
      </c>
      <c r="AB26" s="34">
        <f t="shared" si="2"/>
        <v>0</v>
      </c>
      <c r="AC26" s="34">
        <f t="shared" si="2"/>
        <v>713906.15594181814</v>
      </c>
      <c r="AD26" s="34">
        <f t="shared" si="2"/>
        <v>349906.15594181814</v>
      </c>
      <c r="AE26" s="34">
        <f t="shared" si="2"/>
        <v>654959.87594181811</v>
      </c>
      <c r="AF26" s="34">
        <f t="shared" si="2"/>
        <v>1749906.1559418181</v>
      </c>
      <c r="AG26" s="34">
        <f t="shared" si="2"/>
        <v>449906.15594181814</v>
      </c>
      <c r="AH26" s="34">
        <f t="shared" si="2"/>
        <v>0</v>
      </c>
      <c r="AI26" s="34">
        <f t="shared" si="2"/>
        <v>0</v>
      </c>
      <c r="AJ26" s="34">
        <f t="shared" si="2"/>
        <v>385498.42720000003</v>
      </c>
      <c r="AK26" s="34">
        <f t="shared" si="2"/>
        <v>130665.42720000001</v>
      </c>
      <c r="AL26" s="34">
        <f t="shared" si="2"/>
        <v>130665.42720000001</v>
      </c>
      <c r="AM26" s="34">
        <f t="shared" si="2"/>
        <v>130665.42720000001</v>
      </c>
      <c r="AN26" s="34">
        <f t="shared" si="2"/>
        <v>646895.42720000003</v>
      </c>
      <c r="AO26" s="34">
        <f t="shared" si="2"/>
        <v>0</v>
      </c>
      <c r="AP26" s="34">
        <f t="shared" si="2"/>
        <v>0</v>
      </c>
      <c r="AQ26" s="34">
        <f t="shared" si="2"/>
        <v>3542216.7605333333</v>
      </c>
      <c r="AR26" s="34">
        <f t="shared" si="2"/>
        <v>130665.42720000001</v>
      </c>
      <c r="AS26" s="34">
        <f t="shared" si="2"/>
        <v>130665.42720000001</v>
      </c>
      <c r="AT26" s="34">
        <f t="shared" si="2"/>
        <v>1867728.3272000002</v>
      </c>
      <c r="AU26" s="34">
        <f t="shared" si="2"/>
        <v>0</v>
      </c>
      <c r="AV26" s="34">
        <f t="shared" si="2"/>
        <v>0</v>
      </c>
      <c r="AW26" s="34">
        <f t="shared" si="2"/>
        <v>0</v>
      </c>
      <c r="AX26" s="34">
        <f t="shared" si="2"/>
        <v>0</v>
      </c>
      <c r="AY26" s="34">
        <f t="shared" si="2"/>
        <v>0</v>
      </c>
      <c r="AZ26" s="34">
        <f t="shared" si="2"/>
        <v>0</v>
      </c>
      <c r="BA26" s="34">
        <f t="shared" si="2"/>
        <v>0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271506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si="2"/>
        <v>0</v>
      </c>
      <c r="BO26" s="34">
        <f t="shared" si="2"/>
        <v>0</v>
      </c>
      <c r="BP26" s="34">
        <f t="shared" ref="BP26:CF26" si="3">SUM(BP27:BP78)</f>
        <v>0</v>
      </c>
      <c r="BQ26" s="34">
        <f t="shared" si="3"/>
        <v>0</v>
      </c>
      <c r="BR26" s="34">
        <f t="shared" si="3"/>
        <v>0</v>
      </c>
      <c r="BS26" s="34">
        <f t="shared" si="3"/>
        <v>0</v>
      </c>
      <c r="BT26" s="34">
        <f t="shared" si="3"/>
        <v>0</v>
      </c>
      <c r="BU26" s="34">
        <f t="shared" si="3"/>
        <v>0</v>
      </c>
      <c r="BV26" s="34">
        <f t="shared" si="3"/>
        <v>0</v>
      </c>
      <c r="BW26" s="34">
        <f t="shared" si="3"/>
        <v>0</v>
      </c>
      <c r="BX26" s="34">
        <f t="shared" si="3"/>
        <v>746062.9</v>
      </c>
      <c r="BY26" s="34">
        <f t="shared" si="3"/>
        <v>0</v>
      </c>
      <c r="BZ26" s="34">
        <f t="shared" si="3"/>
        <v>0</v>
      </c>
      <c r="CA26" s="34">
        <f t="shared" si="3"/>
        <v>0</v>
      </c>
      <c r="CB26" s="34">
        <f t="shared" si="3"/>
        <v>0</v>
      </c>
      <c r="CC26" s="34">
        <f t="shared" si="3"/>
        <v>0</v>
      </c>
      <c r="CD26" s="34">
        <f t="shared" si="3"/>
        <v>0</v>
      </c>
      <c r="CE26" s="34">
        <f t="shared" si="3"/>
        <v>0</v>
      </c>
      <c r="CF26" s="34">
        <f t="shared" si="3"/>
        <v>0</v>
      </c>
    </row>
    <row r="27" spans="1:84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</row>
    <row r="28" spans="1:84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</row>
    <row r="29" spans="1:84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</row>
    <row r="30" spans="1:84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>
        <f>8399365/3</f>
        <v>2799788.3333333335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>
        <f>8399365/3</f>
        <v>2799788.3333333335</v>
      </c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</row>
    <row r="31" spans="1:84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90">
        <f>291375+137118</f>
        <v>428493</v>
      </c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90">
        <f>291375+137118</f>
        <v>428493</v>
      </c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</row>
    <row r="32" spans="1:84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>
        <v>352124.25</v>
      </c>
      <c r="I32" s="24"/>
      <c r="J32" s="24"/>
      <c r="K32" s="24"/>
      <c r="L32" s="24"/>
      <c r="M32" s="24"/>
      <c r="N32" s="24"/>
      <c r="O32" s="24"/>
      <c r="P32" s="24">
        <v>400000</v>
      </c>
      <c r="Q32" s="24"/>
      <c r="R32" s="24"/>
      <c r="S32" s="24"/>
      <c r="T32" s="24"/>
      <c r="U32" s="24"/>
      <c r="V32" s="24"/>
      <c r="W32" s="24"/>
      <c r="X32" s="24">
        <v>350000</v>
      </c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</row>
    <row r="33" spans="1:84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>
        <v>271506</v>
      </c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>
        <v>271506</v>
      </c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</row>
    <row r="34" spans="1:84" s="1" customFormat="1" x14ac:dyDescent="0.2">
      <c r="A34" s="36" t="s">
        <v>54</v>
      </c>
      <c r="B34" s="23"/>
      <c r="C34" s="60"/>
      <c r="D34" s="24"/>
      <c r="E34" s="24">
        <f>100113.9-50000</f>
        <v>50113.899999999994</v>
      </c>
      <c r="F34" s="28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</row>
    <row r="35" spans="1:84" s="1" customFormat="1" x14ac:dyDescent="0.2">
      <c r="A35" s="36" t="s">
        <v>71</v>
      </c>
      <c r="B35" s="23"/>
      <c r="C35" s="60"/>
      <c r="D35" s="24"/>
      <c r="E35" s="24"/>
      <c r="F35" s="28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>
        <v>200113.9</v>
      </c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>
        <v>200113.9</v>
      </c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>
        <v>200113.9</v>
      </c>
      <c r="BY35" s="24"/>
      <c r="BZ35" s="24"/>
      <c r="CA35" s="24"/>
      <c r="CB35" s="24"/>
      <c r="CC35" s="24"/>
      <c r="CD35" s="24"/>
      <c r="CE35" s="24"/>
      <c r="CF35" s="24"/>
    </row>
    <row r="36" spans="1:84" s="1" customFormat="1" x14ac:dyDescent="0.2">
      <c r="A36" s="36" t="s">
        <v>53</v>
      </c>
      <c r="B36" s="23"/>
      <c r="C36" s="60"/>
      <c r="D36" s="24"/>
      <c r="E36" s="24">
        <f>145949-50000</f>
        <v>95949</v>
      </c>
      <c r="F36" s="28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>
        <v>545949</v>
      </c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>
        <v>545949</v>
      </c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>
        <v>545949</v>
      </c>
      <c r="BY36" s="24"/>
      <c r="BZ36" s="24"/>
      <c r="CA36" s="24"/>
      <c r="CB36" s="24"/>
      <c r="CC36" s="24"/>
      <c r="CD36" s="24"/>
      <c r="CE36" s="24"/>
      <c r="CF36" s="24"/>
    </row>
    <row r="37" spans="1:84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</row>
    <row r="38" spans="1:84" s="71" customFormat="1" x14ac:dyDescent="0.2">
      <c r="A38" s="69" t="s">
        <v>14</v>
      </c>
      <c r="B38" s="25" t="s">
        <v>30</v>
      </c>
      <c r="C38" s="70"/>
      <c r="D38" s="24"/>
      <c r="F38" s="24"/>
      <c r="G38" s="24"/>
      <c r="H38" s="108">
        <f>170889/5</f>
        <v>34177.800000000003</v>
      </c>
      <c r="I38" s="108">
        <f t="shared" ref="I38:V38" si="4">170889/5</f>
        <v>34177.800000000003</v>
      </c>
      <c r="J38" s="108">
        <f t="shared" si="4"/>
        <v>34177.800000000003</v>
      </c>
      <c r="L38" s="108">
        <f t="shared" si="4"/>
        <v>34177.800000000003</v>
      </c>
      <c r="M38" s="24"/>
      <c r="N38" s="24"/>
      <c r="O38" s="108">
        <f t="shared" ref="O38:S38" si="5">191379/5</f>
        <v>38275.800000000003</v>
      </c>
      <c r="P38" s="108">
        <f t="shared" si="5"/>
        <v>38275.800000000003</v>
      </c>
      <c r="Q38" s="108">
        <f t="shared" si="5"/>
        <v>38275.800000000003</v>
      </c>
      <c r="R38" s="108">
        <f t="shared" si="5"/>
        <v>38275.800000000003</v>
      </c>
      <c r="S38" s="108">
        <f t="shared" si="5"/>
        <v>38275.800000000003</v>
      </c>
      <c r="T38" s="24"/>
      <c r="U38" s="24"/>
      <c r="V38" s="108">
        <f t="shared" si="4"/>
        <v>34177.800000000003</v>
      </c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</row>
    <row r="39" spans="1:84" s="71" customFormat="1" x14ac:dyDescent="0.2">
      <c r="A39" s="69" t="s">
        <v>115</v>
      </c>
      <c r="B39" s="25" t="s">
        <v>116</v>
      </c>
      <c r="C39" s="70"/>
      <c r="D39" s="24"/>
      <c r="E39" s="100">
        <v>25000</v>
      </c>
      <c r="F39" s="28"/>
      <c r="G39" s="24"/>
      <c r="H39" s="100">
        <f>156160/6</f>
        <v>26026.666666666668</v>
      </c>
      <c r="I39" s="24"/>
      <c r="J39" s="100">
        <f t="shared" ref="J39" si="6">156160/6</f>
        <v>26026.666666666668</v>
      </c>
      <c r="K39" s="24"/>
      <c r="L39" s="100">
        <f>156160/6+1026.67</f>
        <v>27053.33666666667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</row>
    <row r="40" spans="1:84" s="71" customFormat="1" x14ac:dyDescent="0.2">
      <c r="A40" s="69" t="s">
        <v>117</v>
      </c>
      <c r="B40" s="25" t="s">
        <v>119</v>
      </c>
      <c r="C40" s="70">
        <v>691000</v>
      </c>
      <c r="D40" s="24"/>
      <c r="E40" s="24"/>
      <c r="F40" s="28"/>
      <c r="G40" s="24"/>
      <c r="H40" s="24"/>
      <c r="I40" s="24"/>
      <c r="J40" s="24"/>
      <c r="K40" s="24"/>
      <c r="L40" s="100">
        <v>91000</v>
      </c>
      <c r="M40" s="24"/>
      <c r="N40" s="24"/>
      <c r="O40" s="108">
        <v>100000</v>
      </c>
      <c r="P40" s="24"/>
      <c r="Q40" s="108">
        <v>100000</v>
      </c>
      <c r="R40" s="24"/>
      <c r="S40" s="108">
        <v>100000</v>
      </c>
      <c r="T40" s="24"/>
      <c r="U40" s="24"/>
      <c r="V40" s="24"/>
      <c r="W40" s="108">
        <v>100000</v>
      </c>
      <c r="X40" s="24"/>
      <c r="Y40" s="108">
        <v>100000</v>
      </c>
      <c r="Z40" s="108">
        <v>100000</v>
      </c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</row>
    <row r="41" spans="1:84" s="71" customFormat="1" x14ac:dyDescent="0.2">
      <c r="A41" s="69" t="s">
        <v>97</v>
      </c>
      <c r="B41" s="25" t="s">
        <v>137</v>
      </c>
      <c r="C41" s="70"/>
      <c r="D41" s="24"/>
      <c r="E41" s="24"/>
      <c r="F41" s="28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100">
        <v>235200</v>
      </c>
      <c r="T41" s="24"/>
      <c r="U41" s="24"/>
      <c r="V41" s="24"/>
      <c r="W41" s="24"/>
      <c r="X41" s="24"/>
      <c r="Y41" s="100">
        <v>510600</v>
      </c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</row>
    <row r="42" spans="1:84" s="71" customFormat="1" x14ac:dyDescent="0.2">
      <c r="A42" s="69" t="s">
        <v>17</v>
      </c>
      <c r="B42" s="25" t="s">
        <v>41</v>
      </c>
      <c r="C42" s="70">
        <f>1375000-500000-175000-50000-25000-25000-25000-50000-25000-50000-25000-25000</f>
        <v>400000</v>
      </c>
      <c r="D42" s="24"/>
      <c r="E42" s="129">
        <v>30000</v>
      </c>
      <c r="F42" s="28"/>
      <c r="G42" s="24"/>
      <c r="H42" s="129">
        <v>40000</v>
      </c>
      <c r="I42" s="129">
        <v>25000</v>
      </c>
      <c r="J42" s="24"/>
      <c r="K42" s="24"/>
      <c r="M42" s="24"/>
      <c r="N42" s="24"/>
      <c r="O42" s="129">
        <v>95000</v>
      </c>
      <c r="P42" s="24"/>
      <c r="Q42" s="129">
        <v>50000</v>
      </c>
      <c r="R42" s="24"/>
      <c r="S42" s="129">
        <v>50000</v>
      </c>
      <c r="T42" s="24"/>
      <c r="U42" s="24"/>
      <c r="V42" s="129">
        <v>50000</v>
      </c>
      <c r="W42" s="24"/>
      <c r="X42" s="129">
        <v>25000</v>
      </c>
      <c r="Y42" s="24"/>
      <c r="Z42" s="129">
        <v>35000</v>
      </c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</row>
    <row r="43" spans="1:84" s="71" customFormat="1" x14ac:dyDescent="0.2">
      <c r="A43" s="69" t="s">
        <v>15</v>
      </c>
      <c r="B43" s="25" t="s">
        <v>31</v>
      </c>
      <c r="C43" s="70">
        <f>2480914-516230-48700</f>
        <v>1915984</v>
      </c>
      <c r="D43" s="24"/>
      <c r="E43" s="108">
        <v>50000</v>
      </c>
      <c r="F43" s="28"/>
      <c r="G43" s="24"/>
      <c r="H43" s="108">
        <f>(45000+65224)/2</f>
        <v>55112</v>
      </c>
      <c r="I43" s="108">
        <v>50000</v>
      </c>
      <c r="J43" s="24"/>
      <c r="K43" s="140">
        <f t="shared" ref="K43:S43" si="7">195080/4</f>
        <v>48770</v>
      </c>
      <c r="L43" s="108">
        <f>(45000+65224)/2</f>
        <v>55112</v>
      </c>
      <c r="M43" s="24"/>
      <c r="N43" s="24"/>
      <c r="O43" s="98">
        <f>(515224/4)/3</f>
        <v>42935.333333333336</v>
      </c>
      <c r="P43" s="98">
        <f t="shared" ref="P43:Q43" si="8">(515224/4)/3</f>
        <v>42935.333333333336</v>
      </c>
      <c r="Q43" s="98">
        <f t="shared" si="8"/>
        <v>42935.333333333336</v>
      </c>
      <c r="S43" s="140">
        <f t="shared" si="7"/>
        <v>48770</v>
      </c>
      <c r="T43" s="24"/>
      <c r="U43" s="24"/>
      <c r="V43" s="24"/>
      <c r="W43" s="108">
        <f>516230/10</f>
        <v>51623</v>
      </c>
      <c r="X43" s="108">
        <f t="shared" ref="X43:Y43" si="9">516230/10</f>
        <v>51623</v>
      </c>
      <c r="Y43" s="108">
        <f t="shared" si="9"/>
        <v>51623</v>
      </c>
      <c r="Z43" s="108">
        <f>516230/10+15224</f>
        <v>66847</v>
      </c>
      <c r="AA43" s="24"/>
      <c r="AB43" s="24"/>
      <c r="AC43" s="108">
        <f>516230/10</f>
        <v>51623</v>
      </c>
      <c r="AD43" s="108">
        <f t="shared" ref="AD43:AF43" si="10">516230/10</f>
        <v>51623</v>
      </c>
      <c r="AE43" s="108">
        <f t="shared" si="10"/>
        <v>51623</v>
      </c>
      <c r="AF43" s="108">
        <f t="shared" si="10"/>
        <v>51623</v>
      </c>
      <c r="AG43" s="108">
        <f>516230/10</f>
        <v>51623</v>
      </c>
      <c r="AH43" s="24"/>
      <c r="AI43" s="24"/>
      <c r="AJ43" s="108">
        <f>516230/10</f>
        <v>51623</v>
      </c>
      <c r="AK43" s="24"/>
      <c r="AL43" s="24"/>
      <c r="AM43" s="24"/>
      <c r="AN43" s="100">
        <v>516230</v>
      </c>
      <c r="AO43" s="24"/>
      <c r="AP43" s="24"/>
      <c r="AQ43" s="98">
        <f>515224/4+54464</f>
        <v>183270</v>
      </c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</row>
    <row r="44" spans="1:84" s="71" customFormat="1" x14ac:dyDescent="0.2">
      <c r="A44" s="69" t="s">
        <v>16</v>
      </c>
      <c r="B44" s="25" t="s">
        <v>32</v>
      </c>
      <c r="C44" s="70">
        <f>449410-99410</f>
        <v>350000</v>
      </c>
      <c r="D44" s="24"/>
      <c r="E44" s="108">
        <v>50000</v>
      </c>
      <c r="F44" s="28"/>
      <c r="G44" s="24"/>
      <c r="I44" s="108">
        <v>25000</v>
      </c>
      <c r="J44" s="108">
        <v>50000</v>
      </c>
      <c r="K44" s="108">
        <v>29120</v>
      </c>
      <c r="L44" s="108">
        <v>50000</v>
      </c>
      <c r="M44" s="24"/>
      <c r="N44" s="24"/>
      <c r="O44" s="108">
        <f>(172350+10000)/5</f>
        <v>36470</v>
      </c>
      <c r="P44" s="108">
        <f t="shared" ref="P44:R44" si="11">(172350+10000)/5</f>
        <v>36470</v>
      </c>
      <c r="Q44" s="108">
        <f t="shared" si="11"/>
        <v>36470</v>
      </c>
      <c r="R44" s="108">
        <f t="shared" si="11"/>
        <v>36470</v>
      </c>
      <c r="S44" s="28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</row>
    <row r="45" spans="1:84" s="71" customFormat="1" x14ac:dyDescent="0.2">
      <c r="A45" s="69" t="s">
        <v>85</v>
      </c>
      <c r="B45" s="25" t="s">
        <v>47</v>
      </c>
      <c r="C45" s="70">
        <f>640*A6</f>
        <v>45305.728000000003</v>
      </c>
      <c r="D45" s="24"/>
      <c r="E45" s="108">
        <f>645*$A$6</f>
        <v>45659.678999999996</v>
      </c>
      <c r="F45" s="28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</row>
    <row r="46" spans="1:84" s="71" customFormat="1" x14ac:dyDescent="0.2">
      <c r="A46" s="69" t="s">
        <v>143</v>
      </c>
      <c r="B46" s="25" t="s">
        <v>45</v>
      </c>
      <c r="C46" s="24">
        <f>188496*A9</f>
        <v>1959981.4080000001</v>
      </c>
      <c r="D46" s="24"/>
      <c r="E46" s="28"/>
      <c r="F46" s="28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108">
        <f>(188496*$A$9)/15</f>
        <v>130665.42720000001</v>
      </c>
      <c r="AA46" s="24"/>
      <c r="AB46" s="24"/>
      <c r="AC46" s="108">
        <f>(188496*$A$9)/15</f>
        <v>130665.42720000001</v>
      </c>
      <c r="AD46" s="108">
        <f t="shared" ref="AD46:AG46" si="12">(188496*$A$9)/15</f>
        <v>130665.42720000001</v>
      </c>
      <c r="AE46" s="108">
        <f t="shared" si="12"/>
        <v>130665.42720000001</v>
      </c>
      <c r="AF46" s="108">
        <f t="shared" si="12"/>
        <v>130665.42720000001</v>
      </c>
      <c r="AG46" s="108">
        <f t="shared" si="12"/>
        <v>130665.42720000001</v>
      </c>
      <c r="AH46" s="24"/>
      <c r="AI46" s="24"/>
      <c r="AJ46" s="108">
        <f>(188496*$A$9)/15</f>
        <v>130665.42720000001</v>
      </c>
      <c r="AK46" s="108">
        <f t="shared" ref="AK46:AN46" si="13">(188496*$A$9)/15</f>
        <v>130665.42720000001</v>
      </c>
      <c r="AL46" s="108">
        <f t="shared" si="13"/>
        <v>130665.42720000001</v>
      </c>
      <c r="AM46" s="108">
        <f t="shared" si="13"/>
        <v>130665.42720000001</v>
      </c>
      <c r="AN46" s="108">
        <f t="shared" si="13"/>
        <v>130665.42720000001</v>
      </c>
      <c r="AO46" s="24"/>
      <c r="AP46" s="24"/>
      <c r="AQ46" s="108">
        <f>(188496*$A$9)/15</f>
        <v>130665.42720000001</v>
      </c>
      <c r="AR46" s="108">
        <f t="shared" ref="AR46:AT46" si="14">(188496*$A$9)/15</f>
        <v>130665.42720000001</v>
      </c>
      <c r="AS46" s="108">
        <f t="shared" si="14"/>
        <v>130665.42720000001</v>
      </c>
      <c r="AT46" s="108">
        <f t="shared" si="14"/>
        <v>130665.42720000001</v>
      </c>
      <c r="AU46" s="28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</row>
    <row r="47" spans="1:84" s="71" customFormat="1" x14ac:dyDescent="0.2">
      <c r="A47" s="69" t="s">
        <v>120</v>
      </c>
      <c r="B47" s="25" t="s">
        <v>121</v>
      </c>
      <c r="C47" s="120">
        <f>507000+1014000</f>
        <v>1521000</v>
      </c>
      <c r="D47" s="24"/>
      <c r="F47" s="28"/>
      <c r="G47" s="24"/>
      <c r="H47" s="108">
        <f>507000/9</f>
        <v>56333.333333333336</v>
      </c>
      <c r="I47" s="108">
        <f t="shared" ref="I47:L47" si="15">507000/9</f>
        <v>56333.333333333336</v>
      </c>
      <c r="J47" s="108">
        <f t="shared" si="15"/>
        <v>56333.333333333336</v>
      </c>
      <c r="K47" s="108">
        <f t="shared" si="15"/>
        <v>56333.333333333336</v>
      </c>
      <c r="L47" s="108">
        <f t="shared" si="15"/>
        <v>56333.333333333336</v>
      </c>
      <c r="M47" s="24"/>
      <c r="N47" s="24"/>
      <c r="O47" s="108">
        <f t="shared" ref="O47:R47" si="16">507000/9</f>
        <v>56333.333333333336</v>
      </c>
      <c r="P47" s="108">
        <f t="shared" si="16"/>
        <v>56333.333333333336</v>
      </c>
      <c r="Q47" s="108">
        <f t="shared" si="16"/>
        <v>56333.333333333336</v>
      </c>
      <c r="R47" s="108">
        <f t="shared" si="16"/>
        <v>56333.333333333336</v>
      </c>
      <c r="S47" s="108">
        <f>1014000/11</f>
        <v>92181.818181818177</v>
      </c>
      <c r="T47" s="24"/>
      <c r="U47" s="24"/>
      <c r="V47" s="108">
        <f t="shared" ref="V47:Z47" si="17">1014000/11</f>
        <v>92181.818181818177</v>
      </c>
      <c r="W47" s="108">
        <f t="shared" si="17"/>
        <v>92181.818181818177</v>
      </c>
      <c r="X47" s="108">
        <f t="shared" si="17"/>
        <v>92181.818181818177</v>
      </c>
      <c r="Y47" s="108">
        <f t="shared" si="17"/>
        <v>92181.818181818177</v>
      </c>
      <c r="Z47" s="108">
        <f t="shared" si="17"/>
        <v>92181.818181818177</v>
      </c>
      <c r="AA47" s="24"/>
      <c r="AB47" s="24"/>
      <c r="AC47" s="108">
        <f t="shared" ref="AC47:AG47" si="18">1014000/11</f>
        <v>92181.818181818177</v>
      </c>
      <c r="AD47" s="108">
        <f t="shared" si="18"/>
        <v>92181.818181818177</v>
      </c>
      <c r="AE47" s="108">
        <f t="shared" si="18"/>
        <v>92181.818181818177</v>
      </c>
      <c r="AF47" s="108">
        <f t="shared" si="18"/>
        <v>92181.818181818177</v>
      </c>
      <c r="AG47" s="108">
        <f t="shared" si="18"/>
        <v>92181.818181818177</v>
      </c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100">
        <v>991000</v>
      </c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</row>
    <row r="48" spans="1:84" s="73" customFormat="1" x14ac:dyDescent="0.2">
      <c r="A48" s="69" t="s">
        <v>22</v>
      </c>
      <c r="B48" s="25" t="s">
        <v>48</v>
      </c>
      <c r="C48" s="137">
        <f>554840.15</f>
        <v>554840.15</v>
      </c>
      <c r="D48" s="72"/>
      <c r="E48" s="138">
        <f>(52206*$A$9)/6</f>
        <v>90472.998000000007</v>
      </c>
      <c r="F48" s="72"/>
      <c r="G48" s="72"/>
      <c r="H48" s="160">
        <f>(52206*$A$9)/6</f>
        <v>90472.998000000007</v>
      </c>
      <c r="I48" s="72"/>
      <c r="J48" s="160">
        <f>(52206*$A$9)/6</f>
        <v>90472.998000000007</v>
      </c>
      <c r="K48" s="72"/>
      <c r="L48" s="160">
        <f>(52206*$A$9)/6</f>
        <v>90472.998000000007</v>
      </c>
      <c r="M48" s="72"/>
      <c r="N48" s="72"/>
      <c r="O48" s="72"/>
      <c r="P48" s="160">
        <f>(52206*$A$9)/6</f>
        <v>90472.998000000007</v>
      </c>
      <c r="Q48" s="72"/>
      <c r="R48" s="160">
        <f>(52206*$A$9)/6</f>
        <v>90472.998000000007</v>
      </c>
      <c r="T48" s="72"/>
      <c r="U48" s="72"/>
      <c r="V48" s="160">
        <f>(52206*$A$9+2988*$A$6)/10</f>
        <v>75435.910560000004</v>
      </c>
      <c r="W48" s="160">
        <f t="shared" ref="W48:Z48" si="19">(52206*$A$9+2988*$A$6)/10</f>
        <v>75435.910560000004</v>
      </c>
      <c r="X48" s="160">
        <f t="shared" si="19"/>
        <v>75435.910560000004</v>
      </c>
      <c r="Y48" s="160">
        <f t="shared" si="19"/>
        <v>75435.910560000004</v>
      </c>
      <c r="Z48" s="160">
        <f t="shared" si="19"/>
        <v>75435.910560000004</v>
      </c>
      <c r="AA48" s="72"/>
      <c r="AB48" s="72"/>
      <c r="AC48" s="160">
        <f>(52206*$A$9+2988*$A$6)/10</f>
        <v>75435.910560000004</v>
      </c>
      <c r="AD48" s="160">
        <f t="shared" ref="AD48:AG48" si="20">(52206*$A$9+2988*$A$6)/10</f>
        <v>75435.910560000004</v>
      </c>
      <c r="AE48" s="160">
        <f t="shared" si="20"/>
        <v>75435.910560000004</v>
      </c>
      <c r="AF48" s="160">
        <f t="shared" si="20"/>
        <v>75435.910560000004</v>
      </c>
      <c r="AG48" s="160">
        <f t="shared" si="20"/>
        <v>75435.910560000004</v>
      </c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</row>
    <row r="49" spans="1:84" s="73" customFormat="1" x14ac:dyDescent="0.2">
      <c r="A49" s="69" t="s">
        <v>108</v>
      </c>
      <c r="B49" s="25" t="s">
        <v>109</v>
      </c>
      <c r="C49" s="120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</row>
    <row r="50" spans="1:84" s="71" customFormat="1" x14ac:dyDescent="0.2">
      <c r="A50" s="69" t="s">
        <v>36</v>
      </c>
      <c r="B50" s="25" t="s">
        <v>37</v>
      </c>
      <c r="C50" s="130"/>
      <c r="D50" s="24"/>
      <c r="E50" s="100">
        <f>800*A6</f>
        <v>56632.159999999996</v>
      </c>
      <c r="F50" s="28"/>
      <c r="G50" s="24"/>
      <c r="H50" s="100">
        <f>300*A6</f>
        <v>21237.06</v>
      </c>
      <c r="I50" s="28"/>
      <c r="J50" s="28"/>
      <c r="K50" s="28"/>
      <c r="L50" s="24"/>
      <c r="M50" s="24"/>
      <c r="N50" s="24"/>
      <c r="P50" s="24"/>
      <c r="Q50" s="24"/>
      <c r="R50" s="24"/>
      <c r="S50" s="24"/>
      <c r="T50" s="24"/>
      <c r="U50" s="24"/>
      <c r="V50" s="100">
        <f>1037.5*A6</f>
        <v>73444.832500000004</v>
      </c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</row>
    <row r="51" spans="1:84" s="71" customFormat="1" x14ac:dyDescent="0.2">
      <c r="A51" s="69" t="s">
        <v>86</v>
      </c>
      <c r="B51" s="25" t="s">
        <v>35</v>
      </c>
      <c r="C51" s="70">
        <f>1700*A6+4050*A6-250*A6-445*A6-600*A6-600*A6-500*A6</f>
        <v>237501.12100000001</v>
      </c>
      <c r="D51" s="77"/>
      <c r="E51" s="108">
        <f>300*$A$6</f>
        <v>21237.06</v>
      </c>
      <c r="F51" s="28"/>
      <c r="G51" s="24"/>
      <c r="H51" s="108">
        <f>500*$A$6+300*A6</f>
        <v>56632.160000000003</v>
      </c>
      <c r="I51" s="24"/>
      <c r="J51" s="108">
        <f>850*$A$6</f>
        <v>60171.67</v>
      </c>
      <c r="K51" s="24"/>
      <c r="L51" s="108">
        <f>900*$A$6+525*A6</f>
        <v>100876.035</v>
      </c>
      <c r="M51" s="24"/>
      <c r="N51" s="24"/>
      <c r="O51" s="100">
        <f>490*A6</f>
        <v>34687.197999999997</v>
      </c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</row>
    <row r="52" spans="1:84" s="71" customFormat="1" x14ac:dyDescent="0.2">
      <c r="A52" s="69" t="s">
        <v>29</v>
      </c>
      <c r="B52" s="25" t="s">
        <v>43</v>
      </c>
      <c r="C52" s="70">
        <f>439750-19750-25000-25000</f>
        <v>370000</v>
      </c>
      <c r="D52" s="24"/>
      <c r="E52" s="95">
        <v>25000</v>
      </c>
      <c r="F52" s="28"/>
      <c r="G52" s="24"/>
      <c r="I52" s="95">
        <v>25000</v>
      </c>
      <c r="K52" s="95">
        <v>25000</v>
      </c>
      <c r="M52" s="24"/>
      <c r="N52" s="24"/>
      <c r="O52" s="95">
        <v>50000</v>
      </c>
      <c r="P52" s="24"/>
      <c r="Q52" s="95">
        <v>25000</v>
      </c>
      <c r="R52" s="24"/>
      <c r="S52" s="95">
        <v>25000</v>
      </c>
      <c r="T52" s="24"/>
      <c r="U52" s="24"/>
      <c r="V52" s="95">
        <v>25000</v>
      </c>
      <c r="W52" s="24"/>
      <c r="X52" s="95">
        <f>50000+14750</f>
        <v>64750</v>
      </c>
      <c r="Y52" s="24"/>
      <c r="Z52" s="95">
        <v>75000</v>
      </c>
      <c r="AA52" s="24"/>
      <c r="AB52" s="24"/>
      <c r="AC52" s="95">
        <v>50000</v>
      </c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</row>
    <row r="53" spans="1:84" s="71" customFormat="1" x14ac:dyDescent="0.2">
      <c r="A53" s="69" t="s">
        <v>141</v>
      </c>
      <c r="B53" s="25" t="s">
        <v>142</v>
      </c>
      <c r="C53" s="70"/>
      <c r="D53" s="24"/>
      <c r="E53" s="28"/>
      <c r="F53" s="28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100">
        <v>55053.72</v>
      </c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</row>
    <row r="54" spans="1:84" s="71" customFormat="1" x14ac:dyDescent="0.2">
      <c r="A54" s="69" t="s">
        <v>146</v>
      </c>
      <c r="B54" s="25" t="s">
        <v>147</v>
      </c>
      <c r="C54" s="70"/>
      <c r="D54" s="24"/>
      <c r="E54" s="28"/>
      <c r="F54" s="28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100">
        <v>90000</v>
      </c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</row>
    <row r="55" spans="1:84" s="71" customFormat="1" x14ac:dyDescent="0.2">
      <c r="A55" s="69" t="s">
        <v>149</v>
      </c>
      <c r="B55" s="25" t="s">
        <v>148</v>
      </c>
      <c r="C55" s="70"/>
      <c r="D55" s="24"/>
      <c r="E55" s="28"/>
      <c r="F55" s="28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8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</row>
    <row r="56" spans="1:84" s="71" customFormat="1" x14ac:dyDescent="0.2">
      <c r="A56" s="69" t="s">
        <v>124</v>
      </c>
      <c r="B56" s="25" t="s">
        <v>125</v>
      </c>
      <c r="C56" s="70"/>
      <c r="D56" s="24"/>
      <c r="E56" s="24"/>
      <c r="F56" s="28"/>
      <c r="G56" s="24"/>
      <c r="H56" s="24"/>
      <c r="I56" s="24"/>
      <c r="J56" s="24"/>
      <c r="K56" s="24"/>
      <c r="L56" s="24"/>
      <c r="M56" s="24"/>
      <c r="N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100">
        <v>203210</v>
      </c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</row>
    <row r="57" spans="1:84" s="71" customFormat="1" x14ac:dyDescent="0.2">
      <c r="A57" s="69" t="s">
        <v>40</v>
      </c>
      <c r="B57" s="25" t="s">
        <v>44</v>
      </c>
      <c r="C57" s="70"/>
      <c r="D57" s="24"/>
      <c r="E57" s="24"/>
      <c r="F57" s="28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</row>
    <row r="58" spans="1:84" s="71" customFormat="1" x14ac:dyDescent="0.2">
      <c r="A58" s="69" t="s">
        <v>90</v>
      </c>
      <c r="B58" s="25" t="s">
        <v>91</v>
      </c>
      <c r="C58" s="70">
        <f>912000+1012000-100000-100000-75000-75000</f>
        <v>1574000</v>
      </c>
      <c r="D58" s="77"/>
      <c r="E58" s="129">
        <v>75000</v>
      </c>
      <c r="F58" s="28"/>
      <c r="G58" s="28"/>
      <c r="H58" s="129">
        <v>75000</v>
      </c>
      <c r="I58" s="129">
        <v>75000</v>
      </c>
      <c r="J58" s="129">
        <v>75000</v>
      </c>
      <c r="K58" s="129">
        <v>75000</v>
      </c>
      <c r="L58" s="129">
        <v>75000</v>
      </c>
      <c r="M58" s="24"/>
      <c r="N58" s="24"/>
      <c r="O58" s="129">
        <v>75000</v>
      </c>
      <c r="P58" s="28"/>
      <c r="Q58" s="129">
        <v>75000</v>
      </c>
      <c r="R58" s="28"/>
      <c r="S58" s="129">
        <v>75000</v>
      </c>
      <c r="T58" s="24"/>
      <c r="U58" s="24"/>
      <c r="V58" s="129">
        <v>75000</v>
      </c>
      <c r="W58" s="129">
        <v>100000</v>
      </c>
      <c r="X58" s="129">
        <v>100000</v>
      </c>
      <c r="Y58" s="129">
        <v>100000</v>
      </c>
      <c r="Z58" s="129">
        <v>100000</v>
      </c>
      <c r="AA58" s="24"/>
      <c r="AB58" s="24"/>
      <c r="AC58" s="129">
        <v>124000</v>
      </c>
      <c r="AD58" s="24"/>
      <c r="AE58" s="129">
        <f>C58-1424000</f>
        <v>150000</v>
      </c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</row>
    <row r="59" spans="1:84" s="71" customFormat="1" x14ac:dyDescent="0.2">
      <c r="A59" s="69" t="s">
        <v>144</v>
      </c>
      <c r="B59" s="25" t="s">
        <v>145</v>
      </c>
      <c r="C59" s="70"/>
      <c r="D59" s="77"/>
      <c r="F59" s="28"/>
      <c r="G59" s="28"/>
      <c r="H59" s="28"/>
      <c r="I59" s="28"/>
      <c r="J59" s="28"/>
      <c r="K59" s="28"/>
      <c r="L59" s="158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</row>
    <row r="60" spans="1:84" s="71" customFormat="1" x14ac:dyDescent="0.2">
      <c r="A60" s="69" t="s">
        <v>138</v>
      </c>
      <c r="B60" s="25" t="s">
        <v>136</v>
      </c>
      <c r="C60" s="70"/>
      <c r="D60" s="77"/>
      <c r="E60" s="28"/>
      <c r="F60" s="28"/>
      <c r="G60" s="28"/>
      <c r="H60" s="28"/>
      <c r="I60" s="28"/>
      <c r="J60" s="28"/>
      <c r="K60" s="28"/>
      <c r="L60" s="28"/>
      <c r="M60" s="24"/>
      <c r="N60" s="24"/>
      <c r="O60" s="24"/>
      <c r="P60" s="24"/>
      <c r="Q60" s="24"/>
      <c r="R60" s="24"/>
      <c r="S60" s="100">
        <f>4260*A6</f>
        <v>301566.25199999998</v>
      </c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</row>
    <row r="61" spans="1:84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</row>
    <row r="62" spans="1:84" s="71" customFormat="1" x14ac:dyDescent="0.2">
      <c r="A62" s="151" t="s">
        <v>139</v>
      </c>
      <c r="B62" s="152" t="s">
        <v>114</v>
      </c>
      <c r="C62" s="70">
        <v>1732500</v>
      </c>
      <c r="D62" s="77"/>
      <c r="E62" s="24"/>
      <c r="F62" s="28"/>
      <c r="G62" s="28"/>
      <c r="H62" s="100">
        <v>100000</v>
      </c>
      <c r="I62" s="28"/>
      <c r="J62" s="100">
        <v>100000</v>
      </c>
      <c r="K62" s="24"/>
      <c r="L62" s="100">
        <v>100000</v>
      </c>
      <c r="M62" s="24"/>
      <c r="N62" s="24"/>
      <c r="O62" s="100">
        <v>100000</v>
      </c>
      <c r="P62" s="28"/>
      <c r="Q62" s="100">
        <v>100000</v>
      </c>
      <c r="R62" s="24"/>
      <c r="S62" s="100">
        <v>100000</v>
      </c>
      <c r="T62" s="24"/>
      <c r="U62" s="24"/>
      <c r="V62" s="100">
        <v>100000</v>
      </c>
      <c r="W62" s="28"/>
      <c r="X62" s="100">
        <v>100000</v>
      </c>
      <c r="Y62" s="24"/>
      <c r="Z62" s="100">
        <v>100000</v>
      </c>
      <c r="AA62" s="24"/>
      <c r="AB62" s="24"/>
      <c r="AC62" s="100">
        <v>100000</v>
      </c>
      <c r="AD62" s="28"/>
      <c r="AE62" s="100">
        <v>100000</v>
      </c>
      <c r="AF62" s="24"/>
      <c r="AG62" s="100">
        <v>100000</v>
      </c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</row>
    <row r="63" spans="1:84" s="71" customFormat="1" x14ac:dyDescent="0.2">
      <c r="A63" s="69" t="s">
        <v>34</v>
      </c>
      <c r="B63" s="25" t="s">
        <v>45</v>
      </c>
      <c r="C63" s="70">
        <f>1014000-100000-100000+400-50000-25000-25000-25000-50000-53800-85600-75000-25000</f>
        <v>400000</v>
      </c>
      <c r="D63" s="77"/>
      <c r="E63" s="24"/>
      <c r="F63" s="24"/>
      <c r="G63" s="24"/>
      <c r="H63" s="129">
        <f>400000/5</f>
        <v>80000</v>
      </c>
      <c r="I63" s="129">
        <f t="shared" ref="I63:L63" si="21">400000/5</f>
        <v>80000</v>
      </c>
      <c r="J63" s="129">
        <f t="shared" si="21"/>
        <v>80000</v>
      </c>
      <c r="K63" s="129">
        <f t="shared" si="21"/>
        <v>80000</v>
      </c>
      <c r="L63" s="129">
        <f t="shared" si="21"/>
        <v>80000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</row>
    <row r="64" spans="1:84" s="71" customFormat="1" x14ac:dyDescent="0.2">
      <c r="A64" s="69" t="s">
        <v>128</v>
      </c>
      <c r="B64" s="25" t="s">
        <v>129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</row>
    <row r="65" spans="1:84" s="71" customFormat="1" x14ac:dyDescent="0.2">
      <c r="A65" s="69" t="s">
        <v>101</v>
      </c>
      <c r="B65" s="25" t="s">
        <v>130</v>
      </c>
      <c r="C65" s="70">
        <f>110000-25000</f>
        <v>85000</v>
      </c>
      <c r="D65" s="77"/>
      <c r="E65" s="108">
        <f t="shared" ref="E65" si="22">100000/4</f>
        <v>25000</v>
      </c>
      <c r="F65" s="24"/>
      <c r="G65" s="24"/>
      <c r="H65" s="108">
        <v>20000</v>
      </c>
      <c r="I65" s="24"/>
      <c r="J65" s="108">
        <f>100000/4</f>
        <v>25000</v>
      </c>
      <c r="K65" s="108">
        <v>15000</v>
      </c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</row>
    <row r="66" spans="1:84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</row>
    <row r="67" spans="1:84" s="71" customFormat="1" x14ac:dyDescent="0.2">
      <c r="A67" s="69" t="s">
        <v>38</v>
      </c>
      <c r="B67" s="25" t="s">
        <v>39</v>
      </c>
      <c r="C67" s="70"/>
      <c r="D67" s="24"/>
      <c r="E67" s="24"/>
      <c r="F67" s="24"/>
      <c r="G67" s="24"/>
      <c r="H67" s="24"/>
      <c r="I67" s="118">
        <v>23400</v>
      </c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</row>
    <row r="68" spans="1:84" s="71" customFormat="1" x14ac:dyDescent="0.2">
      <c r="A68" s="69" t="s">
        <v>74</v>
      </c>
      <c r="B68" s="25" t="s">
        <v>131</v>
      </c>
      <c r="C68" s="70"/>
      <c r="D68" s="24"/>
      <c r="E68" s="24"/>
      <c r="F68" s="24"/>
      <c r="G68" s="24"/>
      <c r="H68" s="100">
        <v>22000</v>
      </c>
      <c r="I68" s="24"/>
      <c r="J68" s="24"/>
      <c r="K68" s="100">
        <v>15000</v>
      </c>
      <c r="L68" s="143">
        <v>40000</v>
      </c>
      <c r="M68" s="100">
        <v>12500</v>
      </c>
      <c r="N68" s="24"/>
      <c r="O68" s="100">
        <v>20000</v>
      </c>
      <c r="P68" s="24"/>
      <c r="Q68" s="100">
        <v>80000</v>
      </c>
      <c r="R68" s="24"/>
      <c r="S68" s="24"/>
      <c r="T68" s="24"/>
      <c r="U68" s="24"/>
      <c r="V68" s="100">
        <v>20000</v>
      </c>
      <c r="W68" s="100">
        <f>7500+16500</f>
        <v>24000</v>
      </c>
      <c r="X68" s="24"/>
      <c r="Y68" s="24"/>
      <c r="Z68" s="100">
        <v>11667</v>
      </c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</row>
    <row r="69" spans="1:84" s="71" customFormat="1" x14ac:dyDescent="0.2">
      <c r="A69" s="69" t="s">
        <v>74</v>
      </c>
      <c r="B69" s="25" t="s">
        <v>83</v>
      </c>
      <c r="C69" s="70"/>
      <c r="D69" s="24"/>
      <c r="E69" s="28"/>
      <c r="F69" s="28"/>
      <c r="G69" s="28"/>
      <c r="H69" s="28"/>
      <c r="I69" s="28"/>
      <c r="J69" s="28"/>
      <c r="K69" s="24"/>
      <c r="M69" s="24"/>
      <c r="N69" s="24"/>
      <c r="O69" s="24"/>
      <c r="P69" s="24"/>
      <c r="Q69" s="114"/>
      <c r="R69" s="114">
        <v>3567700</v>
      </c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</row>
    <row r="70" spans="1:84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</row>
    <row r="71" spans="1:84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3"/>
      <c r="CF71" s="93"/>
    </row>
    <row r="72" spans="1:84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</row>
    <row r="73" spans="1:84" s="5" customFormat="1" x14ac:dyDescent="0.2">
      <c r="A73" s="36" t="s">
        <v>49</v>
      </c>
      <c r="B73" s="12"/>
      <c r="C73" s="13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>
        <v>1400000</v>
      </c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</row>
    <row r="74" spans="1:84" s="5" customFormat="1" x14ac:dyDescent="0.2">
      <c r="A74" s="36" t="s">
        <v>57</v>
      </c>
      <c r="B74" s="12"/>
      <c r="C74" s="68"/>
      <c r="D74" s="26"/>
      <c r="F74" s="13"/>
      <c r="G74" s="13"/>
      <c r="H74" s="139">
        <f>1933893.44/0.77</f>
        <v>2511549.9220779222</v>
      </c>
      <c r="I74" s="139">
        <f>1749467.21/0.77</f>
        <v>2272035.3376623373</v>
      </c>
      <c r="J74" s="13"/>
      <c r="K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</row>
    <row r="75" spans="1:84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9">
        <v>390000</v>
      </c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</row>
    <row r="76" spans="1:84" s="5" customFormat="1" x14ac:dyDescent="0.2">
      <c r="A76" s="42"/>
      <c r="B76" s="12"/>
      <c r="C76" s="68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</row>
    <row r="77" spans="1:84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</row>
    <row r="78" spans="1:84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</row>
    <row r="79" spans="1:84" s="84" customFormat="1" x14ac:dyDescent="0.2">
      <c r="A79" s="81" t="s">
        <v>66</v>
      </c>
      <c r="B79" s="82"/>
      <c r="C79" s="63"/>
      <c r="D79" s="83"/>
      <c r="E79" s="83">
        <f>$C$5+E16-E26</f>
        <v>7401017.3629999999</v>
      </c>
      <c r="F79" s="83">
        <f t="shared" ref="F79:BP79" si="23">E79+F16-F26</f>
        <v>7401017.3629999999</v>
      </c>
      <c r="G79" s="83">
        <f t="shared" si="23"/>
        <v>7401017.3629999999</v>
      </c>
      <c r="H79" s="83">
        <f t="shared" si="23"/>
        <v>3860351.1729220776</v>
      </c>
      <c r="I79" s="83">
        <f t="shared" si="23"/>
        <v>1194404.7019264069</v>
      </c>
      <c r="J79" s="83">
        <f t="shared" si="23"/>
        <v>597222.23392640695</v>
      </c>
      <c r="K79" s="83">
        <f t="shared" si="23"/>
        <v>-248336.70234026015</v>
      </c>
      <c r="L79" s="83">
        <f t="shared" si="23"/>
        <v>-1048362.2053402602</v>
      </c>
      <c r="M79" s="83">
        <f t="shared" si="23"/>
        <v>-1060862.2053402602</v>
      </c>
      <c r="N79" s="83">
        <f t="shared" si="23"/>
        <v>-1060862.2053402602</v>
      </c>
      <c r="O79" s="83">
        <f t="shared" si="23"/>
        <v>1290436.1299930732</v>
      </c>
      <c r="P79" s="83">
        <f t="shared" si="23"/>
        <v>625948.66532640648</v>
      </c>
      <c r="Q79" s="83">
        <f t="shared" si="23"/>
        <v>21934.198659739923</v>
      </c>
      <c r="R79" s="83">
        <f t="shared" si="23"/>
        <v>-3767317.9326735935</v>
      </c>
      <c r="S79" s="83">
        <f t="shared" si="23"/>
        <v>-5579374.7028554119</v>
      </c>
      <c r="T79" s="83">
        <f t="shared" si="23"/>
        <v>-5579374.7028554119</v>
      </c>
      <c r="U79" s="83">
        <f t="shared" si="23"/>
        <v>-5579374.7028554119</v>
      </c>
      <c r="V79" s="83">
        <f t="shared" si="23"/>
        <v>-1600004.0640972301</v>
      </c>
      <c r="W79" s="83">
        <f t="shared" si="23"/>
        <v>-2043244.7928390482</v>
      </c>
      <c r="X79" s="83">
        <f t="shared" si="23"/>
        <v>-2902235.5215808665</v>
      </c>
      <c r="Y79" s="83">
        <f t="shared" si="23"/>
        <v>-3832076.2503226846</v>
      </c>
      <c r="Z79" s="83">
        <f t="shared" si="23"/>
        <v>-4890379.4062645026</v>
      </c>
      <c r="AA79" s="83">
        <f t="shared" si="23"/>
        <v>-4890379.4062645026</v>
      </c>
      <c r="AB79" s="83">
        <f t="shared" si="23"/>
        <v>-4890379.4062645026</v>
      </c>
      <c r="AC79" s="83">
        <f t="shared" si="23"/>
        <v>-3604285.5622063205</v>
      </c>
      <c r="AD79" s="83">
        <f t="shared" si="23"/>
        <v>-3954191.7181481384</v>
      </c>
      <c r="AE79" s="83">
        <f t="shared" si="23"/>
        <v>-4609151.594089957</v>
      </c>
      <c r="AF79" s="83">
        <f t="shared" si="23"/>
        <v>1642298.9163682254</v>
      </c>
      <c r="AG79" s="83">
        <f t="shared" si="23"/>
        <v>1192392.7604264072</v>
      </c>
      <c r="AH79" s="83">
        <f t="shared" si="23"/>
        <v>1192392.7604264072</v>
      </c>
      <c r="AI79" s="83">
        <f t="shared" si="23"/>
        <v>1192392.7604264072</v>
      </c>
      <c r="AJ79" s="83">
        <f t="shared" si="23"/>
        <v>806894.33322640718</v>
      </c>
      <c r="AK79" s="83">
        <f t="shared" si="23"/>
        <v>676228.90602640714</v>
      </c>
      <c r="AL79" s="83">
        <f t="shared" si="23"/>
        <v>545563.47882640711</v>
      </c>
      <c r="AM79" s="83">
        <f t="shared" si="23"/>
        <v>414898.05162640708</v>
      </c>
      <c r="AN79" s="83">
        <f t="shared" si="23"/>
        <v>-231997.37557359296</v>
      </c>
      <c r="AO79" s="83">
        <f t="shared" si="23"/>
        <v>-231997.37557359296</v>
      </c>
      <c r="AP79" s="83">
        <f t="shared" si="23"/>
        <v>-231997.37557359296</v>
      </c>
      <c r="AQ79" s="83">
        <f t="shared" si="23"/>
        <v>-809638.37610692577</v>
      </c>
      <c r="AR79" s="83">
        <f t="shared" si="23"/>
        <v>-940303.80330692581</v>
      </c>
      <c r="AS79" s="83">
        <f t="shared" si="23"/>
        <v>-1070969.2305069258</v>
      </c>
      <c r="AT79" s="83">
        <f t="shared" si="23"/>
        <v>-2938697.557706926</v>
      </c>
      <c r="AU79" s="83">
        <f t="shared" si="23"/>
        <v>-2938697.557706926</v>
      </c>
      <c r="AV79" s="83">
        <f t="shared" si="23"/>
        <v>-2938697.557706926</v>
      </c>
      <c r="AW79" s="83">
        <f t="shared" si="23"/>
        <v>-2938697.557706926</v>
      </c>
      <c r="AX79" s="83">
        <f t="shared" si="23"/>
        <v>-2938697.557706926</v>
      </c>
      <c r="AY79" s="83">
        <f t="shared" si="23"/>
        <v>25878.202293074224</v>
      </c>
      <c r="AZ79" s="83">
        <f t="shared" si="23"/>
        <v>25878.202293074224</v>
      </c>
      <c r="BA79" s="83">
        <f t="shared" si="23"/>
        <v>25878.202293074224</v>
      </c>
      <c r="BB79" s="83">
        <f t="shared" si="23"/>
        <v>25878.202293074224</v>
      </c>
      <c r="BC79" s="83">
        <f t="shared" si="23"/>
        <v>25878.202293074224</v>
      </c>
      <c r="BD79" s="83">
        <f t="shared" si="23"/>
        <v>25878.202293074224</v>
      </c>
      <c r="BE79" s="83">
        <f t="shared" si="23"/>
        <v>-245627.79770692578</v>
      </c>
      <c r="BF79" s="83">
        <f t="shared" si="23"/>
        <v>-245627.79770692578</v>
      </c>
      <c r="BG79" s="83">
        <f t="shared" si="23"/>
        <v>-245627.79770692578</v>
      </c>
      <c r="BH79" s="83">
        <f t="shared" si="23"/>
        <v>-245627.79770692578</v>
      </c>
      <c r="BI79" s="83">
        <f t="shared" si="23"/>
        <v>-245627.79770692578</v>
      </c>
      <c r="BJ79" s="83">
        <f t="shared" si="23"/>
        <v>-245627.79770692578</v>
      </c>
      <c r="BK79" s="83">
        <f t="shared" si="23"/>
        <v>-245627.79770692578</v>
      </c>
      <c r="BL79" s="83">
        <f t="shared" si="23"/>
        <v>-245627.79770692578</v>
      </c>
      <c r="BM79" s="83">
        <f t="shared" si="23"/>
        <v>-245627.79770692578</v>
      </c>
      <c r="BN79" s="83">
        <f t="shared" si="23"/>
        <v>-245627.79770692578</v>
      </c>
      <c r="BO79" s="83">
        <f t="shared" si="23"/>
        <v>-245627.79770692578</v>
      </c>
      <c r="BP79" s="83">
        <f t="shared" si="23"/>
        <v>-245627.79770692578</v>
      </c>
      <c r="BQ79" s="83">
        <f t="shared" ref="BQ79:CF79" si="24">BP79+BQ16-BQ26</f>
        <v>-245627.79770692578</v>
      </c>
      <c r="BR79" s="83">
        <f t="shared" si="24"/>
        <v>-245627.79770692578</v>
      </c>
      <c r="BS79" s="83">
        <f t="shared" si="24"/>
        <v>-245627.79770692578</v>
      </c>
      <c r="BT79" s="83">
        <f t="shared" si="24"/>
        <v>-245627.79770692578</v>
      </c>
      <c r="BU79" s="83">
        <f t="shared" si="24"/>
        <v>-245627.79770692578</v>
      </c>
      <c r="BV79" s="83">
        <f t="shared" si="24"/>
        <v>-245627.79770692578</v>
      </c>
      <c r="BW79" s="83">
        <f t="shared" si="24"/>
        <v>-245627.79770692578</v>
      </c>
      <c r="BX79" s="83">
        <f t="shared" si="24"/>
        <v>-991690.6977069258</v>
      </c>
      <c r="BY79" s="83">
        <f t="shared" si="24"/>
        <v>-991690.6977069258</v>
      </c>
      <c r="BZ79" s="83">
        <f t="shared" si="24"/>
        <v>-991690.6977069258</v>
      </c>
      <c r="CA79" s="83">
        <f t="shared" si="24"/>
        <v>-991690.6977069258</v>
      </c>
      <c r="CB79" s="83">
        <f t="shared" si="24"/>
        <v>-991690.6977069258</v>
      </c>
      <c r="CC79" s="83">
        <f t="shared" si="24"/>
        <v>-991690.6977069258</v>
      </c>
      <c r="CD79" s="83">
        <f t="shared" si="24"/>
        <v>-991690.6977069258</v>
      </c>
      <c r="CE79" s="83">
        <f t="shared" si="24"/>
        <v>-991690.6977069258</v>
      </c>
      <c r="CF79" s="83">
        <f t="shared" si="24"/>
        <v>-991690.6977069258</v>
      </c>
    </row>
    <row r="81" spans="1:84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</row>
    <row r="82" spans="1:84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</row>
    <row r="83" spans="1:84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</row>
    <row r="84" spans="1:84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</row>
    <row r="85" spans="1:84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</row>
    <row r="86" spans="1:84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</row>
    <row r="88" spans="1:84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G88"/>
  <sheetViews>
    <sheetView topLeftCell="A10" workbookViewId="0">
      <selection activeCell="W75" sqref="W75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0.85546875" style="3" bestFit="1" customWidth="1"/>
    <col min="6" max="6" width="11.7109375" style="3" bestFit="1" customWidth="1"/>
    <col min="7" max="12" width="10.85546875" style="3" bestFit="1" customWidth="1"/>
    <col min="13" max="13" width="14" style="3" customWidth="1"/>
    <col min="14" max="14" width="12.85546875" style="3" customWidth="1"/>
    <col min="15" max="15" width="14.28515625" style="3" customWidth="1"/>
    <col min="16" max="16" width="12" style="3" customWidth="1"/>
    <col min="17" max="17" width="14.5703125" style="3" customWidth="1"/>
    <col min="18" max="18" width="11.85546875" style="3" customWidth="1"/>
    <col min="19" max="19" width="12.42578125" style="3" customWidth="1"/>
    <col min="20" max="20" width="14.85546875" style="3" customWidth="1"/>
    <col min="21" max="21" width="13" style="3" customWidth="1"/>
    <col min="22" max="22" width="12.7109375" style="3" customWidth="1"/>
    <col min="23" max="23" width="11.85546875" style="3" customWidth="1"/>
    <col min="24" max="24" width="13.140625" style="3" customWidth="1"/>
    <col min="25" max="25" width="11.7109375" style="3" customWidth="1"/>
    <col min="26" max="26" width="12.5703125" style="3" customWidth="1"/>
    <col min="27" max="27" width="15.7109375" style="3" customWidth="1"/>
    <col min="28" max="28" width="12.7109375" style="3" customWidth="1"/>
    <col min="29" max="30" width="12.85546875" style="3" customWidth="1"/>
    <col min="31" max="32" width="11.85546875" style="3" customWidth="1"/>
    <col min="33" max="33" width="13" style="3" customWidth="1"/>
    <col min="34" max="34" width="12.28515625" style="3" customWidth="1"/>
    <col min="35" max="35" width="12.140625" style="3" customWidth="1"/>
    <col min="36" max="36" width="11.140625" style="3" customWidth="1"/>
    <col min="37" max="37" width="12.7109375" style="3" customWidth="1"/>
    <col min="38" max="38" width="11.140625" style="3" customWidth="1"/>
    <col min="39" max="39" width="11.7109375" style="3" customWidth="1"/>
    <col min="40" max="40" width="11.5703125" style="3" customWidth="1"/>
    <col min="41" max="41" width="10.85546875" style="3" customWidth="1"/>
    <col min="42" max="43" width="9" style="3"/>
    <col min="44" max="44" width="12" style="3" customWidth="1"/>
    <col min="45" max="45" width="11.140625" style="3" customWidth="1"/>
    <col min="46" max="46" width="10.28515625" style="3" customWidth="1"/>
    <col min="47" max="47" width="11.42578125" style="3" customWidth="1"/>
    <col min="48" max="48" width="11.7109375" style="3" customWidth="1"/>
    <col min="49" max="51" width="9" style="3"/>
    <col min="52" max="52" width="10.42578125" style="3" customWidth="1"/>
    <col min="53" max="53" width="10.28515625" style="3" bestFit="1" customWidth="1"/>
    <col min="54" max="57" width="9" style="3"/>
    <col min="58" max="58" width="12.42578125" style="3" customWidth="1"/>
    <col min="59" max="76" width="9" style="3"/>
    <col min="77" max="77" width="12.42578125" style="3" customWidth="1"/>
    <col min="78" max="16384" width="9" style="3"/>
  </cols>
  <sheetData>
    <row r="1" spans="1:85" ht="12" thickBot="1" x14ac:dyDescent="0.3"/>
    <row r="2" spans="1:85" s="1" customFormat="1" x14ac:dyDescent="0.2">
      <c r="A2" s="43" t="s">
        <v>50</v>
      </c>
      <c r="B2" s="15" t="s">
        <v>27</v>
      </c>
      <c r="C2" s="50">
        <v>8495607.6300000008</v>
      </c>
    </row>
    <row r="3" spans="1:85" s="1" customFormat="1" ht="12" thickBot="1" x14ac:dyDescent="0.25">
      <c r="A3" s="44">
        <v>81.982299999999995</v>
      </c>
      <c r="B3" s="15" t="s">
        <v>28</v>
      </c>
      <c r="C3" s="50">
        <v>10778.95</v>
      </c>
    </row>
    <row r="4" spans="1:85" s="8" customFormat="1" ht="12" thickBot="1" x14ac:dyDescent="0.25">
      <c r="A4" s="45"/>
      <c r="B4" s="15" t="s">
        <v>25</v>
      </c>
      <c r="C4" s="51">
        <v>0</v>
      </c>
      <c r="H4" s="161"/>
    </row>
    <row r="5" spans="1:85" s="6" customFormat="1" x14ac:dyDescent="0.2">
      <c r="A5" s="43" t="s">
        <v>51</v>
      </c>
      <c r="B5" s="49" t="s">
        <v>26</v>
      </c>
      <c r="C5" s="52">
        <f>SUM(C2:C4)</f>
        <v>8506386.5800000001</v>
      </c>
      <c r="H5" s="162"/>
    </row>
    <row r="6" spans="1:85" s="6" customFormat="1" ht="12" thickBot="1" x14ac:dyDescent="0.25">
      <c r="A6" s="44">
        <v>70.950900000000004</v>
      </c>
      <c r="B6" s="16"/>
      <c r="C6" s="53"/>
      <c r="D6" s="17"/>
      <c r="F6" s="162"/>
    </row>
    <row r="7" spans="1:85" s="6" customFormat="1" ht="12" thickBot="1" x14ac:dyDescent="0.25">
      <c r="A7" s="105" t="s">
        <v>51</v>
      </c>
      <c r="B7" s="18" t="s">
        <v>127</v>
      </c>
      <c r="C7" s="54">
        <f>SUM(16:16)</f>
        <v>26309459.218399998</v>
      </c>
    </row>
    <row r="8" spans="1:85" x14ac:dyDescent="0.25">
      <c r="A8" s="43" t="s">
        <v>52</v>
      </c>
      <c r="B8" s="18" t="s">
        <v>126</v>
      </c>
      <c r="C8" s="54">
        <f>SUM(26:26)</f>
        <v>51257456.647243604</v>
      </c>
    </row>
    <row r="9" spans="1:85" ht="12" thickBot="1" x14ac:dyDescent="0.3">
      <c r="A9" s="44">
        <v>10.4161</v>
      </c>
      <c r="B9" s="19" t="s">
        <v>64</v>
      </c>
      <c r="C9" s="55">
        <f>C5+C7-C8-C11</f>
        <v>-32540381.426063605</v>
      </c>
    </row>
    <row r="10" spans="1:85" x14ac:dyDescent="0.25">
      <c r="A10" s="99" t="s">
        <v>80</v>
      </c>
      <c r="B10" s="18" t="s">
        <v>23</v>
      </c>
      <c r="C10" s="56">
        <f>C16</f>
        <v>0</v>
      </c>
    </row>
    <row r="11" spans="1:85" x14ac:dyDescent="0.25">
      <c r="A11" s="101" t="s">
        <v>87</v>
      </c>
      <c r="B11" s="18" t="s">
        <v>24</v>
      </c>
      <c r="C11" s="54">
        <f>C26</f>
        <v>16098770.57722</v>
      </c>
    </row>
    <row r="12" spans="1:85" x14ac:dyDescent="0.25">
      <c r="A12" s="107" t="s">
        <v>88</v>
      </c>
    </row>
    <row r="13" spans="1:85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85" s="2" customFormat="1" x14ac:dyDescent="0.25">
      <c r="A14" s="64"/>
      <c r="B14" s="65"/>
      <c r="C14" s="58" t="s">
        <v>56</v>
      </c>
      <c r="D14" s="66"/>
      <c r="E14" s="66">
        <v>46163</v>
      </c>
      <c r="F14" s="66">
        <v>46164</v>
      </c>
      <c r="G14" s="66">
        <v>46165</v>
      </c>
      <c r="H14" s="66">
        <v>46166</v>
      </c>
      <c r="I14" s="66">
        <v>46167</v>
      </c>
      <c r="J14" s="66">
        <v>46168</v>
      </c>
      <c r="K14" s="66">
        <v>46169</v>
      </c>
      <c r="L14" s="66">
        <v>46170</v>
      </c>
      <c r="M14" s="66">
        <v>46171</v>
      </c>
      <c r="N14" s="66">
        <v>46172</v>
      </c>
      <c r="O14" s="66">
        <v>46173</v>
      </c>
      <c r="P14" s="66">
        <v>46174</v>
      </c>
      <c r="Q14" s="66">
        <v>46175</v>
      </c>
      <c r="R14" s="66">
        <v>46176</v>
      </c>
      <c r="S14" s="66">
        <v>46177</v>
      </c>
      <c r="T14" s="66">
        <v>46178</v>
      </c>
      <c r="U14" s="66">
        <v>46179</v>
      </c>
      <c r="V14" s="66">
        <v>46180</v>
      </c>
      <c r="W14" s="66">
        <v>46181</v>
      </c>
      <c r="X14" s="66">
        <v>46182</v>
      </c>
      <c r="Y14" s="66">
        <v>46183</v>
      </c>
      <c r="Z14" s="66">
        <v>46184</v>
      </c>
      <c r="AA14" s="66">
        <v>46185</v>
      </c>
      <c r="AB14" s="66">
        <v>46186</v>
      </c>
      <c r="AC14" s="66">
        <v>46187</v>
      </c>
      <c r="AD14" s="66">
        <v>46188</v>
      </c>
      <c r="AE14" s="66">
        <v>46189</v>
      </c>
      <c r="AF14" s="66">
        <v>46190</v>
      </c>
      <c r="AG14" s="66">
        <v>46191</v>
      </c>
      <c r="AH14" s="66">
        <v>46192</v>
      </c>
      <c r="AI14" s="66">
        <v>46193</v>
      </c>
      <c r="AJ14" s="66">
        <v>46194</v>
      </c>
      <c r="AK14" s="66">
        <v>46195</v>
      </c>
      <c r="AL14" s="66">
        <v>46196</v>
      </c>
      <c r="AM14" s="66">
        <v>46197</v>
      </c>
      <c r="AN14" s="66">
        <v>46198</v>
      </c>
      <c r="AO14" s="66">
        <v>46199</v>
      </c>
      <c r="AP14" s="66">
        <v>46200</v>
      </c>
      <c r="AQ14" s="66">
        <v>46201</v>
      </c>
      <c r="AR14" s="66">
        <v>46202</v>
      </c>
      <c r="AS14" s="66">
        <v>46203</v>
      </c>
      <c r="AT14" s="66">
        <v>46204</v>
      </c>
      <c r="AU14" s="66">
        <v>46205</v>
      </c>
      <c r="AV14" s="66">
        <v>46206</v>
      </c>
      <c r="AW14" s="66">
        <v>46207</v>
      </c>
      <c r="AX14" s="66">
        <v>46208</v>
      </c>
      <c r="AY14" s="66">
        <v>46209</v>
      </c>
      <c r="AZ14" s="66">
        <v>46210</v>
      </c>
      <c r="BA14" s="66">
        <v>46211</v>
      </c>
      <c r="BB14" s="66">
        <v>46212</v>
      </c>
      <c r="BC14" s="66">
        <v>46213</v>
      </c>
      <c r="BD14" s="66">
        <v>46214</v>
      </c>
      <c r="BE14" s="66">
        <v>46215</v>
      </c>
      <c r="BF14" s="66">
        <v>46216</v>
      </c>
      <c r="BG14" s="66">
        <v>46217</v>
      </c>
      <c r="BH14" s="66">
        <v>46218</v>
      </c>
      <c r="BI14" s="66">
        <v>46219</v>
      </c>
      <c r="BJ14" s="66">
        <v>46220</v>
      </c>
      <c r="BK14" s="66">
        <v>46221</v>
      </c>
      <c r="BL14" s="66">
        <v>46222</v>
      </c>
      <c r="BM14" s="66">
        <v>46223</v>
      </c>
      <c r="BN14" s="66">
        <v>46224</v>
      </c>
      <c r="BO14" s="66">
        <v>46225</v>
      </c>
      <c r="BP14" s="66">
        <v>46226</v>
      </c>
      <c r="BQ14" s="66">
        <v>46227</v>
      </c>
      <c r="BR14" s="66">
        <v>46228</v>
      </c>
      <c r="BS14" s="66">
        <v>46229</v>
      </c>
      <c r="BT14" s="66">
        <v>46230</v>
      </c>
      <c r="BU14" s="66">
        <v>46231</v>
      </c>
      <c r="BV14" s="66">
        <v>46232</v>
      </c>
      <c r="BW14" s="66">
        <v>46233</v>
      </c>
      <c r="BX14" s="66">
        <v>46234</v>
      </c>
      <c r="BY14" s="66">
        <v>46235</v>
      </c>
      <c r="BZ14" s="66">
        <v>46236</v>
      </c>
      <c r="CA14" s="66">
        <v>46237</v>
      </c>
      <c r="CB14" s="66">
        <v>46238</v>
      </c>
      <c r="CC14" s="66">
        <v>46239</v>
      </c>
      <c r="CD14" s="66">
        <v>46240</v>
      </c>
      <c r="CE14" s="66">
        <v>46241</v>
      </c>
      <c r="CF14" s="66">
        <v>46242</v>
      </c>
      <c r="CG14" s="66">
        <v>46243</v>
      </c>
    </row>
    <row r="15" spans="1:85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</row>
    <row r="16" spans="1:85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O16" si="0">SUM(E17:E25)</f>
        <v>0</v>
      </c>
      <c r="F16" s="29">
        <f t="shared" si="0"/>
        <v>0</v>
      </c>
      <c r="G16" s="135">
        <f t="shared" si="0"/>
        <v>0</v>
      </c>
      <c r="H16" s="135">
        <f t="shared" si="0"/>
        <v>0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2725751.6452000001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29">
        <f t="shared" si="0"/>
        <v>3000000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4869380.5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2000000</v>
      </c>
      <c r="AE16" s="29">
        <f t="shared" si="0"/>
        <v>0</v>
      </c>
      <c r="AF16" s="29">
        <f t="shared" si="0"/>
        <v>0</v>
      </c>
      <c r="AG16" s="29">
        <f t="shared" si="0"/>
        <v>7877187.3131999997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29">
        <f t="shared" si="0"/>
        <v>0</v>
      </c>
      <c r="AL16" s="29">
        <f t="shared" si="0"/>
        <v>0</v>
      </c>
      <c r="AM16" s="29">
        <f t="shared" si="0"/>
        <v>0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29">
        <f t="shared" si="0"/>
        <v>0</v>
      </c>
      <c r="AR16" s="29">
        <f t="shared" si="0"/>
        <v>2918569.88</v>
      </c>
      <c r="AS16" s="29">
        <f t="shared" si="0"/>
        <v>0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29">
        <f t="shared" si="0"/>
        <v>0</v>
      </c>
      <c r="AZ16" s="29">
        <f t="shared" si="0"/>
        <v>2918569.88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29">
        <f t="shared" si="0"/>
        <v>0</v>
      </c>
      <c r="BG16" s="29">
        <f t="shared" si="0"/>
        <v>0</v>
      </c>
      <c r="BH16" s="29">
        <f t="shared" si="0"/>
        <v>0</v>
      </c>
      <c r="BI16" s="29">
        <f t="shared" si="0"/>
        <v>0</v>
      </c>
      <c r="BJ16" s="29">
        <f t="shared" si="0"/>
        <v>0</v>
      </c>
      <c r="BK16" s="29">
        <f t="shared" si="0"/>
        <v>0</v>
      </c>
      <c r="BL16" s="29">
        <f t="shared" si="0"/>
        <v>0</v>
      </c>
      <c r="BM16" s="29">
        <f t="shared" si="0"/>
        <v>0</v>
      </c>
      <c r="BN16" s="29">
        <f t="shared" si="0"/>
        <v>0</v>
      </c>
      <c r="BO16" s="29">
        <f t="shared" si="0"/>
        <v>0</v>
      </c>
      <c r="BP16" s="29">
        <f t="shared" ref="BP16:CG16" si="1">SUM(BP17:BP25)</f>
        <v>0</v>
      </c>
      <c r="BQ16" s="29">
        <f t="shared" si="1"/>
        <v>0</v>
      </c>
      <c r="BR16" s="29">
        <f t="shared" si="1"/>
        <v>0</v>
      </c>
      <c r="BS16" s="29">
        <f t="shared" si="1"/>
        <v>0</v>
      </c>
      <c r="BT16" s="29">
        <f t="shared" si="1"/>
        <v>0</v>
      </c>
      <c r="BU16" s="29">
        <f t="shared" si="1"/>
        <v>0</v>
      </c>
      <c r="BV16" s="29">
        <f t="shared" si="1"/>
        <v>0</v>
      </c>
      <c r="BW16" s="29">
        <f t="shared" si="1"/>
        <v>0</v>
      </c>
      <c r="BX16" s="29">
        <f t="shared" si="1"/>
        <v>0</v>
      </c>
      <c r="BY16" s="29">
        <f t="shared" si="1"/>
        <v>0</v>
      </c>
      <c r="BZ16" s="29">
        <f t="shared" si="1"/>
        <v>0</v>
      </c>
      <c r="CA16" s="29">
        <f t="shared" si="1"/>
        <v>0</v>
      </c>
      <c r="CB16" s="29">
        <f t="shared" si="1"/>
        <v>0</v>
      </c>
      <c r="CC16" s="29">
        <f t="shared" si="1"/>
        <v>0</v>
      </c>
      <c r="CD16" s="29">
        <f t="shared" si="1"/>
        <v>0</v>
      </c>
      <c r="CE16" s="29">
        <f t="shared" si="1"/>
        <v>0</v>
      </c>
      <c r="CF16" s="29">
        <f t="shared" si="1"/>
        <v>0</v>
      </c>
      <c r="CG16" s="29">
        <f t="shared" si="1"/>
        <v>0</v>
      </c>
    </row>
    <row r="17" spans="1:85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</row>
    <row r="18" spans="1:85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1">
        <f>5300000/2</f>
        <v>2650000</v>
      </c>
      <c r="M18" s="30"/>
      <c r="N18" s="30"/>
      <c r="O18" s="30"/>
      <c r="P18" s="80">
        <v>3000000</v>
      </c>
      <c r="Q18" s="30"/>
      <c r="R18" s="30"/>
      <c r="S18" s="30"/>
      <c r="T18" s="30"/>
      <c r="U18" s="30"/>
      <c r="V18" s="30"/>
      <c r="W18" s="30">
        <v>2000000</v>
      </c>
      <c r="X18" s="30"/>
      <c r="Y18" s="30"/>
      <c r="Z18" s="30"/>
      <c r="AA18" s="30"/>
      <c r="AB18" s="30"/>
      <c r="AC18" s="30"/>
      <c r="AD18" s="30">
        <v>2000000</v>
      </c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</row>
    <row r="19" spans="1:85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</row>
    <row r="20" spans="1:85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</row>
    <row r="21" spans="1:85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>
        <f>924*A3</f>
        <v>75751.645199999999</v>
      </c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</row>
    <row r="22" spans="1:85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</row>
    <row r="23" spans="1:85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>
        <f>96084*A3</f>
        <v>7877187.3131999997</v>
      </c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</row>
    <row r="24" spans="1:85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N24" s="30"/>
      <c r="O24" s="30"/>
      <c r="P24" s="30"/>
      <c r="Q24" s="30"/>
      <c r="R24" s="30"/>
      <c r="S24" s="30"/>
      <c r="T24" s="30"/>
      <c r="U24" s="30"/>
      <c r="V24" s="30"/>
      <c r="W24" s="30">
        <f>35000*A3</f>
        <v>2869380.5</v>
      </c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>
        <f>35600*A3</f>
        <v>2918569.88</v>
      </c>
      <c r="AS24" s="30"/>
      <c r="AT24" s="30"/>
      <c r="AU24" s="30"/>
      <c r="AV24" s="30"/>
      <c r="AW24" s="30"/>
      <c r="AX24" s="30"/>
      <c r="AY24" s="30"/>
      <c r="AZ24" s="30">
        <f>35600*A3</f>
        <v>2918569.88</v>
      </c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</row>
    <row r="25" spans="1:85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</row>
    <row r="26" spans="1:85" s="4" customFormat="1" x14ac:dyDescent="0.2">
      <c r="A26" s="41" t="s">
        <v>1</v>
      </c>
      <c r="B26" s="22"/>
      <c r="C26" s="34">
        <f>SUM(C28:C77)</f>
        <v>16098770.57722</v>
      </c>
      <c r="D26" s="34"/>
      <c r="E26" s="34">
        <f t="shared" ref="E26:BO26" si="2">SUM(E27:E78)</f>
        <v>414445.45</v>
      </c>
      <c r="F26" s="34">
        <f t="shared" si="2"/>
        <v>687756.47256666666</v>
      </c>
      <c r="G26" s="34">
        <f t="shared" si="2"/>
        <v>0</v>
      </c>
      <c r="H26" s="34">
        <f t="shared" si="2"/>
        <v>0</v>
      </c>
      <c r="I26" s="34">
        <f t="shared" si="2"/>
        <v>3498429.908177922</v>
      </c>
      <c r="J26" s="34">
        <f t="shared" si="2"/>
        <v>2697425.0202956707</v>
      </c>
      <c r="K26" s="34">
        <f t="shared" si="2"/>
        <v>597476.55110000004</v>
      </c>
      <c r="L26" s="34">
        <f t="shared" si="2"/>
        <v>3638161.0159666669</v>
      </c>
      <c r="M26" s="34">
        <f t="shared" si="2"/>
        <v>799385.3186</v>
      </c>
      <c r="N26" s="34">
        <f t="shared" si="2"/>
        <v>12500</v>
      </c>
      <c r="O26" s="34">
        <f t="shared" si="2"/>
        <v>0</v>
      </c>
      <c r="P26" s="34">
        <f t="shared" si="2"/>
        <v>680258.95696666662</v>
      </c>
      <c r="Q26" s="34">
        <f t="shared" si="2"/>
        <v>664644.95276666665</v>
      </c>
      <c r="R26" s="34">
        <f t="shared" si="2"/>
        <v>604014.46666666656</v>
      </c>
      <c r="S26" s="34">
        <f t="shared" si="2"/>
        <v>3789409.6194333332</v>
      </c>
      <c r="T26" s="34">
        <f t="shared" si="2"/>
        <v>1812741.3521818183</v>
      </c>
      <c r="U26" s="34">
        <f t="shared" si="2"/>
        <v>0</v>
      </c>
      <c r="V26" s="34">
        <f t="shared" si="2"/>
        <v>0</v>
      </c>
      <c r="W26" s="34">
        <f t="shared" si="2"/>
        <v>901371.79751181812</v>
      </c>
      <c r="X26" s="34">
        <f t="shared" si="2"/>
        <v>443383.23876181815</v>
      </c>
      <c r="Y26" s="34">
        <f t="shared" si="2"/>
        <v>859133.23876181815</v>
      </c>
      <c r="Z26" s="34">
        <f t="shared" si="2"/>
        <v>929983.23876181815</v>
      </c>
      <c r="AA26" s="34">
        <f t="shared" si="2"/>
        <v>1008449.1178018182</v>
      </c>
      <c r="AB26" s="34">
        <f t="shared" si="2"/>
        <v>0</v>
      </c>
      <c r="AC26" s="34">
        <f t="shared" si="2"/>
        <v>0</v>
      </c>
      <c r="AD26" s="34">
        <f t="shared" si="2"/>
        <v>714276.11780181818</v>
      </c>
      <c r="AE26" s="34">
        <f t="shared" si="2"/>
        <v>350276.11780181818</v>
      </c>
      <c r="AF26" s="34">
        <f t="shared" si="2"/>
        <v>730329.83780181815</v>
      </c>
      <c r="AG26" s="34">
        <f t="shared" si="2"/>
        <v>1750276.1178018181</v>
      </c>
      <c r="AH26" s="34">
        <f t="shared" si="2"/>
        <v>450276.11780181818</v>
      </c>
      <c r="AI26" s="34">
        <f t="shared" si="2"/>
        <v>0</v>
      </c>
      <c r="AJ26" s="34">
        <f t="shared" si="2"/>
        <v>0</v>
      </c>
      <c r="AK26" s="34">
        <f t="shared" si="2"/>
        <v>385725.87904000003</v>
      </c>
      <c r="AL26" s="34">
        <f t="shared" si="2"/>
        <v>130892.87904</v>
      </c>
      <c r="AM26" s="34">
        <f t="shared" si="2"/>
        <v>130892.87904</v>
      </c>
      <c r="AN26" s="34">
        <f t="shared" si="2"/>
        <v>130892.87904</v>
      </c>
      <c r="AO26" s="34">
        <f t="shared" si="2"/>
        <v>647122.87904000003</v>
      </c>
      <c r="AP26" s="34">
        <f t="shared" si="2"/>
        <v>0</v>
      </c>
      <c r="AQ26" s="34">
        <f t="shared" si="2"/>
        <v>0</v>
      </c>
      <c r="AR26" s="34">
        <f t="shared" si="2"/>
        <v>3542444.2123733335</v>
      </c>
      <c r="AS26" s="34">
        <f t="shared" si="2"/>
        <v>130892.87904</v>
      </c>
      <c r="AT26" s="34">
        <f t="shared" si="2"/>
        <v>130892.87904</v>
      </c>
      <c r="AU26" s="34">
        <f t="shared" si="2"/>
        <v>876955.77904000005</v>
      </c>
      <c r="AV26" s="34">
        <f t="shared" si="2"/>
        <v>0</v>
      </c>
      <c r="AW26" s="34">
        <f t="shared" si="2"/>
        <v>0</v>
      </c>
      <c r="AX26" s="34">
        <f t="shared" si="2"/>
        <v>0</v>
      </c>
      <c r="AY26" s="34">
        <f t="shared" si="2"/>
        <v>0</v>
      </c>
      <c r="AZ26" s="34">
        <f t="shared" si="2"/>
        <v>0</v>
      </c>
      <c r="BA26" s="34">
        <f t="shared" si="2"/>
        <v>0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271506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si="2"/>
        <v>0</v>
      </c>
      <c r="BO26" s="34">
        <f t="shared" si="2"/>
        <v>0</v>
      </c>
      <c r="BP26" s="34">
        <f t="shared" ref="BP26:CG26" si="3">SUM(BP27:BP78)</f>
        <v>0</v>
      </c>
      <c r="BQ26" s="34">
        <f t="shared" si="3"/>
        <v>0</v>
      </c>
      <c r="BR26" s="34">
        <f t="shared" si="3"/>
        <v>0</v>
      </c>
      <c r="BS26" s="34">
        <f t="shared" si="3"/>
        <v>0</v>
      </c>
      <c r="BT26" s="34">
        <f t="shared" si="3"/>
        <v>0</v>
      </c>
      <c r="BU26" s="34">
        <f t="shared" si="3"/>
        <v>0</v>
      </c>
      <c r="BV26" s="34">
        <f t="shared" si="3"/>
        <v>0</v>
      </c>
      <c r="BW26" s="34">
        <f t="shared" si="3"/>
        <v>0</v>
      </c>
      <c r="BX26" s="34">
        <f t="shared" si="3"/>
        <v>0</v>
      </c>
      <c r="BY26" s="34">
        <f t="shared" si="3"/>
        <v>746062.9</v>
      </c>
      <c r="BZ26" s="34">
        <f t="shared" si="3"/>
        <v>0</v>
      </c>
      <c r="CA26" s="34">
        <f t="shared" si="3"/>
        <v>0</v>
      </c>
      <c r="CB26" s="34">
        <f t="shared" si="3"/>
        <v>0</v>
      </c>
      <c r="CC26" s="34">
        <f t="shared" si="3"/>
        <v>0</v>
      </c>
      <c r="CD26" s="34">
        <f t="shared" si="3"/>
        <v>0</v>
      </c>
      <c r="CE26" s="34">
        <f t="shared" si="3"/>
        <v>0</v>
      </c>
      <c r="CF26" s="34">
        <f t="shared" si="3"/>
        <v>0</v>
      </c>
      <c r="CG26" s="34">
        <f t="shared" si="3"/>
        <v>0</v>
      </c>
    </row>
    <row r="27" spans="1:85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</row>
    <row r="28" spans="1:85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</row>
    <row r="29" spans="1:85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</row>
    <row r="30" spans="1:85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>
        <f>8399365/3</f>
        <v>2799788.3333333335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>
        <f>8399365/3</f>
        <v>2799788.3333333335</v>
      </c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</row>
    <row r="31" spans="1:85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90">
        <f>291375+137118</f>
        <v>428493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90">
        <f>291375+137118</f>
        <v>428493</v>
      </c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</row>
    <row r="32" spans="1:85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/>
      <c r="I32" s="24">
        <v>352124.25</v>
      </c>
      <c r="J32" s="24"/>
      <c r="K32" s="24"/>
      <c r="L32" s="24"/>
      <c r="M32" s="24"/>
      <c r="N32" s="24"/>
      <c r="O32" s="24"/>
      <c r="P32" s="24"/>
      <c r="Q32" s="24">
        <v>400000</v>
      </c>
      <c r="R32" s="24"/>
      <c r="S32" s="24"/>
      <c r="T32" s="24"/>
      <c r="U32" s="24"/>
      <c r="V32" s="24"/>
      <c r="W32" s="24"/>
      <c r="X32" s="24"/>
      <c r="Y32" s="24">
        <v>350000</v>
      </c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</row>
    <row r="33" spans="1:85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>
        <v>271506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>
        <v>271506</v>
      </c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</row>
    <row r="34" spans="1:85" s="1" customFormat="1" x14ac:dyDescent="0.2">
      <c r="A34" s="36" t="s">
        <v>54</v>
      </c>
      <c r="B34" s="23"/>
      <c r="C34" s="60"/>
      <c r="D34" s="24"/>
      <c r="E34" s="118">
        <v>50000</v>
      </c>
      <c r="F34" s="24">
        <f>100113.9-50000</f>
        <v>50113.899999999994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</row>
    <row r="35" spans="1:85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>
        <v>200113.9</v>
      </c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>
        <v>200113.9</v>
      </c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>
        <v>200113.9</v>
      </c>
      <c r="BZ35" s="24"/>
      <c r="CA35" s="24"/>
      <c r="CB35" s="24"/>
      <c r="CC35" s="24"/>
      <c r="CD35" s="24"/>
      <c r="CE35" s="24"/>
      <c r="CF35" s="24"/>
      <c r="CG35" s="24"/>
    </row>
    <row r="36" spans="1:85" s="1" customFormat="1" x14ac:dyDescent="0.2">
      <c r="A36" s="36" t="s">
        <v>53</v>
      </c>
      <c r="B36" s="23"/>
      <c r="C36" s="60"/>
      <c r="D36" s="24"/>
      <c r="E36" s="24"/>
      <c r="F36" s="24">
        <f>145949-50000</f>
        <v>95949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>
        <v>545949</v>
      </c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>
        <v>545949</v>
      </c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>
        <v>545949</v>
      </c>
      <c r="BZ36" s="24"/>
      <c r="CA36" s="24"/>
      <c r="CB36" s="24"/>
      <c r="CC36" s="24"/>
      <c r="CD36" s="24"/>
      <c r="CE36" s="24"/>
      <c r="CF36" s="24"/>
      <c r="CG36" s="24"/>
    </row>
    <row r="37" spans="1:85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</row>
    <row r="38" spans="1:85" s="71" customFormat="1" x14ac:dyDescent="0.2">
      <c r="A38" s="69" t="s">
        <v>14</v>
      </c>
      <c r="B38" s="25" t="s">
        <v>30</v>
      </c>
      <c r="C38" s="70"/>
      <c r="D38" s="24"/>
      <c r="G38" s="24"/>
      <c r="H38" s="24"/>
      <c r="I38" s="108">
        <f>170889/5</f>
        <v>34177.800000000003</v>
      </c>
      <c r="J38" s="108">
        <f t="shared" ref="J38:M38" si="4">170889/5</f>
        <v>34177.800000000003</v>
      </c>
      <c r="K38" s="108">
        <f t="shared" si="4"/>
        <v>34177.800000000003</v>
      </c>
      <c r="L38" s="108">
        <f t="shared" si="4"/>
        <v>34177.800000000003</v>
      </c>
      <c r="M38" s="108">
        <f t="shared" si="4"/>
        <v>34177.800000000003</v>
      </c>
      <c r="N38" s="24"/>
      <c r="O38" s="24"/>
      <c r="P38" s="108">
        <f t="shared" ref="P38:T38" si="5">191379/5</f>
        <v>38275.800000000003</v>
      </c>
      <c r="Q38" s="108">
        <f t="shared" si="5"/>
        <v>38275.800000000003</v>
      </c>
      <c r="R38" s="108">
        <f t="shared" si="5"/>
        <v>38275.800000000003</v>
      </c>
      <c r="S38" s="108">
        <f t="shared" si="5"/>
        <v>38275.800000000003</v>
      </c>
      <c r="T38" s="108">
        <f t="shared" si="5"/>
        <v>38275.800000000003</v>
      </c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</row>
    <row r="39" spans="1:85" s="71" customFormat="1" x14ac:dyDescent="0.2">
      <c r="A39" s="69" t="s">
        <v>115</v>
      </c>
      <c r="B39" s="25" t="s">
        <v>116</v>
      </c>
      <c r="C39" s="70"/>
      <c r="D39" s="24"/>
      <c r="E39" s="118">
        <f t="shared" ref="E39:M39" si="6">156160/6</f>
        <v>26026.666666666668</v>
      </c>
      <c r="F39" s="100">
        <f t="shared" si="6"/>
        <v>26026.666666666668</v>
      </c>
      <c r="G39" s="24"/>
      <c r="H39" s="24"/>
      <c r="I39" s="100">
        <f>156160/6</f>
        <v>26026.666666666668</v>
      </c>
      <c r="J39" s="24"/>
      <c r="K39" s="100">
        <f t="shared" si="6"/>
        <v>26026.666666666668</v>
      </c>
      <c r="L39" s="24"/>
      <c r="M39" s="100">
        <f t="shared" si="6"/>
        <v>26026.666666666668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</row>
    <row r="40" spans="1:85" s="71" customFormat="1" x14ac:dyDescent="0.2">
      <c r="A40" s="69" t="s">
        <v>117</v>
      </c>
      <c r="B40" s="25" t="s">
        <v>119</v>
      </c>
      <c r="C40" s="70">
        <v>691000</v>
      </c>
      <c r="D40" s="24"/>
      <c r="E40" s="24"/>
      <c r="F40" s="24"/>
      <c r="G40" s="24"/>
      <c r="H40" s="24"/>
      <c r="I40" s="24"/>
      <c r="J40" s="24"/>
      <c r="K40" s="24"/>
      <c r="L40" s="24"/>
      <c r="M40" s="100">
        <v>91000</v>
      </c>
      <c r="N40" s="24"/>
      <c r="O40" s="24"/>
      <c r="P40" s="108">
        <v>100000</v>
      </c>
      <c r="Q40" s="24"/>
      <c r="R40" s="108">
        <v>100000</v>
      </c>
      <c r="S40" s="24"/>
      <c r="T40" s="108">
        <v>100000</v>
      </c>
      <c r="U40" s="24"/>
      <c r="V40" s="24"/>
      <c r="W40" s="24"/>
      <c r="X40" s="108">
        <v>100000</v>
      </c>
      <c r="Y40" s="24"/>
      <c r="Z40" s="108">
        <v>100000</v>
      </c>
      <c r="AA40" s="108">
        <v>100000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</row>
    <row r="41" spans="1:85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100">
        <v>235200</v>
      </c>
      <c r="U41" s="24"/>
      <c r="V41" s="24"/>
      <c r="W41" s="24"/>
      <c r="X41" s="24"/>
      <c r="Y41" s="24"/>
      <c r="Z41" s="100">
        <v>510600</v>
      </c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</row>
    <row r="42" spans="1:85" s="71" customFormat="1" x14ac:dyDescent="0.2">
      <c r="A42" s="69" t="s">
        <v>17</v>
      </c>
      <c r="B42" s="25" t="s">
        <v>41</v>
      </c>
      <c r="C42" s="70">
        <f>1375000-500000-175000-50000-25000-25000-25000-50000-25000-50000-25000</f>
        <v>425000</v>
      </c>
      <c r="D42" s="24"/>
      <c r="E42" s="118">
        <v>25000</v>
      </c>
      <c r="F42" s="129">
        <v>65000</v>
      </c>
      <c r="G42" s="24"/>
      <c r="H42" s="24"/>
      <c r="I42" s="129">
        <v>40000</v>
      </c>
      <c r="J42" s="129">
        <v>25000</v>
      </c>
      <c r="K42" s="24"/>
      <c r="L42" s="24"/>
      <c r="N42" s="24"/>
      <c r="O42" s="24"/>
      <c r="P42" s="129">
        <v>95000</v>
      </c>
      <c r="Q42" s="24"/>
      <c r="R42" s="129">
        <v>50000</v>
      </c>
      <c r="S42" s="24"/>
      <c r="T42" s="129">
        <v>50000</v>
      </c>
      <c r="U42" s="24"/>
      <c r="V42" s="24"/>
      <c r="W42" s="129">
        <v>50000</v>
      </c>
      <c r="X42" s="24"/>
      <c r="Y42" s="129">
        <v>25000</v>
      </c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</row>
    <row r="43" spans="1:85" s="71" customFormat="1" x14ac:dyDescent="0.2">
      <c r="A43" s="69" t="s">
        <v>15</v>
      </c>
      <c r="B43" s="25" t="s">
        <v>31</v>
      </c>
      <c r="C43" s="70">
        <f>2480914-516230-48700</f>
        <v>1915984</v>
      </c>
      <c r="D43" s="24"/>
      <c r="F43" s="108">
        <v>65224</v>
      </c>
      <c r="G43" s="24"/>
      <c r="H43" s="24"/>
      <c r="I43" s="108">
        <f>(45000+65224)/2</f>
        <v>55112</v>
      </c>
      <c r="J43" s="108">
        <v>50000</v>
      </c>
      <c r="K43" s="24"/>
      <c r="L43" s="140">
        <f t="shared" ref="L43:T43" si="7">195080/4</f>
        <v>48770</v>
      </c>
      <c r="M43" s="108">
        <f>(45000+65224)/2</f>
        <v>55112</v>
      </c>
      <c r="N43" s="24"/>
      <c r="O43" s="24"/>
      <c r="P43" s="98">
        <f>(515224/4)/3</f>
        <v>42935.333333333336</v>
      </c>
      <c r="Q43" s="98">
        <f t="shared" ref="Q43:R43" si="8">(515224/4)/3</f>
        <v>42935.333333333336</v>
      </c>
      <c r="R43" s="98">
        <f t="shared" si="8"/>
        <v>42935.333333333336</v>
      </c>
      <c r="T43" s="140">
        <f t="shared" si="7"/>
        <v>48770</v>
      </c>
      <c r="U43" s="24"/>
      <c r="V43" s="24"/>
      <c r="W43" s="24"/>
      <c r="X43" s="108">
        <f>516230/10</f>
        <v>51623</v>
      </c>
      <c r="Y43" s="108">
        <f t="shared" ref="Y43:AA43" si="9">516230/10</f>
        <v>51623</v>
      </c>
      <c r="Z43" s="108">
        <f t="shared" si="9"/>
        <v>51623</v>
      </c>
      <c r="AA43" s="108">
        <f t="shared" si="9"/>
        <v>51623</v>
      </c>
      <c r="AB43" s="24"/>
      <c r="AC43" s="24"/>
      <c r="AD43" s="108">
        <f>516230/10</f>
        <v>51623</v>
      </c>
      <c r="AE43" s="108">
        <f t="shared" ref="AE43:AG43" si="10">516230/10</f>
        <v>51623</v>
      </c>
      <c r="AF43" s="108">
        <f t="shared" si="10"/>
        <v>51623</v>
      </c>
      <c r="AG43" s="108">
        <f t="shared" si="10"/>
        <v>51623</v>
      </c>
      <c r="AH43" s="108">
        <f>516230/10</f>
        <v>51623</v>
      </c>
      <c r="AI43" s="24"/>
      <c r="AJ43" s="24"/>
      <c r="AK43" s="108">
        <f>516230/10</f>
        <v>51623</v>
      </c>
      <c r="AL43" s="24"/>
      <c r="AM43" s="24"/>
      <c r="AN43" s="24"/>
      <c r="AO43" s="100">
        <v>516230</v>
      </c>
      <c r="AP43" s="24"/>
      <c r="AQ43" s="24"/>
      <c r="AR43" s="98">
        <f>515224/4+54464</f>
        <v>183270</v>
      </c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</row>
    <row r="44" spans="1:85" s="71" customFormat="1" x14ac:dyDescent="0.2">
      <c r="A44" s="69" t="s">
        <v>16</v>
      </c>
      <c r="B44" s="25" t="s">
        <v>32</v>
      </c>
      <c r="C44" s="70">
        <v>449410</v>
      </c>
      <c r="D44" s="24"/>
      <c r="E44" s="118">
        <v>99410</v>
      </c>
      <c r="F44" s="108">
        <v>50000</v>
      </c>
      <c r="G44" s="24"/>
      <c r="H44" s="24"/>
      <c r="J44" s="108">
        <v>25000</v>
      </c>
      <c r="K44" s="108">
        <v>50000</v>
      </c>
      <c r="L44" s="108">
        <v>29120</v>
      </c>
      <c r="M44" s="108">
        <v>50000</v>
      </c>
      <c r="N44" s="24"/>
      <c r="O44" s="24"/>
      <c r="P44" s="108">
        <f>(172350+10000)/5</f>
        <v>36470</v>
      </c>
      <c r="Q44" s="108">
        <f t="shared" ref="Q44:S44" si="11">(172350+10000)/5</f>
        <v>36470</v>
      </c>
      <c r="R44" s="108">
        <f t="shared" si="11"/>
        <v>36470</v>
      </c>
      <c r="S44" s="108">
        <f t="shared" si="11"/>
        <v>36470</v>
      </c>
      <c r="T44" s="28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</row>
    <row r="45" spans="1:85" s="71" customFormat="1" x14ac:dyDescent="0.2">
      <c r="A45" s="69" t="s">
        <v>85</v>
      </c>
      <c r="B45" s="25" t="s">
        <v>47</v>
      </c>
      <c r="C45" s="70">
        <f>640*A6</f>
        <v>45408.576000000001</v>
      </c>
      <c r="D45" s="24"/>
      <c r="F45" s="108">
        <f>645*$A$6</f>
        <v>45763.330500000004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</row>
    <row r="46" spans="1:85" s="71" customFormat="1" x14ac:dyDescent="0.2">
      <c r="A46" s="69" t="s">
        <v>143</v>
      </c>
      <c r="B46" s="25" t="s">
        <v>45</v>
      </c>
      <c r="C46" s="24">
        <f>188496*A9</f>
        <v>1963393.1856</v>
      </c>
      <c r="D46" s="24"/>
      <c r="E46" s="28"/>
      <c r="F46" s="28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108">
        <f>(188496*$A$9)/15</f>
        <v>130892.87904</v>
      </c>
      <c r="AB46" s="24"/>
      <c r="AC46" s="24"/>
      <c r="AD46" s="108">
        <f>(188496*$A$9)/15</f>
        <v>130892.87904</v>
      </c>
      <c r="AE46" s="108">
        <f t="shared" ref="AE46:AH46" si="12">(188496*$A$9)/15</f>
        <v>130892.87904</v>
      </c>
      <c r="AF46" s="108">
        <f t="shared" si="12"/>
        <v>130892.87904</v>
      </c>
      <c r="AG46" s="108">
        <f t="shared" si="12"/>
        <v>130892.87904</v>
      </c>
      <c r="AH46" s="108">
        <f t="shared" si="12"/>
        <v>130892.87904</v>
      </c>
      <c r="AI46" s="24"/>
      <c r="AJ46" s="24"/>
      <c r="AK46" s="108">
        <f>(188496*$A$9)/15</f>
        <v>130892.87904</v>
      </c>
      <c r="AL46" s="108">
        <f t="shared" ref="AL46:AO46" si="13">(188496*$A$9)/15</f>
        <v>130892.87904</v>
      </c>
      <c r="AM46" s="108">
        <f t="shared" si="13"/>
        <v>130892.87904</v>
      </c>
      <c r="AN46" s="108">
        <f t="shared" si="13"/>
        <v>130892.87904</v>
      </c>
      <c r="AO46" s="108">
        <f t="shared" si="13"/>
        <v>130892.87904</v>
      </c>
      <c r="AP46" s="24"/>
      <c r="AQ46" s="24"/>
      <c r="AR46" s="108">
        <f>(188496*$A$9)/15</f>
        <v>130892.87904</v>
      </c>
      <c r="AS46" s="108">
        <f t="shared" ref="AS46:AU46" si="14">(188496*$A$9)/15</f>
        <v>130892.87904</v>
      </c>
      <c r="AT46" s="108">
        <f t="shared" si="14"/>
        <v>130892.87904</v>
      </c>
      <c r="AU46" s="108">
        <f t="shared" si="14"/>
        <v>130892.87904</v>
      </c>
      <c r="AV46" s="28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</row>
    <row r="47" spans="1:85" s="71" customFormat="1" x14ac:dyDescent="0.2">
      <c r="A47" s="69" t="s">
        <v>120</v>
      </c>
      <c r="B47" s="25" t="s">
        <v>121</v>
      </c>
      <c r="C47" s="120">
        <f>507000+1014000</f>
        <v>1521000</v>
      </c>
      <c r="D47" s="24"/>
      <c r="E47" s="24"/>
      <c r="G47" s="24"/>
      <c r="H47" s="24"/>
      <c r="I47" s="108">
        <f>507000/9</f>
        <v>56333.333333333336</v>
      </c>
      <c r="J47" s="108">
        <f t="shared" ref="J47:M47" si="15">507000/9</f>
        <v>56333.333333333336</v>
      </c>
      <c r="K47" s="108">
        <f t="shared" si="15"/>
        <v>56333.333333333336</v>
      </c>
      <c r="L47" s="108">
        <f t="shared" si="15"/>
        <v>56333.333333333336</v>
      </c>
      <c r="M47" s="108">
        <f t="shared" si="15"/>
        <v>56333.333333333336</v>
      </c>
      <c r="N47" s="24"/>
      <c r="O47" s="24"/>
      <c r="P47" s="108">
        <f t="shared" ref="P47:S47" si="16">507000/9</f>
        <v>56333.333333333336</v>
      </c>
      <c r="Q47" s="108">
        <f t="shared" si="16"/>
        <v>56333.333333333336</v>
      </c>
      <c r="R47" s="108">
        <f t="shared" si="16"/>
        <v>56333.333333333336</v>
      </c>
      <c r="S47" s="108">
        <f t="shared" si="16"/>
        <v>56333.333333333336</v>
      </c>
      <c r="T47" s="108">
        <f>1014000/11</f>
        <v>92181.818181818177</v>
      </c>
      <c r="U47" s="24"/>
      <c r="V47" s="24"/>
      <c r="W47" s="108">
        <f t="shared" ref="W47:AA47" si="17">1014000/11</f>
        <v>92181.818181818177</v>
      </c>
      <c r="X47" s="108">
        <f t="shared" si="17"/>
        <v>92181.818181818177</v>
      </c>
      <c r="Y47" s="108">
        <f t="shared" si="17"/>
        <v>92181.818181818177</v>
      </c>
      <c r="Z47" s="108">
        <f t="shared" si="17"/>
        <v>92181.818181818177</v>
      </c>
      <c r="AA47" s="108">
        <f t="shared" si="17"/>
        <v>92181.818181818177</v>
      </c>
      <c r="AB47" s="24"/>
      <c r="AC47" s="24"/>
      <c r="AD47" s="108">
        <f t="shared" ref="AD47:AH47" si="18">1014000/11</f>
        <v>92181.818181818177</v>
      </c>
      <c r="AE47" s="108">
        <f t="shared" si="18"/>
        <v>92181.818181818177</v>
      </c>
      <c r="AF47" s="108">
        <f t="shared" si="18"/>
        <v>92181.818181818177</v>
      </c>
      <c r="AG47" s="108">
        <f t="shared" si="18"/>
        <v>92181.818181818177</v>
      </c>
      <c r="AH47" s="108">
        <f t="shared" si="18"/>
        <v>92181.818181818177</v>
      </c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</row>
    <row r="48" spans="1:85" s="73" customFormat="1" x14ac:dyDescent="0.2">
      <c r="A48" s="69" t="s">
        <v>22</v>
      </c>
      <c r="B48" s="25" t="s">
        <v>48</v>
      </c>
      <c r="C48" s="137">
        <f>554840.15</f>
        <v>554840.15</v>
      </c>
      <c r="D48" s="72"/>
      <c r="E48" s="72"/>
      <c r="F48" s="138">
        <f>(52206*$A$9)/6</f>
        <v>90630.486099999995</v>
      </c>
      <c r="G48" s="72"/>
      <c r="H48" s="72"/>
      <c r="I48" s="160">
        <f>(52206*$A$9)/6</f>
        <v>90630.486099999995</v>
      </c>
      <c r="J48" s="72"/>
      <c r="K48" s="160">
        <f>(52206*$A$9)/6</f>
        <v>90630.486099999995</v>
      </c>
      <c r="L48" s="72"/>
      <c r="M48" s="160">
        <f>(52206*$A$9)/6</f>
        <v>90630.486099999995</v>
      </c>
      <c r="N48" s="72"/>
      <c r="O48" s="72"/>
      <c r="P48" s="72"/>
      <c r="Q48" s="160">
        <f>(52206*$A$9)/6</f>
        <v>90630.486099999995</v>
      </c>
      <c r="R48" s="72"/>
      <c r="S48" s="160">
        <f>(52206*$A$9)/6</f>
        <v>90630.486099999995</v>
      </c>
      <c r="U48" s="72"/>
      <c r="V48" s="72"/>
      <c r="W48" s="160">
        <f>(52206*$A$9+2988*$A$6)/10</f>
        <v>75578.420580000005</v>
      </c>
      <c r="X48" s="160">
        <f t="shared" ref="X48:AA48" si="19">(52206*$A$9+2988*$A$6)/10</f>
        <v>75578.420580000005</v>
      </c>
      <c r="Y48" s="160">
        <f t="shared" si="19"/>
        <v>75578.420580000005</v>
      </c>
      <c r="Z48" s="160">
        <f t="shared" si="19"/>
        <v>75578.420580000005</v>
      </c>
      <c r="AA48" s="160">
        <f t="shared" si="19"/>
        <v>75578.420580000005</v>
      </c>
      <c r="AB48" s="72"/>
      <c r="AC48" s="72"/>
      <c r="AD48" s="160">
        <f>(52206*$A$9+2988*$A$6)/10</f>
        <v>75578.420580000005</v>
      </c>
      <c r="AE48" s="160">
        <f t="shared" ref="AE48:AH48" si="20">(52206*$A$9+2988*$A$6)/10</f>
        <v>75578.420580000005</v>
      </c>
      <c r="AF48" s="160">
        <f t="shared" si="20"/>
        <v>75578.420580000005</v>
      </c>
      <c r="AG48" s="160">
        <f t="shared" si="20"/>
        <v>75578.420580000005</v>
      </c>
      <c r="AH48" s="160">
        <f t="shared" si="20"/>
        <v>75578.420580000005</v>
      </c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</row>
    <row r="49" spans="1:85" s="73" customFormat="1" x14ac:dyDescent="0.2">
      <c r="A49" s="69" t="s">
        <v>108</v>
      </c>
      <c r="B49" s="25" t="s">
        <v>109</v>
      </c>
      <c r="C49" s="120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</row>
    <row r="50" spans="1:85" s="71" customFormat="1" x14ac:dyDescent="0.2">
      <c r="A50" s="69" t="s">
        <v>36</v>
      </c>
      <c r="B50" s="25" t="s">
        <v>37</v>
      </c>
      <c r="C50" s="130"/>
      <c r="D50" s="24"/>
      <c r="F50" s="100">
        <f t="shared" ref="F50:L50" si="21">(2662*$A$6)/6</f>
        <v>31478.549300000002</v>
      </c>
      <c r="G50" s="24"/>
      <c r="H50" s="24"/>
      <c r="I50" s="24"/>
      <c r="J50" s="100">
        <f t="shared" si="21"/>
        <v>31478.549300000002</v>
      </c>
      <c r="K50" s="24"/>
      <c r="L50" s="100">
        <f t="shared" si="21"/>
        <v>31478.549300000002</v>
      </c>
      <c r="M50" s="24"/>
      <c r="N50" s="24"/>
      <c r="O50" s="24"/>
      <c r="P50" s="100">
        <f>(2662*A6)/6</f>
        <v>31478.549300000002</v>
      </c>
      <c r="Q50" s="24"/>
      <c r="R50" s="24"/>
      <c r="S50" s="24"/>
      <c r="T50" s="24"/>
      <c r="U50" s="24"/>
      <c r="V50" s="24"/>
      <c r="W50" s="100">
        <f>1037.5*A6</f>
        <v>73611.558750000011</v>
      </c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</row>
    <row r="51" spans="1:85" s="71" customFormat="1" x14ac:dyDescent="0.2">
      <c r="A51" s="69" t="s">
        <v>86</v>
      </c>
      <c r="B51" s="25" t="s">
        <v>35</v>
      </c>
      <c r="C51" s="70">
        <f>1700*A6+4050*A6-250*A6-445*A6-600*A6-600*A6</f>
        <v>273515.71950000012</v>
      </c>
      <c r="D51" s="77"/>
      <c r="E51" s="118">
        <f>500*$A$6</f>
        <v>35475.450000000004</v>
      </c>
      <c r="F51" s="108">
        <f>600*$A$6</f>
        <v>42570.54</v>
      </c>
      <c r="G51" s="24"/>
      <c r="H51" s="24"/>
      <c r="I51" s="108">
        <f>500*$A$6</f>
        <v>35475.450000000004</v>
      </c>
      <c r="J51" s="24"/>
      <c r="K51" s="108">
        <f>850*$A$6</f>
        <v>60308.265000000007</v>
      </c>
      <c r="L51" s="24"/>
      <c r="M51" s="108">
        <f>900*$A$6+525*A6</f>
        <v>101105.0325</v>
      </c>
      <c r="N51" s="24"/>
      <c r="O51" s="24"/>
      <c r="P51" s="100">
        <f>490*A6</f>
        <v>34765.940999999999</v>
      </c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</row>
    <row r="52" spans="1:85" s="71" customFormat="1" x14ac:dyDescent="0.2">
      <c r="A52" s="69" t="s">
        <v>29</v>
      </c>
      <c r="B52" s="25" t="s">
        <v>43</v>
      </c>
      <c r="C52" s="70">
        <f>439750-19750-25000-25000</f>
        <v>370000</v>
      </c>
      <c r="D52" s="24"/>
      <c r="F52" s="95">
        <v>25000</v>
      </c>
      <c r="G52" s="24"/>
      <c r="H52" s="24"/>
      <c r="J52" s="95">
        <v>25000</v>
      </c>
      <c r="L52" s="95">
        <v>25000</v>
      </c>
      <c r="N52" s="24"/>
      <c r="O52" s="24"/>
      <c r="P52" s="95">
        <v>50000</v>
      </c>
      <c r="Q52" s="24"/>
      <c r="R52" s="95">
        <v>25000</v>
      </c>
      <c r="S52" s="24"/>
      <c r="T52" s="95">
        <v>25000</v>
      </c>
      <c r="U52" s="24"/>
      <c r="V52" s="24"/>
      <c r="W52" s="95">
        <v>25000</v>
      </c>
      <c r="X52" s="24"/>
      <c r="Y52" s="95">
        <f>50000+14750</f>
        <v>64750</v>
      </c>
      <c r="Z52" s="24"/>
      <c r="AA52" s="95">
        <v>75000</v>
      </c>
      <c r="AB52" s="24"/>
      <c r="AC52" s="24"/>
      <c r="AD52" s="95">
        <v>50000</v>
      </c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</row>
    <row r="53" spans="1:85" s="71" customFormat="1" x14ac:dyDescent="0.2">
      <c r="A53" s="69" t="s">
        <v>141</v>
      </c>
      <c r="B53" s="25" t="s">
        <v>142</v>
      </c>
      <c r="C53" s="70"/>
      <c r="D53" s="24"/>
      <c r="E53" s="28"/>
      <c r="F53" s="28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100">
        <v>55053.72</v>
      </c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</row>
    <row r="54" spans="1:85" s="71" customFormat="1" x14ac:dyDescent="0.2">
      <c r="A54" s="69" t="s">
        <v>146</v>
      </c>
      <c r="B54" s="25" t="s">
        <v>147</v>
      </c>
      <c r="C54" s="70"/>
      <c r="D54" s="24"/>
      <c r="E54" s="28"/>
      <c r="F54" s="28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100">
        <v>90000</v>
      </c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</row>
    <row r="55" spans="1:85" s="71" customFormat="1" x14ac:dyDescent="0.2">
      <c r="A55" s="69" t="s">
        <v>149</v>
      </c>
      <c r="B55" s="25" t="s">
        <v>148</v>
      </c>
      <c r="C55" s="70"/>
      <c r="D55" s="24"/>
      <c r="E55" s="163">
        <f t="shared" ref="E55" si="22">235600/3</f>
        <v>78533.333333333328</v>
      </c>
      <c r="F55" s="28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8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</row>
    <row r="56" spans="1:85" s="71" customFormat="1" x14ac:dyDescent="0.2">
      <c r="A56" s="69" t="s">
        <v>124</v>
      </c>
      <c r="B56" s="25" t="s">
        <v>125</v>
      </c>
      <c r="C56" s="7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100">
        <v>203210</v>
      </c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</row>
    <row r="57" spans="1:85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</row>
    <row r="58" spans="1:85" s="71" customFormat="1" x14ac:dyDescent="0.2">
      <c r="A58" s="69" t="s">
        <v>90</v>
      </c>
      <c r="B58" s="25" t="s">
        <v>91</v>
      </c>
      <c r="C58" s="70">
        <f>912000+1012000-100000-100000-75000</f>
        <v>1649000</v>
      </c>
      <c r="D58" s="77"/>
      <c r="E58" s="118">
        <v>75000</v>
      </c>
      <c r="F58" s="129">
        <v>75000</v>
      </c>
      <c r="G58" s="28"/>
      <c r="H58" s="28"/>
      <c r="I58" s="129">
        <v>75000</v>
      </c>
      <c r="J58" s="129">
        <v>75000</v>
      </c>
      <c r="K58" s="129">
        <v>75000</v>
      </c>
      <c r="L58" s="129">
        <v>75000</v>
      </c>
      <c r="M58" s="129">
        <v>75000</v>
      </c>
      <c r="N58" s="24"/>
      <c r="O58" s="24"/>
      <c r="P58" s="129">
        <v>75000</v>
      </c>
      <c r="Q58" s="28"/>
      <c r="R58" s="129">
        <v>75000</v>
      </c>
      <c r="S58" s="28"/>
      <c r="T58" s="129">
        <v>75000</v>
      </c>
      <c r="U58" s="24"/>
      <c r="V58" s="24"/>
      <c r="W58" s="129">
        <v>75000</v>
      </c>
      <c r="X58" s="129">
        <v>100000</v>
      </c>
      <c r="Y58" s="129">
        <v>100000</v>
      </c>
      <c r="Z58" s="129">
        <v>100000</v>
      </c>
      <c r="AA58" s="129">
        <v>100000</v>
      </c>
      <c r="AB58" s="24"/>
      <c r="AC58" s="24"/>
      <c r="AD58" s="129">
        <v>124000</v>
      </c>
      <c r="AE58" s="24"/>
      <c r="AF58" s="129">
        <f>C58-1424000</f>
        <v>225000</v>
      </c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</row>
    <row r="59" spans="1:85" s="71" customFormat="1" x14ac:dyDescent="0.2">
      <c r="A59" s="69" t="s">
        <v>144</v>
      </c>
      <c r="B59" s="25" t="s">
        <v>145</v>
      </c>
      <c r="C59" s="70"/>
      <c r="D59" s="77"/>
      <c r="E59" s="28"/>
      <c r="G59" s="28"/>
      <c r="H59" s="28"/>
      <c r="I59" s="28"/>
      <c r="J59" s="28"/>
      <c r="K59" s="28"/>
      <c r="L59" s="28"/>
      <c r="M59" s="15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</row>
    <row r="60" spans="1:85" s="71" customFormat="1" x14ac:dyDescent="0.2">
      <c r="A60" s="69" t="s">
        <v>138</v>
      </c>
      <c r="B60" s="25" t="s">
        <v>136</v>
      </c>
      <c r="C60" s="70"/>
      <c r="D60" s="77"/>
      <c r="E60" s="28"/>
      <c r="F60" s="28"/>
      <c r="G60" s="28"/>
      <c r="H60" s="28"/>
      <c r="I60" s="28"/>
      <c r="J60" s="28"/>
      <c r="K60" s="28"/>
      <c r="L60" s="28"/>
      <c r="M60" s="28"/>
      <c r="N60" s="24"/>
      <c r="O60" s="24"/>
      <c r="P60" s="24"/>
      <c r="Q60" s="24"/>
      <c r="R60" s="24"/>
      <c r="S60" s="24"/>
      <c r="T60" s="100">
        <f>4260*A6</f>
        <v>302250.83400000003</v>
      </c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</row>
    <row r="61" spans="1:85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</row>
    <row r="62" spans="1:85" s="71" customFormat="1" x14ac:dyDescent="0.2">
      <c r="A62" s="151" t="s">
        <v>139</v>
      </c>
      <c r="B62" s="152" t="s">
        <v>114</v>
      </c>
      <c r="C62" s="70">
        <v>1732500</v>
      </c>
      <c r="D62" s="77"/>
      <c r="E62" s="28"/>
      <c r="F62" s="24"/>
      <c r="G62" s="28"/>
      <c r="H62" s="28"/>
      <c r="I62" s="100">
        <v>100000</v>
      </c>
      <c r="J62" s="28"/>
      <c r="K62" s="100">
        <v>100000</v>
      </c>
      <c r="L62" s="24"/>
      <c r="M62" s="100">
        <v>100000</v>
      </c>
      <c r="N62" s="24"/>
      <c r="O62" s="24"/>
      <c r="P62" s="100">
        <v>100000</v>
      </c>
      <c r="Q62" s="28"/>
      <c r="R62" s="100">
        <v>100000</v>
      </c>
      <c r="S62" s="24"/>
      <c r="T62" s="100">
        <v>100000</v>
      </c>
      <c r="U62" s="24"/>
      <c r="V62" s="24"/>
      <c r="W62" s="100">
        <v>100000</v>
      </c>
      <c r="X62" s="28"/>
      <c r="Y62" s="100">
        <v>100000</v>
      </c>
      <c r="Z62" s="24"/>
      <c r="AA62" s="100">
        <v>100000</v>
      </c>
      <c r="AB62" s="24"/>
      <c r="AC62" s="24"/>
      <c r="AD62" s="100">
        <v>100000</v>
      </c>
      <c r="AE62" s="28"/>
      <c r="AF62" s="100">
        <v>100000</v>
      </c>
      <c r="AG62" s="24"/>
      <c r="AH62" s="100">
        <v>100000</v>
      </c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</row>
    <row r="63" spans="1:85" s="71" customFormat="1" x14ac:dyDescent="0.2">
      <c r="A63" s="69" t="s">
        <v>34</v>
      </c>
      <c r="B63" s="25" t="s">
        <v>45</v>
      </c>
      <c r="C63" s="70">
        <f>1014000-100000-100000+400-50000-25000-25000-25000-50000-53800-85600-75000</f>
        <v>425000</v>
      </c>
      <c r="D63" s="77"/>
      <c r="E63" s="118">
        <v>25000</v>
      </c>
      <c r="F63" s="24"/>
      <c r="G63" s="24"/>
      <c r="H63" s="24"/>
      <c r="I63" s="129">
        <f>400000/5</f>
        <v>80000</v>
      </c>
      <c r="J63" s="129">
        <f t="shared" ref="J63:M63" si="23">400000/5</f>
        <v>80000</v>
      </c>
      <c r="K63" s="129">
        <f t="shared" si="23"/>
        <v>80000</v>
      </c>
      <c r="L63" s="129">
        <f t="shared" si="23"/>
        <v>80000</v>
      </c>
      <c r="M63" s="129">
        <f t="shared" si="23"/>
        <v>80000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</row>
    <row r="64" spans="1:85" s="71" customFormat="1" x14ac:dyDescent="0.2">
      <c r="A64" s="69" t="s">
        <v>128</v>
      </c>
      <c r="B64" s="25" t="s">
        <v>129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</row>
    <row r="65" spans="1:85" s="71" customFormat="1" x14ac:dyDescent="0.2">
      <c r="A65" s="69" t="s">
        <v>101</v>
      </c>
      <c r="B65" s="25" t="s">
        <v>130</v>
      </c>
      <c r="C65" s="70">
        <f>110000-25000</f>
        <v>85000</v>
      </c>
      <c r="D65" s="77"/>
      <c r="F65" s="108">
        <f t="shared" ref="F65" si="24">100000/4</f>
        <v>25000</v>
      </c>
      <c r="G65" s="24"/>
      <c r="H65" s="24"/>
      <c r="I65" s="108">
        <v>20000</v>
      </c>
      <c r="J65" s="24"/>
      <c r="K65" s="108">
        <f>100000/4</f>
        <v>25000</v>
      </c>
      <c r="L65" s="108">
        <v>15000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</row>
    <row r="66" spans="1:85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</row>
    <row r="67" spans="1:85" s="71" customFormat="1" x14ac:dyDescent="0.2">
      <c r="A67" s="69" t="s">
        <v>38</v>
      </c>
      <c r="B67" s="25" t="s">
        <v>39</v>
      </c>
      <c r="C67" s="70"/>
      <c r="D67" s="24"/>
      <c r="E67" s="24"/>
      <c r="F67" s="24"/>
      <c r="G67" s="24"/>
      <c r="H67" s="24"/>
      <c r="I67" s="24"/>
      <c r="J67" s="118">
        <v>23400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</row>
    <row r="68" spans="1:85" s="71" customFormat="1" x14ac:dyDescent="0.2">
      <c r="A68" s="69" t="s">
        <v>74</v>
      </c>
      <c r="B68" s="25" t="s">
        <v>131</v>
      </c>
      <c r="C68" s="70"/>
      <c r="D68" s="24"/>
      <c r="E68" s="24"/>
      <c r="F68" s="24"/>
      <c r="G68" s="24"/>
      <c r="H68" s="24"/>
      <c r="I68" s="100">
        <v>22000</v>
      </c>
      <c r="J68" s="24"/>
      <c r="K68" s="24"/>
      <c r="L68" s="100">
        <v>15000</v>
      </c>
      <c r="M68" s="143">
        <v>40000</v>
      </c>
      <c r="N68" s="100">
        <v>12500</v>
      </c>
      <c r="O68" s="24"/>
      <c r="P68" s="100">
        <v>20000</v>
      </c>
      <c r="Q68" s="24"/>
      <c r="R68" s="100">
        <v>80000</v>
      </c>
      <c r="S68" s="24"/>
      <c r="T68" s="24"/>
      <c r="U68" s="24"/>
      <c r="V68" s="24"/>
      <c r="W68" s="100">
        <v>20000</v>
      </c>
      <c r="X68" s="100">
        <f>7500+16500</f>
        <v>24000</v>
      </c>
      <c r="Y68" s="24"/>
      <c r="Z68" s="24"/>
      <c r="AA68" s="100">
        <v>11667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</row>
    <row r="69" spans="1:85" s="71" customFormat="1" x14ac:dyDescent="0.2">
      <c r="A69" s="69" t="s">
        <v>74</v>
      </c>
      <c r="B69" s="25" t="s">
        <v>83</v>
      </c>
      <c r="C69" s="70"/>
      <c r="D69" s="24"/>
      <c r="E69" s="28"/>
      <c r="F69" s="28"/>
      <c r="G69" s="28"/>
      <c r="H69" s="28"/>
      <c r="I69" s="28"/>
      <c r="J69" s="28"/>
      <c r="K69" s="28"/>
      <c r="L69" s="24"/>
      <c r="N69" s="24"/>
      <c r="O69" s="24"/>
      <c r="P69" s="24"/>
      <c r="Q69" s="24"/>
      <c r="R69" s="114"/>
      <c r="S69" s="114">
        <v>3567700</v>
      </c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</row>
    <row r="70" spans="1:85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2"/>
    </row>
    <row r="71" spans="1:85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3"/>
      <c r="CF71" s="93"/>
      <c r="CG71" s="93"/>
    </row>
    <row r="72" spans="1:85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</row>
    <row r="73" spans="1:85" s="5" customFormat="1" x14ac:dyDescent="0.2">
      <c r="A73" s="36" t="s">
        <v>49</v>
      </c>
      <c r="B73" s="12"/>
      <c r="C73" s="13"/>
      <c r="D73" s="26"/>
      <c r="E73" s="126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>
        <v>1400000</v>
      </c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</row>
    <row r="74" spans="1:85" s="5" customFormat="1" x14ac:dyDescent="0.2">
      <c r="A74" s="36" t="s">
        <v>57</v>
      </c>
      <c r="B74" s="12"/>
      <c r="C74" s="68"/>
      <c r="D74" s="26"/>
      <c r="E74" s="13"/>
      <c r="G74" s="13"/>
      <c r="H74" s="13"/>
      <c r="I74" s="139">
        <f>1933893.44/0.77</f>
        <v>2511549.9220779222</v>
      </c>
      <c r="J74" s="139">
        <f>1749467.21/0.77</f>
        <v>2272035.3376623373</v>
      </c>
      <c r="K74" s="13"/>
      <c r="L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</row>
    <row r="75" spans="1:85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9">
        <v>390000</v>
      </c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</row>
    <row r="76" spans="1:85" s="5" customFormat="1" x14ac:dyDescent="0.2">
      <c r="A76" s="42"/>
      <c r="B76" s="12"/>
      <c r="C76" s="68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</row>
    <row r="77" spans="1:85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</row>
    <row r="78" spans="1:85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</row>
    <row r="79" spans="1:85" s="84" customFormat="1" x14ac:dyDescent="0.2">
      <c r="A79" s="81" t="s">
        <v>66</v>
      </c>
      <c r="B79" s="82"/>
      <c r="C79" s="63"/>
      <c r="D79" s="83"/>
      <c r="E79" s="83">
        <f>$C$5+E16-E26</f>
        <v>8091941.1299999999</v>
      </c>
      <c r="F79" s="83">
        <f t="shared" ref="F79:BP79" si="25">E79+F16-F26</f>
        <v>7404184.6574333329</v>
      </c>
      <c r="G79" s="83">
        <f t="shared" si="25"/>
        <v>7404184.6574333329</v>
      </c>
      <c r="H79" s="83">
        <f t="shared" si="25"/>
        <v>7404184.6574333329</v>
      </c>
      <c r="I79" s="83">
        <f t="shared" si="25"/>
        <v>3905754.7492554109</v>
      </c>
      <c r="J79" s="83">
        <f t="shared" si="25"/>
        <v>1208329.7289597401</v>
      </c>
      <c r="K79" s="83">
        <f t="shared" si="25"/>
        <v>610853.1778597401</v>
      </c>
      <c r="L79" s="83">
        <f t="shared" si="25"/>
        <v>-301556.19290692639</v>
      </c>
      <c r="M79" s="83">
        <f t="shared" si="25"/>
        <v>-1100941.5115069263</v>
      </c>
      <c r="N79" s="83">
        <f t="shared" si="25"/>
        <v>-1113441.5115069263</v>
      </c>
      <c r="O79" s="83">
        <f t="shared" si="25"/>
        <v>-1113441.5115069263</v>
      </c>
      <c r="P79" s="83">
        <f t="shared" si="25"/>
        <v>1206299.5315264072</v>
      </c>
      <c r="Q79" s="83">
        <f t="shared" si="25"/>
        <v>541654.57875974057</v>
      </c>
      <c r="R79" s="83">
        <f t="shared" si="25"/>
        <v>-62359.887906925986</v>
      </c>
      <c r="S79" s="83">
        <f t="shared" si="25"/>
        <v>-3851769.5073402589</v>
      </c>
      <c r="T79" s="83">
        <f t="shared" si="25"/>
        <v>-5664510.8595220773</v>
      </c>
      <c r="U79" s="83">
        <f t="shared" si="25"/>
        <v>-5664510.8595220773</v>
      </c>
      <c r="V79" s="83">
        <f t="shared" si="25"/>
        <v>-5664510.8595220773</v>
      </c>
      <c r="W79" s="83">
        <f t="shared" si="25"/>
        <v>-1696502.1570338954</v>
      </c>
      <c r="X79" s="83">
        <f t="shared" si="25"/>
        <v>-2139885.3957957136</v>
      </c>
      <c r="Y79" s="83">
        <f t="shared" si="25"/>
        <v>-2999018.6345575317</v>
      </c>
      <c r="Z79" s="83">
        <f t="shared" si="25"/>
        <v>-3929001.8733193497</v>
      </c>
      <c r="AA79" s="83">
        <f t="shared" si="25"/>
        <v>-4937450.9911211682</v>
      </c>
      <c r="AB79" s="83">
        <f t="shared" si="25"/>
        <v>-4937450.9911211682</v>
      </c>
      <c r="AC79" s="83">
        <f t="shared" si="25"/>
        <v>-4937450.9911211682</v>
      </c>
      <c r="AD79" s="83">
        <f t="shared" si="25"/>
        <v>-3651727.1089229863</v>
      </c>
      <c r="AE79" s="83">
        <f t="shared" si="25"/>
        <v>-4002003.2267248044</v>
      </c>
      <c r="AF79" s="83">
        <f t="shared" si="25"/>
        <v>-4732333.0645266222</v>
      </c>
      <c r="AG79" s="83">
        <f t="shared" si="25"/>
        <v>1394578.1308715595</v>
      </c>
      <c r="AH79" s="83">
        <f t="shared" si="25"/>
        <v>944302.01306974131</v>
      </c>
      <c r="AI79" s="83">
        <f t="shared" si="25"/>
        <v>944302.01306974131</v>
      </c>
      <c r="AJ79" s="83">
        <f t="shared" si="25"/>
        <v>944302.01306974131</v>
      </c>
      <c r="AK79" s="83">
        <f t="shared" si="25"/>
        <v>558576.13402974128</v>
      </c>
      <c r="AL79" s="83">
        <f t="shared" si="25"/>
        <v>427683.25498974125</v>
      </c>
      <c r="AM79" s="83">
        <f t="shared" si="25"/>
        <v>296790.37594974122</v>
      </c>
      <c r="AN79" s="83">
        <f t="shared" si="25"/>
        <v>165897.49690974122</v>
      </c>
      <c r="AO79" s="83">
        <f t="shared" si="25"/>
        <v>-481225.38213025883</v>
      </c>
      <c r="AP79" s="83">
        <f t="shared" si="25"/>
        <v>-481225.38213025883</v>
      </c>
      <c r="AQ79" s="83">
        <f t="shared" si="25"/>
        <v>-481225.38213025883</v>
      </c>
      <c r="AR79" s="83">
        <f t="shared" si="25"/>
        <v>-1105099.7145035923</v>
      </c>
      <c r="AS79" s="83">
        <f t="shared" si="25"/>
        <v>-1235992.5935435924</v>
      </c>
      <c r="AT79" s="83">
        <f t="shared" si="25"/>
        <v>-1366885.4725835924</v>
      </c>
      <c r="AU79" s="83">
        <f t="shared" si="25"/>
        <v>-2243841.2516235923</v>
      </c>
      <c r="AV79" s="83">
        <f t="shared" si="25"/>
        <v>-2243841.2516235923</v>
      </c>
      <c r="AW79" s="83">
        <f t="shared" si="25"/>
        <v>-2243841.2516235923</v>
      </c>
      <c r="AX79" s="83">
        <f t="shared" si="25"/>
        <v>-2243841.2516235923</v>
      </c>
      <c r="AY79" s="83">
        <f t="shared" si="25"/>
        <v>-2243841.2516235923</v>
      </c>
      <c r="AZ79" s="83">
        <f t="shared" si="25"/>
        <v>674728.62837640755</v>
      </c>
      <c r="BA79" s="83">
        <f t="shared" si="25"/>
        <v>674728.62837640755</v>
      </c>
      <c r="BB79" s="83">
        <f t="shared" si="25"/>
        <v>674728.62837640755</v>
      </c>
      <c r="BC79" s="83">
        <f t="shared" si="25"/>
        <v>674728.62837640755</v>
      </c>
      <c r="BD79" s="83">
        <f t="shared" si="25"/>
        <v>674728.62837640755</v>
      </c>
      <c r="BE79" s="83">
        <f t="shared" si="25"/>
        <v>674728.62837640755</v>
      </c>
      <c r="BF79" s="83">
        <f t="shared" si="25"/>
        <v>403222.62837640755</v>
      </c>
      <c r="BG79" s="83">
        <f t="shared" si="25"/>
        <v>403222.62837640755</v>
      </c>
      <c r="BH79" s="83">
        <f t="shared" si="25"/>
        <v>403222.62837640755</v>
      </c>
      <c r="BI79" s="83">
        <f t="shared" si="25"/>
        <v>403222.62837640755</v>
      </c>
      <c r="BJ79" s="83">
        <f t="shared" si="25"/>
        <v>403222.62837640755</v>
      </c>
      <c r="BK79" s="83">
        <f t="shared" si="25"/>
        <v>403222.62837640755</v>
      </c>
      <c r="BL79" s="83">
        <f t="shared" si="25"/>
        <v>403222.62837640755</v>
      </c>
      <c r="BM79" s="83">
        <f t="shared" si="25"/>
        <v>403222.62837640755</v>
      </c>
      <c r="BN79" s="83">
        <f t="shared" si="25"/>
        <v>403222.62837640755</v>
      </c>
      <c r="BO79" s="83">
        <f t="shared" si="25"/>
        <v>403222.62837640755</v>
      </c>
      <c r="BP79" s="83">
        <f t="shared" si="25"/>
        <v>403222.62837640755</v>
      </c>
      <c r="BQ79" s="83">
        <f t="shared" ref="BQ79:CG79" si="26">BP79+BQ16-BQ26</f>
        <v>403222.62837640755</v>
      </c>
      <c r="BR79" s="83">
        <f t="shared" si="26"/>
        <v>403222.62837640755</v>
      </c>
      <c r="BS79" s="83">
        <f t="shared" si="26"/>
        <v>403222.62837640755</v>
      </c>
      <c r="BT79" s="83">
        <f t="shared" si="26"/>
        <v>403222.62837640755</v>
      </c>
      <c r="BU79" s="83">
        <f t="shared" si="26"/>
        <v>403222.62837640755</v>
      </c>
      <c r="BV79" s="83">
        <f t="shared" si="26"/>
        <v>403222.62837640755</v>
      </c>
      <c r="BW79" s="83">
        <f t="shared" si="26"/>
        <v>403222.62837640755</v>
      </c>
      <c r="BX79" s="83">
        <f t="shared" si="26"/>
        <v>403222.62837640755</v>
      </c>
      <c r="BY79" s="83">
        <f t="shared" si="26"/>
        <v>-342840.27162359247</v>
      </c>
      <c r="BZ79" s="83">
        <f t="shared" si="26"/>
        <v>-342840.27162359247</v>
      </c>
      <c r="CA79" s="83">
        <f t="shared" si="26"/>
        <v>-342840.27162359247</v>
      </c>
      <c r="CB79" s="83">
        <f t="shared" si="26"/>
        <v>-342840.27162359247</v>
      </c>
      <c r="CC79" s="83">
        <f t="shared" si="26"/>
        <v>-342840.27162359247</v>
      </c>
      <c r="CD79" s="83">
        <f t="shared" si="26"/>
        <v>-342840.27162359247</v>
      </c>
      <c r="CE79" s="83">
        <f t="shared" si="26"/>
        <v>-342840.27162359247</v>
      </c>
      <c r="CF79" s="83">
        <f t="shared" si="26"/>
        <v>-342840.27162359247</v>
      </c>
      <c r="CG79" s="83">
        <f t="shared" si="26"/>
        <v>-342840.27162359247</v>
      </c>
    </row>
    <row r="81" spans="1:85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</row>
    <row r="82" spans="1:85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</row>
    <row r="83" spans="1:85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</row>
    <row r="84" spans="1:85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</row>
    <row r="85" spans="1:85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</row>
    <row r="86" spans="1:85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</row>
    <row r="88" spans="1:85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H88"/>
  <sheetViews>
    <sheetView workbookViewId="0">
      <selection activeCell="E17" sqref="E17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6" width="10.85546875" style="3" bestFit="1" customWidth="1"/>
    <col min="7" max="7" width="11.7109375" style="3" bestFit="1" customWidth="1"/>
    <col min="8" max="13" width="10.85546875" style="3" bestFit="1" customWidth="1"/>
    <col min="14" max="14" width="14" style="3" customWidth="1"/>
    <col min="15" max="15" width="12.85546875" style="3" customWidth="1"/>
    <col min="16" max="16" width="14.28515625" style="3" customWidth="1"/>
    <col min="17" max="17" width="12" style="3" customWidth="1"/>
    <col min="18" max="18" width="14.5703125" style="3" customWidth="1"/>
    <col min="19" max="19" width="11.85546875" style="3" customWidth="1"/>
    <col min="20" max="20" width="12.42578125" style="3" customWidth="1"/>
    <col min="21" max="21" width="14.85546875" style="3" customWidth="1"/>
    <col min="22" max="22" width="13" style="3" customWidth="1"/>
    <col min="23" max="23" width="12.7109375" style="3" customWidth="1"/>
    <col min="24" max="24" width="11.85546875" style="3" customWidth="1"/>
    <col min="25" max="25" width="13.140625" style="3" customWidth="1"/>
    <col min="26" max="26" width="11.7109375" style="3" customWidth="1"/>
    <col min="27" max="27" width="12.5703125" style="3" customWidth="1"/>
    <col min="28" max="28" width="15.7109375" style="3" customWidth="1"/>
    <col min="29" max="29" width="12.7109375" style="3" customWidth="1"/>
    <col min="30" max="31" width="12.85546875" style="3" customWidth="1"/>
    <col min="32" max="33" width="11.85546875" style="3" customWidth="1"/>
    <col min="34" max="34" width="13" style="3" customWidth="1"/>
    <col min="35" max="35" width="12.28515625" style="3" customWidth="1"/>
    <col min="36" max="36" width="12.140625" style="3" customWidth="1"/>
    <col min="37" max="37" width="11.140625" style="3" customWidth="1"/>
    <col min="38" max="38" width="12.7109375" style="3" customWidth="1"/>
    <col min="39" max="39" width="11.140625" style="3" customWidth="1"/>
    <col min="40" max="40" width="11.7109375" style="3" customWidth="1"/>
    <col min="41" max="41" width="11.5703125" style="3" customWidth="1"/>
    <col min="42" max="42" width="10.85546875" style="3" customWidth="1"/>
    <col min="43" max="44" width="9" style="3"/>
    <col min="45" max="45" width="12" style="3" customWidth="1"/>
    <col min="46" max="46" width="11.140625" style="3" customWidth="1"/>
    <col min="47" max="47" width="10.28515625" style="3" customWidth="1"/>
    <col min="48" max="48" width="11.42578125" style="3" customWidth="1"/>
    <col min="49" max="49" width="11.7109375" style="3" customWidth="1"/>
    <col min="50" max="52" width="9" style="3"/>
    <col min="53" max="53" width="10.42578125" style="3" customWidth="1"/>
    <col min="54" max="54" width="10.28515625" style="3" bestFit="1" customWidth="1"/>
    <col min="55" max="58" width="9" style="3"/>
    <col min="59" max="59" width="12.42578125" style="3" customWidth="1"/>
    <col min="60" max="77" width="9" style="3"/>
    <col min="78" max="78" width="12.42578125" style="3" customWidth="1"/>
    <col min="79" max="16384" width="9" style="3"/>
  </cols>
  <sheetData>
    <row r="1" spans="1:86" ht="12" thickBot="1" x14ac:dyDescent="0.3"/>
    <row r="2" spans="1:86" s="1" customFormat="1" x14ac:dyDescent="0.2">
      <c r="A2" s="43" t="s">
        <v>50</v>
      </c>
      <c r="B2" s="15" t="s">
        <v>27</v>
      </c>
      <c r="C2" s="50">
        <v>9161665.1699999999</v>
      </c>
    </row>
    <row r="3" spans="1:86" s="1" customFormat="1" ht="12" thickBot="1" x14ac:dyDescent="0.25">
      <c r="A3" s="44">
        <v>82.787099999999995</v>
      </c>
      <c r="B3" s="15" t="s">
        <v>28</v>
      </c>
      <c r="C3" s="50">
        <v>10778.95</v>
      </c>
    </row>
    <row r="4" spans="1:86" s="8" customFormat="1" ht="12" thickBot="1" x14ac:dyDescent="0.25">
      <c r="A4" s="45"/>
      <c r="B4" s="15" t="s">
        <v>25</v>
      </c>
      <c r="C4" s="51">
        <v>0</v>
      </c>
      <c r="I4" s="161"/>
    </row>
    <row r="5" spans="1:86" s="6" customFormat="1" x14ac:dyDescent="0.2">
      <c r="A5" s="43" t="s">
        <v>51</v>
      </c>
      <c r="B5" s="49" t="s">
        <v>26</v>
      </c>
      <c r="C5" s="52">
        <f>SUM(C2:C4)</f>
        <v>9172444.1199999992</v>
      </c>
      <c r="I5" s="162"/>
    </row>
    <row r="6" spans="1:86" s="6" customFormat="1" ht="12" thickBot="1" x14ac:dyDescent="0.25">
      <c r="A6" s="44">
        <v>71.950900000000004</v>
      </c>
      <c r="B6" s="16"/>
      <c r="C6" s="53"/>
      <c r="D6" s="17"/>
    </row>
    <row r="7" spans="1:86" s="6" customFormat="1" ht="12" thickBot="1" x14ac:dyDescent="0.25">
      <c r="A7" s="105" t="s">
        <v>51</v>
      </c>
      <c r="B7" s="18" t="s">
        <v>127</v>
      </c>
      <c r="C7" s="54">
        <f>SUM(16:16)</f>
        <v>26473001.016799994</v>
      </c>
    </row>
    <row r="8" spans="1:86" x14ac:dyDescent="0.25">
      <c r="A8" s="43" t="s">
        <v>52</v>
      </c>
      <c r="B8" s="18" t="s">
        <v>126</v>
      </c>
      <c r="C8" s="54">
        <f>SUM(26:26)</f>
        <v>52617835.971410282</v>
      </c>
    </row>
    <row r="9" spans="1:86" ht="12" thickBot="1" x14ac:dyDescent="0.3">
      <c r="A9" s="44">
        <v>10.6279</v>
      </c>
      <c r="B9" s="19" t="s">
        <v>64</v>
      </c>
      <c r="C9" s="55">
        <f>C5+C7-C8-C11</f>
        <v>-33561798.735130295</v>
      </c>
    </row>
    <row r="10" spans="1:86" x14ac:dyDescent="0.25">
      <c r="A10" s="99" t="s">
        <v>80</v>
      </c>
      <c r="B10" s="18" t="s">
        <v>23</v>
      </c>
      <c r="C10" s="56">
        <f>C16</f>
        <v>0</v>
      </c>
    </row>
    <row r="11" spans="1:86" x14ac:dyDescent="0.25">
      <c r="A11" s="101" t="s">
        <v>87</v>
      </c>
      <c r="B11" s="18" t="s">
        <v>24</v>
      </c>
      <c r="C11" s="54">
        <f>C26</f>
        <v>16589407.900520001</v>
      </c>
    </row>
    <row r="12" spans="1:86" x14ac:dyDescent="0.25">
      <c r="A12" s="107" t="s">
        <v>88</v>
      </c>
    </row>
    <row r="13" spans="1:86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86" s="2" customFormat="1" x14ac:dyDescent="0.25">
      <c r="A14" s="64"/>
      <c r="B14" s="65"/>
      <c r="C14" s="58" t="s">
        <v>56</v>
      </c>
      <c r="D14" s="66"/>
      <c r="E14" s="66">
        <v>46162</v>
      </c>
      <c r="F14" s="66">
        <v>46163</v>
      </c>
      <c r="G14" s="66">
        <v>46164</v>
      </c>
      <c r="H14" s="66">
        <v>46165</v>
      </c>
      <c r="I14" s="66">
        <v>46166</v>
      </c>
      <c r="J14" s="66">
        <v>46167</v>
      </c>
      <c r="K14" s="66">
        <v>46168</v>
      </c>
      <c r="L14" s="66">
        <v>46169</v>
      </c>
      <c r="M14" s="66">
        <v>46170</v>
      </c>
      <c r="N14" s="66">
        <v>46171</v>
      </c>
      <c r="O14" s="66">
        <v>46172</v>
      </c>
      <c r="P14" s="66">
        <v>46173</v>
      </c>
      <c r="Q14" s="66">
        <v>46174</v>
      </c>
      <c r="R14" s="66">
        <v>46175</v>
      </c>
      <c r="S14" s="66">
        <v>46176</v>
      </c>
      <c r="T14" s="66">
        <v>46177</v>
      </c>
      <c r="U14" s="66">
        <v>46178</v>
      </c>
      <c r="V14" s="66">
        <v>46179</v>
      </c>
      <c r="W14" s="66">
        <v>46180</v>
      </c>
      <c r="X14" s="66">
        <v>46181</v>
      </c>
      <c r="Y14" s="66">
        <v>46182</v>
      </c>
      <c r="Z14" s="66">
        <v>46183</v>
      </c>
      <c r="AA14" s="66">
        <v>46184</v>
      </c>
      <c r="AB14" s="66">
        <v>46185</v>
      </c>
      <c r="AC14" s="66">
        <v>46186</v>
      </c>
      <c r="AD14" s="66">
        <v>46187</v>
      </c>
      <c r="AE14" s="66">
        <v>46188</v>
      </c>
      <c r="AF14" s="66">
        <v>46189</v>
      </c>
      <c r="AG14" s="66">
        <v>46190</v>
      </c>
      <c r="AH14" s="66">
        <v>46191</v>
      </c>
      <c r="AI14" s="66">
        <v>46192</v>
      </c>
      <c r="AJ14" s="66">
        <v>46193</v>
      </c>
      <c r="AK14" s="66">
        <v>46194</v>
      </c>
      <c r="AL14" s="66">
        <v>46195</v>
      </c>
      <c r="AM14" s="66">
        <v>46196</v>
      </c>
      <c r="AN14" s="66">
        <v>46197</v>
      </c>
      <c r="AO14" s="66">
        <v>46198</v>
      </c>
      <c r="AP14" s="66">
        <v>46199</v>
      </c>
      <c r="AQ14" s="66">
        <v>46200</v>
      </c>
      <c r="AR14" s="66">
        <v>46201</v>
      </c>
      <c r="AS14" s="66">
        <v>46202</v>
      </c>
      <c r="AT14" s="66">
        <v>46203</v>
      </c>
      <c r="AU14" s="66">
        <v>46204</v>
      </c>
      <c r="AV14" s="66">
        <v>46205</v>
      </c>
      <c r="AW14" s="66">
        <v>46206</v>
      </c>
      <c r="AX14" s="66">
        <v>46207</v>
      </c>
      <c r="AY14" s="66">
        <v>46208</v>
      </c>
      <c r="AZ14" s="66">
        <v>46209</v>
      </c>
      <c r="BA14" s="66">
        <v>46210</v>
      </c>
      <c r="BB14" s="66">
        <v>46211</v>
      </c>
      <c r="BC14" s="66">
        <v>46212</v>
      </c>
      <c r="BD14" s="66">
        <v>46213</v>
      </c>
      <c r="BE14" s="66">
        <v>46214</v>
      </c>
      <c r="BF14" s="66">
        <v>46215</v>
      </c>
      <c r="BG14" s="66">
        <v>46216</v>
      </c>
      <c r="BH14" s="66">
        <v>46217</v>
      </c>
      <c r="BI14" s="66">
        <v>46218</v>
      </c>
      <c r="BJ14" s="66">
        <v>46219</v>
      </c>
      <c r="BK14" s="66">
        <v>46220</v>
      </c>
      <c r="BL14" s="66">
        <v>46221</v>
      </c>
      <c r="BM14" s="66">
        <v>46222</v>
      </c>
      <c r="BN14" s="66">
        <v>46223</v>
      </c>
      <c r="BO14" s="66">
        <v>46224</v>
      </c>
      <c r="BP14" s="66">
        <v>46225</v>
      </c>
      <c r="BQ14" s="66">
        <v>46226</v>
      </c>
      <c r="BR14" s="66">
        <v>46227</v>
      </c>
      <c r="BS14" s="66">
        <v>46228</v>
      </c>
      <c r="BT14" s="66">
        <v>46229</v>
      </c>
      <c r="BU14" s="66">
        <v>46230</v>
      </c>
      <c r="BV14" s="66">
        <v>46231</v>
      </c>
      <c r="BW14" s="66">
        <v>46232</v>
      </c>
      <c r="BX14" s="66">
        <v>46233</v>
      </c>
      <c r="BY14" s="66">
        <v>46234</v>
      </c>
      <c r="BZ14" s="66">
        <v>46235</v>
      </c>
      <c r="CA14" s="66">
        <v>46236</v>
      </c>
      <c r="CB14" s="66">
        <v>46237</v>
      </c>
      <c r="CC14" s="66">
        <v>46238</v>
      </c>
      <c r="CD14" s="66">
        <v>46239</v>
      </c>
      <c r="CE14" s="66">
        <v>46240</v>
      </c>
      <c r="CF14" s="66">
        <v>46241</v>
      </c>
      <c r="CG14" s="66">
        <v>46242</v>
      </c>
      <c r="CH14" s="66">
        <v>46243</v>
      </c>
    </row>
    <row r="15" spans="1:86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</row>
    <row r="16" spans="1:86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P16" si="0">SUM(E17:E25)</f>
        <v>0</v>
      </c>
      <c r="F16" s="29">
        <f t="shared" si="0"/>
        <v>0</v>
      </c>
      <c r="G16" s="29">
        <f t="shared" si="0"/>
        <v>0</v>
      </c>
      <c r="H16" s="135">
        <f t="shared" si="0"/>
        <v>0</v>
      </c>
      <c r="I16" s="135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0</v>
      </c>
      <c r="M16" s="29">
        <f t="shared" si="0"/>
        <v>2726495.2804</v>
      </c>
      <c r="N16" s="29">
        <f t="shared" si="0"/>
        <v>0</v>
      </c>
      <c r="O16" s="29">
        <f t="shared" si="0"/>
        <v>0</v>
      </c>
      <c r="P16" s="29">
        <f t="shared" si="0"/>
        <v>0</v>
      </c>
      <c r="Q16" s="29">
        <f t="shared" si="0"/>
        <v>3000000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4897548.5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2000000</v>
      </c>
      <c r="AF16" s="29">
        <f t="shared" si="0"/>
        <v>0</v>
      </c>
      <c r="AG16" s="29">
        <f t="shared" si="0"/>
        <v>0</v>
      </c>
      <c r="AH16" s="29">
        <f t="shared" si="0"/>
        <v>7954515.7163999993</v>
      </c>
      <c r="AI16" s="29">
        <f t="shared" si="0"/>
        <v>0</v>
      </c>
      <c r="AJ16" s="29">
        <f t="shared" si="0"/>
        <v>0</v>
      </c>
      <c r="AK16" s="29">
        <f t="shared" si="0"/>
        <v>0</v>
      </c>
      <c r="AL16" s="29">
        <f t="shared" si="0"/>
        <v>0</v>
      </c>
      <c r="AM16" s="29">
        <f t="shared" si="0"/>
        <v>0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29">
        <f t="shared" si="0"/>
        <v>0</v>
      </c>
      <c r="AR16" s="29">
        <f t="shared" si="0"/>
        <v>0</v>
      </c>
      <c r="AS16" s="29">
        <f t="shared" si="0"/>
        <v>2947220.76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29">
        <f t="shared" si="0"/>
        <v>0</v>
      </c>
      <c r="AZ16" s="29">
        <f t="shared" si="0"/>
        <v>0</v>
      </c>
      <c r="BA16" s="29">
        <f t="shared" si="0"/>
        <v>2947220.76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29">
        <f t="shared" si="0"/>
        <v>0</v>
      </c>
      <c r="BG16" s="29">
        <f t="shared" si="0"/>
        <v>0</v>
      </c>
      <c r="BH16" s="29">
        <f t="shared" si="0"/>
        <v>0</v>
      </c>
      <c r="BI16" s="29">
        <f t="shared" si="0"/>
        <v>0</v>
      </c>
      <c r="BJ16" s="29">
        <f t="shared" si="0"/>
        <v>0</v>
      </c>
      <c r="BK16" s="29">
        <f t="shared" si="0"/>
        <v>0</v>
      </c>
      <c r="BL16" s="29">
        <f t="shared" si="0"/>
        <v>0</v>
      </c>
      <c r="BM16" s="29">
        <f t="shared" si="0"/>
        <v>0</v>
      </c>
      <c r="BN16" s="29">
        <f t="shared" si="0"/>
        <v>0</v>
      </c>
      <c r="BO16" s="29">
        <f t="shared" si="0"/>
        <v>0</v>
      </c>
      <c r="BP16" s="29">
        <f t="shared" si="0"/>
        <v>0</v>
      </c>
      <c r="BQ16" s="29">
        <f t="shared" ref="BQ16:CH16" si="1">SUM(BQ17:BQ25)</f>
        <v>0</v>
      </c>
      <c r="BR16" s="29">
        <f t="shared" si="1"/>
        <v>0</v>
      </c>
      <c r="BS16" s="29">
        <f t="shared" si="1"/>
        <v>0</v>
      </c>
      <c r="BT16" s="29">
        <f t="shared" si="1"/>
        <v>0</v>
      </c>
      <c r="BU16" s="29">
        <f t="shared" si="1"/>
        <v>0</v>
      </c>
      <c r="BV16" s="29">
        <f t="shared" si="1"/>
        <v>0</v>
      </c>
      <c r="BW16" s="29">
        <f t="shared" si="1"/>
        <v>0</v>
      </c>
      <c r="BX16" s="29">
        <f t="shared" si="1"/>
        <v>0</v>
      </c>
      <c r="BY16" s="29">
        <f t="shared" si="1"/>
        <v>0</v>
      </c>
      <c r="BZ16" s="29">
        <f t="shared" si="1"/>
        <v>0</v>
      </c>
      <c r="CA16" s="29">
        <f t="shared" si="1"/>
        <v>0</v>
      </c>
      <c r="CB16" s="29">
        <f t="shared" si="1"/>
        <v>0</v>
      </c>
      <c r="CC16" s="29">
        <f t="shared" si="1"/>
        <v>0</v>
      </c>
      <c r="CD16" s="29">
        <f t="shared" si="1"/>
        <v>0</v>
      </c>
      <c r="CE16" s="29">
        <f t="shared" si="1"/>
        <v>0</v>
      </c>
      <c r="CF16" s="29">
        <f t="shared" si="1"/>
        <v>0</v>
      </c>
      <c r="CG16" s="29">
        <f t="shared" si="1"/>
        <v>0</v>
      </c>
      <c r="CH16" s="29">
        <f t="shared" si="1"/>
        <v>0</v>
      </c>
    </row>
    <row r="17" spans="1:86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</row>
    <row r="18" spans="1:86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1">
        <f>5300000/2</f>
        <v>2650000</v>
      </c>
      <c r="N18" s="30"/>
      <c r="O18" s="30"/>
      <c r="P18" s="30"/>
      <c r="Q18" s="80">
        <v>3000000</v>
      </c>
      <c r="R18" s="30"/>
      <c r="S18" s="30"/>
      <c r="T18" s="30"/>
      <c r="U18" s="30"/>
      <c r="V18" s="30"/>
      <c r="W18" s="30"/>
      <c r="X18" s="30">
        <v>2000000</v>
      </c>
      <c r="Y18" s="30"/>
      <c r="Z18" s="30"/>
      <c r="AA18" s="30"/>
      <c r="AB18" s="30"/>
      <c r="AC18" s="30"/>
      <c r="AD18" s="30"/>
      <c r="AE18" s="30">
        <v>2000000</v>
      </c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</row>
    <row r="19" spans="1:86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</row>
    <row r="20" spans="1:86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</row>
    <row r="21" spans="1:86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>
        <f>924*A3</f>
        <v>76495.280399999989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</row>
    <row r="22" spans="1:86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</row>
    <row r="23" spans="1:86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>
        <f>96084*A3</f>
        <v>7954515.7163999993</v>
      </c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</row>
    <row r="24" spans="1:86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O24" s="30"/>
      <c r="P24" s="30"/>
      <c r="Q24" s="30"/>
      <c r="R24" s="30"/>
      <c r="S24" s="30"/>
      <c r="T24" s="30"/>
      <c r="U24" s="30"/>
      <c r="V24" s="30"/>
      <c r="W24" s="30"/>
      <c r="X24" s="30">
        <f>35000*A3</f>
        <v>2897548.5</v>
      </c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>
        <f>35600*A3</f>
        <v>2947220.76</v>
      </c>
      <c r="AT24" s="30"/>
      <c r="AU24" s="30"/>
      <c r="AV24" s="30"/>
      <c r="AW24" s="30"/>
      <c r="AX24" s="30"/>
      <c r="AY24" s="30"/>
      <c r="AZ24" s="30"/>
      <c r="BA24" s="30">
        <f>35600*A3</f>
        <v>2947220.76</v>
      </c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</row>
    <row r="25" spans="1:86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</row>
    <row r="26" spans="1:86" s="4" customFormat="1" x14ac:dyDescent="0.2">
      <c r="A26" s="41" t="s">
        <v>1</v>
      </c>
      <c r="B26" s="22"/>
      <c r="C26" s="34">
        <f>SUM(C28:C77)</f>
        <v>16589407.900520001</v>
      </c>
      <c r="D26" s="34"/>
      <c r="E26" s="34">
        <f t="shared" ref="E26:BP26" si="2">SUM(E27:E78)</f>
        <v>659693.91979999992</v>
      </c>
      <c r="F26" s="34">
        <f t="shared" si="2"/>
        <v>440535.45</v>
      </c>
      <c r="G26" s="34">
        <f t="shared" si="2"/>
        <v>691288.01103333337</v>
      </c>
      <c r="H26" s="34">
        <f t="shared" si="2"/>
        <v>0</v>
      </c>
      <c r="I26" s="34">
        <f t="shared" si="2"/>
        <v>0</v>
      </c>
      <c r="J26" s="34">
        <f t="shared" si="2"/>
        <v>3500772.7799779223</v>
      </c>
      <c r="K26" s="34">
        <f t="shared" si="2"/>
        <v>2697868.6869623372</v>
      </c>
      <c r="L26" s="34">
        <f t="shared" si="2"/>
        <v>600169.42290000001</v>
      </c>
      <c r="M26" s="34">
        <f t="shared" si="2"/>
        <v>3659484.6826333334</v>
      </c>
      <c r="N26" s="34">
        <f t="shared" si="2"/>
        <v>802653.19039999996</v>
      </c>
      <c r="O26" s="34">
        <f t="shared" si="2"/>
        <v>12500</v>
      </c>
      <c r="P26" s="34">
        <f t="shared" si="2"/>
        <v>0</v>
      </c>
      <c r="Q26" s="34">
        <f t="shared" si="2"/>
        <v>681192.62363333325</v>
      </c>
      <c r="R26" s="34">
        <f t="shared" si="2"/>
        <v>666487.82456666674</v>
      </c>
      <c r="S26" s="34">
        <f t="shared" si="2"/>
        <v>604014.46666666656</v>
      </c>
      <c r="T26" s="34">
        <f t="shared" si="2"/>
        <v>3791252.4912333335</v>
      </c>
      <c r="U26" s="34">
        <f t="shared" si="2"/>
        <v>1853471.3521818183</v>
      </c>
      <c r="V26" s="34">
        <f t="shared" si="2"/>
        <v>0</v>
      </c>
      <c r="W26" s="34">
        <f t="shared" si="2"/>
        <v>0</v>
      </c>
      <c r="X26" s="34">
        <f t="shared" si="2"/>
        <v>903813.82059181819</v>
      </c>
      <c r="Y26" s="34">
        <f t="shared" si="2"/>
        <v>444787.76184181817</v>
      </c>
      <c r="Z26" s="34">
        <f t="shared" si="2"/>
        <v>835537.76184181822</v>
      </c>
      <c r="AA26" s="34">
        <f t="shared" si="2"/>
        <v>931387.76184181811</v>
      </c>
      <c r="AB26" s="34">
        <f t="shared" si="2"/>
        <v>1012515.2044018182</v>
      </c>
      <c r="AC26" s="34">
        <f t="shared" si="2"/>
        <v>0</v>
      </c>
      <c r="AD26" s="34">
        <f t="shared" si="2"/>
        <v>0</v>
      </c>
      <c r="AE26" s="34">
        <f t="shared" si="2"/>
        <v>718342.2044018181</v>
      </c>
      <c r="AF26" s="34">
        <f t="shared" si="2"/>
        <v>354342.20440181816</v>
      </c>
      <c r="AG26" s="34">
        <f t="shared" si="2"/>
        <v>809395.92440181819</v>
      </c>
      <c r="AH26" s="34">
        <f t="shared" si="2"/>
        <v>1754342.2044018181</v>
      </c>
      <c r="AI26" s="34">
        <f t="shared" si="2"/>
        <v>454342.20440181816</v>
      </c>
      <c r="AJ26" s="34">
        <f t="shared" si="2"/>
        <v>0</v>
      </c>
      <c r="AK26" s="34">
        <f t="shared" si="2"/>
        <v>0</v>
      </c>
      <c r="AL26" s="34">
        <f t="shared" si="2"/>
        <v>388387.44256</v>
      </c>
      <c r="AM26" s="34">
        <f t="shared" si="2"/>
        <v>133554.44256</v>
      </c>
      <c r="AN26" s="34">
        <f t="shared" si="2"/>
        <v>133554.44256</v>
      </c>
      <c r="AO26" s="34">
        <f t="shared" si="2"/>
        <v>133554.44256</v>
      </c>
      <c r="AP26" s="34">
        <f t="shared" si="2"/>
        <v>649784.44256</v>
      </c>
      <c r="AQ26" s="34">
        <f t="shared" si="2"/>
        <v>0</v>
      </c>
      <c r="AR26" s="34">
        <f t="shared" si="2"/>
        <v>0</v>
      </c>
      <c r="AS26" s="34">
        <f t="shared" si="2"/>
        <v>3545105.7758933334</v>
      </c>
      <c r="AT26" s="34">
        <f t="shared" si="2"/>
        <v>133554.44256</v>
      </c>
      <c r="AU26" s="34">
        <f t="shared" si="2"/>
        <v>133554.44256</v>
      </c>
      <c r="AV26" s="34">
        <f t="shared" si="2"/>
        <v>879617.34256000002</v>
      </c>
      <c r="AW26" s="34">
        <f t="shared" si="2"/>
        <v>0</v>
      </c>
      <c r="AX26" s="34">
        <f t="shared" si="2"/>
        <v>0</v>
      </c>
      <c r="AY26" s="34">
        <f t="shared" si="2"/>
        <v>0</v>
      </c>
      <c r="AZ26" s="34">
        <f t="shared" si="2"/>
        <v>0</v>
      </c>
      <c r="BA26" s="34">
        <f t="shared" si="2"/>
        <v>0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271506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si="2"/>
        <v>0</v>
      </c>
      <c r="BO26" s="34">
        <f t="shared" si="2"/>
        <v>0</v>
      </c>
      <c r="BP26" s="34">
        <f t="shared" si="2"/>
        <v>0</v>
      </c>
      <c r="BQ26" s="34">
        <f t="shared" ref="BQ26:CH26" si="3">SUM(BQ27:BQ78)</f>
        <v>0</v>
      </c>
      <c r="BR26" s="34">
        <f t="shared" si="3"/>
        <v>0</v>
      </c>
      <c r="BS26" s="34">
        <f t="shared" si="3"/>
        <v>0</v>
      </c>
      <c r="BT26" s="34">
        <f t="shared" si="3"/>
        <v>0</v>
      </c>
      <c r="BU26" s="34">
        <f t="shared" si="3"/>
        <v>0</v>
      </c>
      <c r="BV26" s="34">
        <f t="shared" si="3"/>
        <v>0</v>
      </c>
      <c r="BW26" s="34">
        <f t="shared" si="3"/>
        <v>0</v>
      </c>
      <c r="BX26" s="34">
        <f t="shared" si="3"/>
        <v>0</v>
      </c>
      <c r="BY26" s="34">
        <f t="shared" si="3"/>
        <v>0</v>
      </c>
      <c r="BZ26" s="34">
        <f t="shared" si="3"/>
        <v>746062.9</v>
      </c>
      <c r="CA26" s="34">
        <f t="shared" si="3"/>
        <v>0</v>
      </c>
      <c r="CB26" s="34">
        <f t="shared" si="3"/>
        <v>0</v>
      </c>
      <c r="CC26" s="34">
        <f t="shared" si="3"/>
        <v>0</v>
      </c>
      <c r="CD26" s="34">
        <f t="shared" si="3"/>
        <v>0</v>
      </c>
      <c r="CE26" s="34">
        <f t="shared" si="3"/>
        <v>0</v>
      </c>
      <c r="CF26" s="34">
        <f t="shared" si="3"/>
        <v>0</v>
      </c>
      <c r="CG26" s="34">
        <f t="shared" si="3"/>
        <v>0</v>
      </c>
      <c r="CH26" s="34">
        <f t="shared" si="3"/>
        <v>0</v>
      </c>
    </row>
    <row r="27" spans="1:86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</row>
    <row r="28" spans="1:86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</row>
    <row r="29" spans="1:86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</row>
    <row r="30" spans="1:86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>
        <f>8399365/3</f>
        <v>2799788.3333333335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>
        <f>8399365/3</f>
        <v>2799788.3333333335</v>
      </c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</row>
    <row r="31" spans="1:86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90">
        <f>291375+137118</f>
        <v>428493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90">
        <f>291375+137118</f>
        <v>428493</v>
      </c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</row>
    <row r="32" spans="1:86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/>
      <c r="I32" s="24"/>
      <c r="J32" s="24">
        <v>352124.25</v>
      </c>
      <c r="K32" s="24"/>
      <c r="L32" s="24"/>
      <c r="M32" s="24"/>
      <c r="N32" s="24"/>
      <c r="O32" s="24"/>
      <c r="P32" s="24"/>
      <c r="Q32" s="24"/>
      <c r="R32" s="24">
        <v>400000</v>
      </c>
      <c r="S32" s="24"/>
      <c r="T32" s="24"/>
      <c r="U32" s="24"/>
      <c r="V32" s="24"/>
      <c r="W32" s="24"/>
      <c r="X32" s="24"/>
      <c r="Y32" s="24"/>
      <c r="Z32" s="24">
        <v>350000</v>
      </c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</row>
    <row r="33" spans="1:86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>
        <v>271506</v>
      </c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>
        <v>271506</v>
      </c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</row>
    <row r="34" spans="1:86" s="1" customFormat="1" x14ac:dyDescent="0.2">
      <c r="A34" s="36" t="s">
        <v>54</v>
      </c>
      <c r="B34" s="23"/>
      <c r="C34" s="60"/>
      <c r="D34" s="24"/>
      <c r="F34" s="24">
        <v>50000</v>
      </c>
      <c r="G34" s="24">
        <f>100113.9-50000</f>
        <v>50113.899999999994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</row>
    <row r="35" spans="1:86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>
        <v>200113.9</v>
      </c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>
        <v>200113.9</v>
      </c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>
        <v>200113.9</v>
      </c>
      <c r="CA35" s="24"/>
      <c r="CB35" s="24"/>
      <c r="CC35" s="24"/>
      <c r="CD35" s="24"/>
      <c r="CE35" s="24"/>
      <c r="CF35" s="24"/>
      <c r="CG35" s="24"/>
      <c r="CH35" s="24"/>
    </row>
    <row r="36" spans="1:86" s="1" customFormat="1" x14ac:dyDescent="0.2">
      <c r="A36" s="36" t="s">
        <v>53</v>
      </c>
      <c r="B36" s="23"/>
      <c r="C36" s="60"/>
      <c r="D36" s="24"/>
      <c r="E36" s="24">
        <v>100000</v>
      </c>
      <c r="F36" s="24"/>
      <c r="G36" s="24">
        <f>145949-50000</f>
        <v>95949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>
        <v>545949</v>
      </c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>
        <v>545949</v>
      </c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>
        <v>545949</v>
      </c>
      <c r="CA36" s="24"/>
      <c r="CB36" s="24"/>
      <c r="CC36" s="24"/>
      <c r="CD36" s="24"/>
      <c r="CE36" s="24"/>
      <c r="CF36" s="24"/>
      <c r="CG36" s="24"/>
      <c r="CH36" s="24"/>
    </row>
    <row r="37" spans="1:86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</row>
    <row r="38" spans="1:86" s="71" customFormat="1" x14ac:dyDescent="0.2">
      <c r="A38" s="69" t="s">
        <v>14</v>
      </c>
      <c r="B38" s="25" t="s">
        <v>30</v>
      </c>
      <c r="C38" s="70"/>
      <c r="D38" s="24"/>
      <c r="E38" s="100">
        <f>(341779/2-50000)/2+444.75</f>
        <v>60889.5</v>
      </c>
      <c r="H38" s="24"/>
      <c r="I38" s="24"/>
      <c r="J38" s="108">
        <f>170889/5</f>
        <v>34177.800000000003</v>
      </c>
      <c r="K38" s="108">
        <f t="shared" ref="K38:N38" si="4">170889/5</f>
        <v>34177.800000000003</v>
      </c>
      <c r="L38" s="108">
        <f t="shared" si="4"/>
        <v>34177.800000000003</v>
      </c>
      <c r="M38" s="108">
        <f t="shared" si="4"/>
        <v>34177.800000000003</v>
      </c>
      <c r="N38" s="108">
        <f t="shared" si="4"/>
        <v>34177.800000000003</v>
      </c>
      <c r="O38" s="24"/>
      <c r="P38" s="24"/>
      <c r="Q38" s="108">
        <f t="shared" ref="Q38:U38" si="5">191379/5</f>
        <v>38275.800000000003</v>
      </c>
      <c r="R38" s="108">
        <f t="shared" si="5"/>
        <v>38275.800000000003</v>
      </c>
      <c r="S38" s="108">
        <f t="shared" si="5"/>
        <v>38275.800000000003</v>
      </c>
      <c r="T38" s="108">
        <f t="shared" si="5"/>
        <v>38275.800000000003</v>
      </c>
      <c r="U38" s="108">
        <f t="shared" si="5"/>
        <v>38275.800000000003</v>
      </c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</row>
    <row r="39" spans="1:86" s="71" customFormat="1" x14ac:dyDescent="0.2">
      <c r="A39" s="69" t="s">
        <v>115</v>
      </c>
      <c r="B39" s="25" t="s">
        <v>116</v>
      </c>
      <c r="C39" s="70"/>
      <c r="D39" s="24"/>
      <c r="F39" s="100">
        <f t="shared" ref="F39:N39" si="6">156160/6</f>
        <v>26026.666666666668</v>
      </c>
      <c r="G39" s="100">
        <f t="shared" si="6"/>
        <v>26026.666666666668</v>
      </c>
      <c r="H39" s="24"/>
      <c r="I39" s="24"/>
      <c r="J39" s="100">
        <f>156160/6</f>
        <v>26026.666666666668</v>
      </c>
      <c r="K39" s="24"/>
      <c r="L39" s="100">
        <f t="shared" si="6"/>
        <v>26026.666666666668</v>
      </c>
      <c r="M39" s="24"/>
      <c r="N39" s="100">
        <f t="shared" si="6"/>
        <v>26026.666666666668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</row>
    <row r="40" spans="1:86" s="71" customFormat="1" x14ac:dyDescent="0.2">
      <c r="A40" s="69" t="s">
        <v>117</v>
      </c>
      <c r="B40" s="25" t="s">
        <v>119</v>
      </c>
      <c r="C40" s="70">
        <v>691000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100">
        <v>91000</v>
      </c>
      <c r="O40" s="24"/>
      <c r="P40" s="24"/>
      <c r="Q40" s="108">
        <v>100000</v>
      </c>
      <c r="R40" s="24"/>
      <c r="S40" s="108">
        <v>100000</v>
      </c>
      <c r="T40" s="24"/>
      <c r="U40" s="108">
        <v>100000</v>
      </c>
      <c r="V40" s="24"/>
      <c r="W40" s="24"/>
      <c r="X40" s="24"/>
      <c r="Y40" s="108">
        <v>100000</v>
      </c>
      <c r="Z40" s="24"/>
      <c r="AA40" s="108">
        <v>100000</v>
      </c>
      <c r="AB40" s="108">
        <v>100000</v>
      </c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</row>
    <row r="41" spans="1:86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100">
        <v>235200</v>
      </c>
      <c r="V41" s="24"/>
      <c r="W41" s="24"/>
      <c r="X41" s="24"/>
      <c r="Y41" s="24"/>
      <c r="Z41" s="24"/>
      <c r="AA41" s="100">
        <v>510600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</row>
    <row r="42" spans="1:86" s="71" customFormat="1" x14ac:dyDescent="0.2">
      <c r="A42" s="69" t="s">
        <v>17</v>
      </c>
      <c r="B42" s="25" t="s">
        <v>41</v>
      </c>
      <c r="C42" s="70">
        <f>1375000-500000-175000-50000-25000-25000-25000-50000-25000-50000</f>
        <v>450000</v>
      </c>
      <c r="D42" s="24"/>
      <c r="E42" s="129">
        <v>25000</v>
      </c>
      <c r="F42" s="129">
        <v>50000</v>
      </c>
      <c r="G42" s="129">
        <v>65000</v>
      </c>
      <c r="H42" s="24"/>
      <c r="I42" s="24"/>
      <c r="J42" s="129">
        <v>40000</v>
      </c>
      <c r="K42" s="129">
        <v>25000</v>
      </c>
      <c r="L42" s="24"/>
      <c r="M42" s="24"/>
      <c r="O42" s="24"/>
      <c r="P42" s="24"/>
      <c r="Q42" s="129">
        <v>95000</v>
      </c>
      <c r="R42" s="24"/>
      <c r="S42" s="129">
        <v>50000</v>
      </c>
      <c r="T42" s="24"/>
      <c r="U42" s="129">
        <v>50000</v>
      </c>
      <c r="V42" s="24"/>
      <c r="W42" s="24"/>
      <c r="X42" s="129">
        <v>50000</v>
      </c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</row>
    <row r="43" spans="1:86" s="71" customFormat="1" x14ac:dyDescent="0.2">
      <c r="A43" s="69" t="s">
        <v>15</v>
      </c>
      <c r="B43" s="25" t="s">
        <v>31</v>
      </c>
      <c r="C43" s="70">
        <f>2480914-516230</f>
        <v>1964684</v>
      </c>
      <c r="D43" s="24"/>
      <c r="E43" s="140">
        <f t="shared" ref="E43:U43" si="7">195080/4</f>
        <v>48770</v>
      </c>
      <c r="G43" s="108">
        <v>65224</v>
      </c>
      <c r="H43" s="24"/>
      <c r="I43" s="24"/>
      <c r="J43" s="108">
        <f>(45000+65224)/2</f>
        <v>55112</v>
      </c>
      <c r="K43" s="108">
        <v>50000</v>
      </c>
      <c r="L43" s="24"/>
      <c r="M43" s="140">
        <f t="shared" si="7"/>
        <v>48770</v>
      </c>
      <c r="N43" s="108">
        <f>(45000+65224)/2</f>
        <v>55112</v>
      </c>
      <c r="O43" s="24"/>
      <c r="P43" s="24"/>
      <c r="Q43" s="98">
        <f>(515224/4)/3</f>
        <v>42935.333333333336</v>
      </c>
      <c r="R43" s="98">
        <f t="shared" ref="R43:S43" si="8">(515224/4)/3</f>
        <v>42935.333333333336</v>
      </c>
      <c r="S43" s="98">
        <f t="shared" si="8"/>
        <v>42935.333333333336</v>
      </c>
      <c r="U43" s="140">
        <f t="shared" si="7"/>
        <v>48770</v>
      </c>
      <c r="V43" s="24"/>
      <c r="W43" s="24"/>
      <c r="X43" s="24"/>
      <c r="Y43" s="108">
        <f>516230/10</f>
        <v>51623</v>
      </c>
      <c r="Z43" s="108">
        <f t="shared" ref="Z43:AB43" si="9">516230/10</f>
        <v>51623</v>
      </c>
      <c r="AA43" s="108">
        <f t="shared" si="9"/>
        <v>51623</v>
      </c>
      <c r="AB43" s="108">
        <f t="shared" si="9"/>
        <v>51623</v>
      </c>
      <c r="AC43" s="24"/>
      <c r="AD43" s="24"/>
      <c r="AE43" s="108">
        <f>516230/10</f>
        <v>51623</v>
      </c>
      <c r="AF43" s="108">
        <f t="shared" ref="AF43:AH43" si="10">516230/10</f>
        <v>51623</v>
      </c>
      <c r="AG43" s="108">
        <f t="shared" si="10"/>
        <v>51623</v>
      </c>
      <c r="AH43" s="108">
        <f t="shared" si="10"/>
        <v>51623</v>
      </c>
      <c r="AI43" s="108">
        <f>516230/10</f>
        <v>51623</v>
      </c>
      <c r="AJ43" s="24"/>
      <c r="AK43" s="24"/>
      <c r="AL43" s="108">
        <f>516230/10</f>
        <v>51623</v>
      </c>
      <c r="AM43" s="24"/>
      <c r="AN43" s="24"/>
      <c r="AO43" s="24"/>
      <c r="AP43" s="100">
        <v>516230</v>
      </c>
      <c r="AQ43" s="24"/>
      <c r="AR43" s="24"/>
      <c r="AS43" s="98">
        <f>515224/4+54464</f>
        <v>183270</v>
      </c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</row>
    <row r="44" spans="1:86" s="71" customFormat="1" x14ac:dyDescent="0.2">
      <c r="A44" s="69" t="s">
        <v>16</v>
      </c>
      <c r="B44" s="25" t="s">
        <v>32</v>
      </c>
      <c r="C44" s="70">
        <f>1122350-25000-25000-100000-50000-90000-25000-100000-100000</f>
        <v>607350</v>
      </c>
      <c r="D44" s="24"/>
      <c r="E44" s="140">
        <v>100000</v>
      </c>
      <c r="F44" s="108">
        <v>100000</v>
      </c>
      <c r="G44" s="108">
        <v>50000</v>
      </c>
      <c r="H44" s="24"/>
      <c r="I44" s="24"/>
      <c r="K44" s="108">
        <v>25000</v>
      </c>
      <c r="L44" s="108">
        <v>50000</v>
      </c>
      <c r="M44" s="108">
        <v>50000</v>
      </c>
      <c r="N44" s="108">
        <v>50000</v>
      </c>
      <c r="O44" s="24"/>
      <c r="P44" s="24"/>
      <c r="Q44" s="108">
        <f>(172350+10000)/5</f>
        <v>36470</v>
      </c>
      <c r="R44" s="108">
        <f t="shared" ref="R44:U44" si="11">(172350+10000)/5</f>
        <v>36470</v>
      </c>
      <c r="S44" s="108">
        <f t="shared" si="11"/>
        <v>36470</v>
      </c>
      <c r="T44" s="108">
        <f t="shared" si="11"/>
        <v>36470</v>
      </c>
      <c r="U44" s="108">
        <f t="shared" si="11"/>
        <v>36470</v>
      </c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</row>
    <row r="45" spans="1:86" s="71" customFormat="1" x14ac:dyDescent="0.2">
      <c r="A45" s="69" t="s">
        <v>85</v>
      </c>
      <c r="B45" s="25" t="s">
        <v>47</v>
      </c>
      <c r="C45" s="70">
        <f>1285*A6</f>
        <v>92456.906500000012</v>
      </c>
      <c r="D45" s="24"/>
      <c r="E45" s="108">
        <f>645*$A$6</f>
        <v>46408.330500000004</v>
      </c>
      <c r="G45" s="108">
        <f>645*$A$6</f>
        <v>46408.330500000004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</row>
    <row r="46" spans="1:86" s="71" customFormat="1" x14ac:dyDescent="0.2">
      <c r="A46" s="69" t="s">
        <v>143</v>
      </c>
      <c r="B46" s="25" t="s">
        <v>45</v>
      </c>
      <c r="C46" s="24">
        <f>188496*A9</f>
        <v>2003316.6384000001</v>
      </c>
      <c r="D46" s="24"/>
      <c r="E46" s="28"/>
      <c r="F46" s="28"/>
      <c r="G46" s="28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108">
        <f>(188496*$A$9)/15</f>
        <v>133554.44256</v>
      </c>
      <c r="AC46" s="24"/>
      <c r="AD46" s="24"/>
      <c r="AE46" s="108">
        <f>(188496*$A$9)/15</f>
        <v>133554.44256</v>
      </c>
      <c r="AF46" s="108">
        <f t="shared" ref="AF46:AI46" si="12">(188496*$A$9)/15</f>
        <v>133554.44256</v>
      </c>
      <c r="AG46" s="108">
        <f t="shared" si="12"/>
        <v>133554.44256</v>
      </c>
      <c r="AH46" s="108">
        <f t="shared" si="12"/>
        <v>133554.44256</v>
      </c>
      <c r="AI46" s="108">
        <f t="shared" si="12"/>
        <v>133554.44256</v>
      </c>
      <c r="AJ46" s="24"/>
      <c r="AK46" s="24"/>
      <c r="AL46" s="108">
        <f>(188496*$A$9)/15</f>
        <v>133554.44256</v>
      </c>
      <c r="AM46" s="108">
        <f t="shared" ref="AM46:AP46" si="13">(188496*$A$9)/15</f>
        <v>133554.44256</v>
      </c>
      <c r="AN46" s="108">
        <f t="shared" si="13"/>
        <v>133554.44256</v>
      </c>
      <c r="AO46" s="108">
        <f t="shared" si="13"/>
        <v>133554.44256</v>
      </c>
      <c r="AP46" s="108">
        <f t="shared" si="13"/>
        <v>133554.44256</v>
      </c>
      <c r="AQ46" s="24"/>
      <c r="AR46" s="24"/>
      <c r="AS46" s="108">
        <f>(188496*$A$9)/15</f>
        <v>133554.44256</v>
      </c>
      <c r="AT46" s="108">
        <f t="shared" ref="AT46:AV46" si="14">(188496*$A$9)/15</f>
        <v>133554.44256</v>
      </c>
      <c r="AU46" s="108">
        <f t="shared" si="14"/>
        <v>133554.44256</v>
      </c>
      <c r="AV46" s="108">
        <f t="shared" si="14"/>
        <v>133554.44256</v>
      </c>
      <c r="AW46" s="28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</row>
    <row r="47" spans="1:86" s="71" customFormat="1" x14ac:dyDescent="0.2">
      <c r="A47" s="69" t="s">
        <v>120</v>
      </c>
      <c r="B47" s="25" t="s">
        <v>121</v>
      </c>
      <c r="C47" s="120">
        <f>507000+1014000</f>
        <v>1521000</v>
      </c>
      <c r="D47" s="24"/>
      <c r="E47" s="24"/>
      <c r="F47" s="24"/>
      <c r="H47" s="24"/>
      <c r="I47" s="24"/>
      <c r="J47" s="108">
        <f>507000/9</f>
        <v>56333.333333333336</v>
      </c>
      <c r="K47" s="108">
        <f t="shared" ref="K47:N47" si="15">507000/9</f>
        <v>56333.333333333336</v>
      </c>
      <c r="L47" s="108">
        <f t="shared" si="15"/>
        <v>56333.333333333336</v>
      </c>
      <c r="M47" s="108">
        <f t="shared" si="15"/>
        <v>56333.333333333336</v>
      </c>
      <c r="N47" s="108">
        <f t="shared" si="15"/>
        <v>56333.333333333336</v>
      </c>
      <c r="O47" s="24"/>
      <c r="P47" s="24"/>
      <c r="Q47" s="108">
        <f t="shared" ref="Q47:T47" si="16">507000/9</f>
        <v>56333.333333333336</v>
      </c>
      <c r="R47" s="108">
        <f t="shared" si="16"/>
        <v>56333.333333333336</v>
      </c>
      <c r="S47" s="108">
        <f t="shared" si="16"/>
        <v>56333.333333333336</v>
      </c>
      <c r="T47" s="108">
        <f t="shared" si="16"/>
        <v>56333.333333333336</v>
      </c>
      <c r="U47" s="108">
        <f>1014000/11</f>
        <v>92181.818181818177</v>
      </c>
      <c r="V47" s="24"/>
      <c r="W47" s="24"/>
      <c r="X47" s="108">
        <f t="shared" ref="X47:AB47" si="17">1014000/11</f>
        <v>92181.818181818177</v>
      </c>
      <c r="Y47" s="108">
        <f t="shared" si="17"/>
        <v>92181.818181818177</v>
      </c>
      <c r="Z47" s="108">
        <f t="shared" si="17"/>
        <v>92181.818181818177</v>
      </c>
      <c r="AA47" s="108">
        <f t="shared" si="17"/>
        <v>92181.818181818177</v>
      </c>
      <c r="AB47" s="108">
        <f t="shared" si="17"/>
        <v>92181.818181818177</v>
      </c>
      <c r="AC47" s="24"/>
      <c r="AD47" s="24"/>
      <c r="AE47" s="108">
        <f t="shared" ref="AE47:AI47" si="18">1014000/11</f>
        <v>92181.818181818177</v>
      </c>
      <c r="AF47" s="108">
        <f t="shared" si="18"/>
        <v>92181.818181818177</v>
      </c>
      <c r="AG47" s="108">
        <f t="shared" si="18"/>
        <v>92181.818181818177</v>
      </c>
      <c r="AH47" s="108">
        <f t="shared" si="18"/>
        <v>92181.818181818177</v>
      </c>
      <c r="AI47" s="108">
        <f t="shared" si="18"/>
        <v>92181.818181818177</v>
      </c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</row>
    <row r="48" spans="1:86" s="73" customFormat="1" x14ac:dyDescent="0.2">
      <c r="A48" s="69" t="s">
        <v>22</v>
      </c>
      <c r="B48" s="25" t="s">
        <v>48</v>
      </c>
      <c r="C48" s="137">
        <f>554840.15</f>
        <v>554840.15</v>
      </c>
      <c r="D48" s="72"/>
      <c r="E48" s="72"/>
      <c r="F48" s="72"/>
      <c r="G48" s="138">
        <f>(52206*$A$9)/6</f>
        <v>92473.357900000003</v>
      </c>
      <c r="H48" s="72"/>
      <c r="I48" s="72"/>
      <c r="J48" s="160">
        <f>(52206*$A$9)/6</f>
        <v>92473.357900000003</v>
      </c>
      <c r="K48" s="72"/>
      <c r="L48" s="160">
        <f>(52206*$A$9)/6</f>
        <v>92473.357900000003</v>
      </c>
      <c r="M48" s="72"/>
      <c r="N48" s="160">
        <f>(52206*$A$9)/6</f>
        <v>92473.357900000003</v>
      </c>
      <c r="O48" s="72"/>
      <c r="P48" s="72"/>
      <c r="Q48" s="72"/>
      <c r="R48" s="160">
        <f>(52206*$A$9)/6</f>
        <v>92473.357900000003</v>
      </c>
      <c r="S48" s="72"/>
      <c r="T48" s="160">
        <f>(52206*$A$9)/6</f>
        <v>92473.357900000003</v>
      </c>
      <c r="V48" s="72"/>
      <c r="W48" s="72"/>
      <c r="X48" s="160">
        <f>(52206*$A$9+2988*$A$6)/10</f>
        <v>76982.943660000004</v>
      </c>
      <c r="Y48" s="160">
        <f t="shared" ref="Y48:AB48" si="19">(52206*$A$9+2988*$A$6)/10</f>
        <v>76982.943660000004</v>
      </c>
      <c r="Z48" s="160">
        <f t="shared" si="19"/>
        <v>76982.943660000004</v>
      </c>
      <c r="AA48" s="160">
        <f t="shared" si="19"/>
        <v>76982.943660000004</v>
      </c>
      <c r="AB48" s="160">
        <f t="shared" si="19"/>
        <v>76982.943660000004</v>
      </c>
      <c r="AC48" s="72"/>
      <c r="AD48" s="72"/>
      <c r="AE48" s="160">
        <f>(52206*$A$9+2988*$A$6)/10</f>
        <v>76982.943660000004</v>
      </c>
      <c r="AF48" s="160">
        <f t="shared" ref="AF48:AI48" si="20">(52206*$A$9+2988*$A$6)/10</f>
        <v>76982.943660000004</v>
      </c>
      <c r="AG48" s="160">
        <f t="shared" si="20"/>
        <v>76982.943660000004</v>
      </c>
      <c r="AH48" s="160">
        <f t="shared" si="20"/>
        <v>76982.943660000004</v>
      </c>
      <c r="AI48" s="160">
        <f t="shared" si="20"/>
        <v>76982.943660000004</v>
      </c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</row>
    <row r="49" spans="1:86" s="73" customFormat="1" x14ac:dyDescent="0.2">
      <c r="A49" s="69" t="s">
        <v>108</v>
      </c>
      <c r="B49" s="25" t="s">
        <v>109</v>
      </c>
      <c r="C49" s="120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</row>
    <row r="50" spans="1:86" s="71" customFormat="1" x14ac:dyDescent="0.2">
      <c r="A50" s="69" t="s">
        <v>36</v>
      </c>
      <c r="B50" s="25" t="s">
        <v>37</v>
      </c>
      <c r="C50" s="130"/>
      <c r="D50" s="24"/>
      <c r="E50" s="100">
        <f t="shared" ref="E50:M50" si="21">(2662*$A$6)/6</f>
        <v>31922.21596666667</v>
      </c>
      <c r="G50" s="100">
        <f t="shared" si="21"/>
        <v>31922.21596666667</v>
      </c>
      <c r="H50" s="24"/>
      <c r="I50" s="24"/>
      <c r="J50" s="24"/>
      <c r="K50" s="100">
        <f t="shared" si="21"/>
        <v>31922.21596666667</v>
      </c>
      <c r="L50" s="24"/>
      <c r="M50" s="100">
        <f t="shared" si="21"/>
        <v>31922.21596666667</v>
      </c>
      <c r="N50" s="24"/>
      <c r="O50" s="24"/>
      <c r="P50" s="24"/>
      <c r="Q50" s="100">
        <f>(2662*A6)/6</f>
        <v>31922.21596666667</v>
      </c>
      <c r="R50" s="24"/>
      <c r="S50" s="24"/>
      <c r="T50" s="24"/>
      <c r="U50" s="24"/>
      <c r="V50" s="24"/>
      <c r="W50" s="24"/>
      <c r="X50" s="100">
        <f>1037.5*A6</f>
        <v>74649.058750000011</v>
      </c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</row>
    <row r="51" spans="1:86" s="71" customFormat="1" x14ac:dyDescent="0.2">
      <c r="A51" s="69" t="s">
        <v>86</v>
      </c>
      <c r="B51" s="25" t="s">
        <v>35</v>
      </c>
      <c r="C51" s="70">
        <f>1700*A6+4050*A6-250*A6-445*A6-600*A6</f>
        <v>320541.2595000001</v>
      </c>
      <c r="D51" s="77"/>
      <c r="E51" s="108">
        <f>600*$A$6</f>
        <v>43170.54</v>
      </c>
      <c r="F51" s="108">
        <f>500*$A$6</f>
        <v>35975.450000000004</v>
      </c>
      <c r="G51" s="108">
        <f>600*$A$6</f>
        <v>43170.54</v>
      </c>
      <c r="H51" s="24"/>
      <c r="I51" s="24"/>
      <c r="J51" s="108">
        <f>500*$A$6</f>
        <v>35975.450000000004</v>
      </c>
      <c r="K51" s="24"/>
      <c r="L51" s="108">
        <f>850*$A$6</f>
        <v>61158.265000000007</v>
      </c>
      <c r="M51" s="24"/>
      <c r="N51" s="108">
        <f>900*$A$6+525*A6</f>
        <v>102530.0325</v>
      </c>
      <c r="O51" s="24"/>
      <c r="P51" s="24"/>
      <c r="Q51" s="100">
        <f>490*A6</f>
        <v>35255.940999999999</v>
      </c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</row>
    <row r="52" spans="1:86" s="71" customFormat="1" x14ac:dyDescent="0.2">
      <c r="A52" s="69" t="s">
        <v>29</v>
      </c>
      <c r="B52" s="25" t="s">
        <v>43</v>
      </c>
      <c r="C52" s="70">
        <f>439750-19750-25000</f>
        <v>395000</v>
      </c>
      <c r="D52" s="24"/>
      <c r="E52" s="95">
        <v>25000</v>
      </c>
      <c r="G52" s="95">
        <v>25000</v>
      </c>
      <c r="H52" s="24"/>
      <c r="I52" s="24"/>
      <c r="K52" s="95">
        <v>25000</v>
      </c>
      <c r="M52" s="95">
        <v>25000</v>
      </c>
      <c r="O52" s="24"/>
      <c r="P52" s="24"/>
      <c r="Q52" s="95">
        <v>50000</v>
      </c>
      <c r="R52" s="24"/>
      <c r="S52" s="95">
        <v>25000</v>
      </c>
      <c r="T52" s="24"/>
      <c r="U52" s="95">
        <v>25000</v>
      </c>
      <c r="V52" s="24"/>
      <c r="W52" s="24"/>
      <c r="X52" s="95">
        <v>25000</v>
      </c>
      <c r="Y52" s="24"/>
      <c r="Z52" s="95">
        <f>50000+14750</f>
        <v>64750</v>
      </c>
      <c r="AA52" s="24"/>
      <c r="AB52" s="95">
        <v>75000</v>
      </c>
      <c r="AC52" s="24"/>
      <c r="AD52" s="24"/>
      <c r="AE52" s="95">
        <v>50000</v>
      </c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</row>
    <row r="53" spans="1:86" s="71" customFormat="1" x14ac:dyDescent="0.2">
      <c r="A53" s="69" t="s">
        <v>141</v>
      </c>
      <c r="B53" s="25" t="s">
        <v>142</v>
      </c>
      <c r="C53" s="70"/>
      <c r="D53" s="24"/>
      <c r="E53" s="28"/>
      <c r="F53" s="28"/>
      <c r="G53" s="28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100">
        <v>55053.72</v>
      </c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</row>
    <row r="54" spans="1:86" s="71" customFormat="1" x14ac:dyDescent="0.2">
      <c r="A54" s="69" t="s">
        <v>146</v>
      </c>
      <c r="B54" s="25" t="s">
        <v>147</v>
      </c>
      <c r="C54" s="70"/>
      <c r="D54" s="24"/>
      <c r="E54" s="28"/>
      <c r="F54" s="28"/>
      <c r="G54" s="28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100">
        <v>90000</v>
      </c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</row>
    <row r="55" spans="1:86" s="71" customFormat="1" x14ac:dyDescent="0.2">
      <c r="A55" s="69" t="s">
        <v>149</v>
      </c>
      <c r="B55" s="25" t="s">
        <v>148</v>
      </c>
      <c r="C55" s="70"/>
      <c r="D55" s="24"/>
      <c r="E55" s="158">
        <f t="shared" ref="E55:F55" si="22">235600/3</f>
        <v>78533.333333333328</v>
      </c>
      <c r="F55" s="158">
        <f t="shared" si="22"/>
        <v>78533.333333333328</v>
      </c>
      <c r="G55" s="28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8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</row>
    <row r="56" spans="1:86" s="71" customFormat="1" x14ac:dyDescent="0.2">
      <c r="A56" s="69" t="s">
        <v>124</v>
      </c>
      <c r="B56" s="25" t="s">
        <v>125</v>
      </c>
      <c r="C56" s="7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100">
        <v>203210</v>
      </c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</row>
    <row r="57" spans="1:86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</row>
    <row r="58" spans="1:86" s="71" customFormat="1" x14ac:dyDescent="0.2">
      <c r="A58" s="69" t="s">
        <v>90</v>
      </c>
      <c r="B58" s="25" t="s">
        <v>91</v>
      </c>
      <c r="C58" s="70">
        <f>912000+1012000-100000-100000</f>
        <v>1724000</v>
      </c>
      <c r="D58" s="77"/>
      <c r="E58" s="129">
        <v>75000</v>
      </c>
      <c r="F58" s="129">
        <v>75000</v>
      </c>
      <c r="G58" s="129">
        <v>75000</v>
      </c>
      <c r="H58" s="28"/>
      <c r="I58" s="28"/>
      <c r="J58" s="129">
        <v>75000</v>
      </c>
      <c r="K58" s="129">
        <v>75000</v>
      </c>
      <c r="L58" s="129">
        <v>75000</v>
      </c>
      <c r="M58" s="129">
        <v>75000</v>
      </c>
      <c r="N58" s="129">
        <v>75000</v>
      </c>
      <c r="O58" s="24"/>
      <c r="P58" s="24"/>
      <c r="Q58" s="129">
        <v>75000</v>
      </c>
      <c r="R58" s="28"/>
      <c r="S58" s="129">
        <v>75000</v>
      </c>
      <c r="T58" s="28"/>
      <c r="U58" s="129">
        <v>75000</v>
      </c>
      <c r="V58" s="24"/>
      <c r="W58" s="24"/>
      <c r="X58" s="129">
        <v>75000</v>
      </c>
      <c r="Y58" s="129">
        <v>100000</v>
      </c>
      <c r="Z58" s="129">
        <v>100000</v>
      </c>
      <c r="AA58" s="129">
        <v>100000</v>
      </c>
      <c r="AB58" s="129">
        <v>100000</v>
      </c>
      <c r="AC58" s="24"/>
      <c r="AD58" s="24"/>
      <c r="AE58" s="129">
        <v>124000</v>
      </c>
      <c r="AF58" s="24"/>
      <c r="AG58" s="129">
        <f>C58-1424000</f>
        <v>300000</v>
      </c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</row>
    <row r="59" spans="1:86" s="71" customFormat="1" x14ac:dyDescent="0.2">
      <c r="A59" s="69" t="s">
        <v>144</v>
      </c>
      <c r="B59" s="25" t="s">
        <v>145</v>
      </c>
      <c r="C59" s="70"/>
      <c r="D59" s="77"/>
      <c r="E59" s="28"/>
      <c r="F59" s="28"/>
      <c r="H59" s="28"/>
      <c r="I59" s="28"/>
      <c r="J59" s="28"/>
      <c r="K59" s="28"/>
      <c r="L59" s="28"/>
      <c r="M59" s="28"/>
      <c r="N59" s="158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</row>
    <row r="60" spans="1:86" s="71" customFormat="1" x14ac:dyDescent="0.2">
      <c r="A60" s="69" t="s">
        <v>138</v>
      </c>
      <c r="B60" s="25" t="s">
        <v>136</v>
      </c>
      <c r="C60" s="70"/>
      <c r="D60" s="77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4"/>
      <c r="P60" s="24"/>
      <c r="Q60" s="24"/>
      <c r="R60" s="24"/>
      <c r="S60" s="24"/>
      <c r="T60" s="24"/>
      <c r="U60" s="100">
        <f>4260*A6</f>
        <v>306510.83400000003</v>
      </c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</row>
    <row r="61" spans="1:86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</row>
    <row r="62" spans="1:86" s="71" customFormat="1" x14ac:dyDescent="0.2">
      <c r="A62" s="151" t="s">
        <v>139</v>
      </c>
      <c r="B62" s="152" t="s">
        <v>114</v>
      </c>
      <c r="C62" s="70">
        <v>1732500</v>
      </c>
      <c r="D62" s="77"/>
      <c r="E62" s="28"/>
      <c r="F62" s="28"/>
      <c r="G62" s="24"/>
      <c r="H62" s="28"/>
      <c r="I62" s="28"/>
      <c r="J62" s="100">
        <v>100000</v>
      </c>
      <c r="K62" s="28"/>
      <c r="L62" s="100">
        <v>100000</v>
      </c>
      <c r="M62" s="24"/>
      <c r="N62" s="100">
        <v>100000</v>
      </c>
      <c r="O62" s="24"/>
      <c r="P62" s="24"/>
      <c r="Q62" s="100">
        <v>100000</v>
      </c>
      <c r="R62" s="28"/>
      <c r="S62" s="100">
        <v>100000</v>
      </c>
      <c r="T62" s="24"/>
      <c r="U62" s="100">
        <v>100000</v>
      </c>
      <c r="V62" s="24"/>
      <c r="W62" s="24"/>
      <c r="X62" s="100">
        <v>100000</v>
      </c>
      <c r="Y62" s="28"/>
      <c r="Z62" s="100">
        <v>100000</v>
      </c>
      <c r="AA62" s="24"/>
      <c r="AB62" s="100">
        <v>100000</v>
      </c>
      <c r="AC62" s="24"/>
      <c r="AD62" s="24"/>
      <c r="AE62" s="100">
        <v>100000</v>
      </c>
      <c r="AF62" s="28"/>
      <c r="AG62" s="100">
        <v>100000</v>
      </c>
      <c r="AH62" s="24"/>
      <c r="AI62" s="100">
        <v>100000</v>
      </c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</row>
    <row r="63" spans="1:86" s="71" customFormat="1" x14ac:dyDescent="0.2">
      <c r="A63" s="69" t="s">
        <v>34</v>
      </c>
      <c r="B63" s="25" t="s">
        <v>45</v>
      </c>
      <c r="C63" s="70">
        <f>1014000-100000-100000+400-50000-25000-25000-25000-50000-53800-85600-75000</f>
        <v>425000</v>
      </c>
      <c r="D63" s="77"/>
      <c r="F63" s="129">
        <v>25000</v>
      </c>
      <c r="G63" s="24"/>
      <c r="H63" s="24"/>
      <c r="I63" s="24"/>
      <c r="J63" s="129">
        <f>400000/5</f>
        <v>80000</v>
      </c>
      <c r="K63" s="129">
        <f t="shared" ref="K63:N63" si="23">400000/5</f>
        <v>80000</v>
      </c>
      <c r="L63" s="129">
        <f t="shared" si="23"/>
        <v>80000</v>
      </c>
      <c r="M63" s="129">
        <f t="shared" si="23"/>
        <v>80000</v>
      </c>
      <c r="N63" s="129">
        <f t="shared" si="23"/>
        <v>80000</v>
      </c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</row>
    <row r="64" spans="1:86" s="71" customFormat="1" x14ac:dyDescent="0.2">
      <c r="A64" s="69" t="s">
        <v>128</v>
      </c>
      <c r="B64" s="25" t="s">
        <v>129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</row>
    <row r="65" spans="1:86" s="71" customFormat="1" x14ac:dyDescent="0.2">
      <c r="A65" s="69" t="s">
        <v>101</v>
      </c>
      <c r="B65" s="25" t="s">
        <v>130</v>
      </c>
      <c r="C65" s="70">
        <v>110000</v>
      </c>
      <c r="D65" s="77"/>
      <c r="E65" s="108">
        <f t="shared" ref="E65:G65" si="24">100000/4</f>
        <v>25000</v>
      </c>
      <c r="G65" s="108">
        <f t="shared" si="24"/>
        <v>25000</v>
      </c>
      <c r="H65" s="24"/>
      <c r="I65" s="24"/>
      <c r="J65" s="108">
        <v>20000</v>
      </c>
      <c r="K65" s="24"/>
      <c r="L65" s="108">
        <f>100000/4</f>
        <v>25000</v>
      </c>
      <c r="M65" s="108">
        <v>15000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</row>
    <row r="66" spans="1:86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</row>
    <row r="67" spans="1:86" s="71" customFormat="1" x14ac:dyDescent="0.2">
      <c r="A67" s="69" t="s">
        <v>38</v>
      </c>
      <c r="B67" s="25" t="s">
        <v>39</v>
      </c>
      <c r="C67" s="70"/>
      <c r="D67" s="24"/>
      <c r="E67" s="28"/>
      <c r="F67" s="24"/>
      <c r="G67" s="24"/>
      <c r="H67" s="24"/>
      <c r="I67" s="24"/>
      <c r="J67" s="24"/>
      <c r="K67" s="118">
        <v>23400</v>
      </c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</row>
    <row r="68" spans="1:86" s="71" customFormat="1" x14ac:dyDescent="0.2">
      <c r="A68" s="69" t="s">
        <v>74</v>
      </c>
      <c r="B68" s="25" t="s">
        <v>131</v>
      </c>
      <c r="C68" s="70"/>
      <c r="D68" s="24"/>
      <c r="E68" s="24"/>
      <c r="F68" s="24"/>
      <c r="G68" s="24"/>
      <c r="H68" s="24"/>
      <c r="I68" s="24"/>
      <c r="J68" s="100">
        <v>22000</v>
      </c>
      <c r="K68" s="24"/>
      <c r="L68" s="24"/>
      <c r="M68" s="100">
        <v>15000</v>
      </c>
      <c r="N68" s="143">
        <v>40000</v>
      </c>
      <c r="O68" s="100">
        <v>12500</v>
      </c>
      <c r="P68" s="24"/>
      <c r="Q68" s="100">
        <v>20000</v>
      </c>
      <c r="R68" s="24"/>
      <c r="S68" s="100">
        <v>80000</v>
      </c>
      <c r="T68" s="24"/>
      <c r="U68" s="24"/>
      <c r="V68" s="24"/>
      <c r="W68" s="24"/>
      <c r="X68" s="100">
        <v>20000</v>
      </c>
      <c r="Y68" s="100">
        <f>7500+16500</f>
        <v>24000</v>
      </c>
      <c r="Z68" s="24"/>
      <c r="AA68" s="24"/>
      <c r="AB68" s="100">
        <v>11667</v>
      </c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</row>
    <row r="69" spans="1:86" s="71" customFormat="1" x14ac:dyDescent="0.2">
      <c r="A69" s="69" t="s">
        <v>74</v>
      </c>
      <c r="B69" s="25" t="s">
        <v>83</v>
      </c>
      <c r="C69" s="70"/>
      <c r="D69" s="24"/>
      <c r="E69" s="28"/>
      <c r="F69" s="28"/>
      <c r="G69" s="28"/>
      <c r="H69" s="28"/>
      <c r="I69" s="28"/>
      <c r="J69" s="28"/>
      <c r="K69" s="28"/>
      <c r="L69" s="28"/>
      <c r="M69" s="24"/>
      <c r="O69" s="24"/>
      <c r="P69" s="24"/>
      <c r="Q69" s="24"/>
      <c r="R69" s="24"/>
      <c r="S69" s="114"/>
      <c r="T69" s="114">
        <v>3567700</v>
      </c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</row>
    <row r="70" spans="1:86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2"/>
      <c r="CH70" s="72"/>
    </row>
    <row r="71" spans="1:86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3"/>
      <c r="CF71" s="93"/>
      <c r="CG71" s="93"/>
      <c r="CH71" s="93"/>
    </row>
    <row r="72" spans="1:86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</row>
    <row r="73" spans="1:86" s="5" customFormat="1" x14ac:dyDescent="0.2">
      <c r="A73" s="36" t="s">
        <v>49</v>
      </c>
      <c r="B73" s="12"/>
      <c r="C73" s="13"/>
      <c r="D73" s="26"/>
      <c r="E73" s="13"/>
      <c r="F73" s="126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>
        <v>1400000</v>
      </c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</row>
    <row r="74" spans="1:86" s="5" customFormat="1" x14ac:dyDescent="0.2">
      <c r="A74" s="36" t="s">
        <v>57</v>
      </c>
      <c r="B74" s="12"/>
      <c r="C74" s="68"/>
      <c r="D74" s="26"/>
      <c r="E74" s="13"/>
      <c r="F74" s="13"/>
      <c r="H74" s="13"/>
      <c r="I74" s="13"/>
      <c r="J74" s="139">
        <f>1933893.44/0.77</f>
        <v>2511549.9220779222</v>
      </c>
      <c r="K74" s="139">
        <f>1749467.21/0.77</f>
        <v>2272035.3376623373</v>
      </c>
      <c r="L74" s="13"/>
      <c r="M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</row>
    <row r="75" spans="1:86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9">
        <v>390000</v>
      </c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</row>
    <row r="76" spans="1:86" s="5" customFormat="1" x14ac:dyDescent="0.2">
      <c r="A76" s="42"/>
      <c r="B76" s="12"/>
      <c r="C76" s="68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</row>
    <row r="77" spans="1:86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</row>
    <row r="78" spans="1:86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</row>
    <row r="79" spans="1:86" s="84" customFormat="1" x14ac:dyDescent="0.2">
      <c r="A79" s="81" t="s">
        <v>66</v>
      </c>
      <c r="B79" s="82"/>
      <c r="C79" s="63"/>
      <c r="D79" s="83"/>
      <c r="E79" s="83">
        <f>$C$5+E16-E26</f>
        <v>8512750.2001999989</v>
      </c>
      <c r="F79" s="83">
        <f t="shared" ref="F79" si="25">E79+F16-F26</f>
        <v>8072214.7501999987</v>
      </c>
      <c r="G79" s="83">
        <f t="shared" ref="G79" si="26">F79+G16-G26</f>
        <v>7380926.7391666658</v>
      </c>
      <c r="H79" s="83">
        <f t="shared" ref="H79" si="27">G79+H16-H26</f>
        <v>7380926.7391666658</v>
      </c>
      <c r="I79" s="83">
        <f t="shared" ref="I79" si="28">H79+I16-I26</f>
        <v>7380926.7391666658</v>
      </c>
      <c r="J79" s="83">
        <f t="shared" ref="J79" si="29">I79+J16-J26</f>
        <v>3880153.9591887435</v>
      </c>
      <c r="K79" s="83">
        <f t="shared" ref="K79" si="30">J79+K16-K26</f>
        <v>1182285.2722264063</v>
      </c>
      <c r="L79" s="83">
        <f t="shared" ref="L79" si="31">K79+L16-L26</f>
        <v>582115.84932640626</v>
      </c>
      <c r="M79" s="83">
        <f t="shared" ref="M79" si="32">L79+M16-M26</f>
        <v>-350873.55290692719</v>
      </c>
      <c r="N79" s="83">
        <f t="shared" ref="N79" si="33">M79+N16-N26</f>
        <v>-1153526.7433069272</v>
      </c>
      <c r="O79" s="83">
        <f t="shared" ref="O79" si="34">N79+O16-O26</f>
        <v>-1166026.7433069272</v>
      </c>
      <c r="P79" s="83">
        <f t="shared" ref="P79" si="35">O79+P16-P26</f>
        <v>-1166026.7433069272</v>
      </c>
      <c r="Q79" s="83">
        <f t="shared" ref="Q79" si="36">P79+Q16-Q26</f>
        <v>1152780.6330597396</v>
      </c>
      <c r="R79" s="83">
        <f t="shared" ref="R79" si="37">Q79+R16-R26</f>
        <v>486292.80849307287</v>
      </c>
      <c r="S79" s="83">
        <f t="shared" ref="S79" si="38">R79+S16-S26</f>
        <v>-117721.65817359369</v>
      </c>
      <c r="T79" s="83">
        <f t="shared" ref="T79" si="39">S79+T16-T26</f>
        <v>-3908974.1494069272</v>
      </c>
      <c r="U79" s="83">
        <f t="shared" ref="U79" si="40">T79+U16-U26</f>
        <v>-5762445.501588745</v>
      </c>
      <c r="V79" s="83">
        <f t="shared" ref="V79" si="41">U79+V16-V26</f>
        <v>-5762445.501588745</v>
      </c>
      <c r="W79" s="83">
        <f t="shared" ref="W79" si="42">V79+W16-W26</f>
        <v>-5762445.501588745</v>
      </c>
      <c r="X79" s="83">
        <f t="shared" ref="X79" si="43">W79+X16-X26</f>
        <v>-1768710.8221805631</v>
      </c>
      <c r="Y79" s="83">
        <f t="shared" ref="Y79" si="44">X79+Y16-Y26</f>
        <v>-2213498.5840223813</v>
      </c>
      <c r="Z79" s="83">
        <f t="shared" ref="Z79" si="45">Y79+Z16-Z26</f>
        <v>-3049036.3458641996</v>
      </c>
      <c r="AA79" s="83">
        <f t="shared" ref="AA79" si="46">Z79+AA16-AA26</f>
        <v>-3980424.1077060178</v>
      </c>
      <c r="AB79" s="83">
        <f t="shared" ref="AB79" si="47">AA79+AB16-AB26</f>
        <v>-4992939.3121078359</v>
      </c>
      <c r="AC79" s="83">
        <f t="shared" ref="AC79" si="48">AB79+AC16-AC26</f>
        <v>-4992939.3121078359</v>
      </c>
      <c r="AD79" s="83">
        <f t="shared" ref="AD79" si="49">AC79+AD16-AD26</f>
        <v>-4992939.3121078359</v>
      </c>
      <c r="AE79" s="83">
        <f t="shared" ref="AE79" si="50">AD79+AE16-AE26</f>
        <v>-3711281.516509654</v>
      </c>
      <c r="AF79" s="83">
        <f t="shared" ref="AF79" si="51">AE79+AF16-AF26</f>
        <v>-4065623.7209114721</v>
      </c>
      <c r="AG79" s="83">
        <f t="shared" ref="AG79" si="52">AF79+AG16-AG26</f>
        <v>-4875019.6453132899</v>
      </c>
      <c r="AH79" s="83">
        <f t="shared" ref="AH79" si="53">AG79+AH16-AH26</f>
        <v>1325153.8666848913</v>
      </c>
      <c r="AI79" s="83">
        <f t="shared" ref="AI79" si="54">AH79+AI16-AI26</f>
        <v>870811.66228307318</v>
      </c>
      <c r="AJ79" s="83">
        <f t="shared" ref="AJ79" si="55">AI79+AJ16-AJ26</f>
        <v>870811.66228307318</v>
      </c>
      <c r="AK79" s="83">
        <f t="shared" ref="AK79" si="56">AJ79+AK16-AK26</f>
        <v>870811.66228307318</v>
      </c>
      <c r="AL79" s="83">
        <f t="shared" ref="AL79" si="57">AK79+AL16-AL26</f>
        <v>482424.21972307318</v>
      </c>
      <c r="AM79" s="83">
        <f t="shared" ref="AM79" si="58">AL79+AM16-AM26</f>
        <v>348869.77716307319</v>
      </c>
      <c r="AN79" s="83">
        <f t="shared" ref="AN79" si="59">AM79+AN16-AN26</f>
        <v>215315.33460307319</v>
      </c>
      <c r="AO79" s="83">
        <f t="shared" ref="AO79" si="60">AN79+AO16-AO26</f>
        <v>81760.892043073196</v>
      </c>
      <c r="AP79" s="83">
        <f t="shared" ref="AP79" si="61">AO79+AP16-AP26</f>
        <v>-568023.5505169268</v>
      </c>
      <c r="AQ79" s="83">
        <f t="shared" ref="AQ79" si="62">AP79+AQ16-AQ26</f>
        <v>-568023.5505169268</v>
      </c>
      <c r="AR79" s="83">
        <f t="shared" ref="AR79" si="63">AQ79+AR16-AR26</f>
        <v>-568023.5505169268</v>
      </c>
      <c r="AS79" s="83">
        <f t="shared" ref="AS79" si="64">AR79+AS16-AS26</f>
        <v>-1165908.5664102603</v>
      </c>
      <c r="AT79" s="83">
        <f t="shared" ref="AT79" si="65">AS79+AT16-AT26</f>
        <v>-1299463.0089702602</v>
      </c>
      <c r="AU79" s="83">
        <f t="shared" ref="AU79" si="66">AT79+AU16-AU26</f>
        <v>-1433017.45153026</v>
      </c>
      <c r="AV79" s="83">
        <f t="shared" ref="AV79" si="67">AU79+AV16-AV26</f>
        <v>-2312634.7940902598</v>
      </c>
      <c r="AW79" s="83">
        <f t="shared" ref="AW79" si="68">AV79+AW16-AW26</f>
        <v>-2312634.7940902598</v>
      </c>
      <c r="AX79" s="83">
        <f t="shared" ref="AX79" si="69">AW79+AX16-AX26</f>
        <v>-2312634.7940902598</v>
      </c>
      <c r="AY79" s="83">
        <f t="shared" ref="AY79" si="70">AX79+AY16-AY26</f>
        <v>-2312634.7940902598</v>
      </c>
      <c r="AZ79" s="83">
        <f t="shared" ref="AZ79" si="71">AY79+AZ16-AZ26</f>
        <v>-2312634.7940902598</v>
      </c>
      <c r="BA79" s="83">
        <f t="shared" ref="BA79" si="72">AZ79+BA16-BA26</f>
        <v>634585.96590973996</v>
      </c>
      <c r="BB79" s="83">
        <f t="shared" ref="BB79" si="73">BA79+BB16-BB26</f>
        <v>634585.96590973996</v>
      </c>
      <c r="BC79" s="83">
        <f t="shared" ref="BC79" si="74">BB79+BC16-BC26</f>
        <v>634585.96590973996</v>
      </c>
      <c r="BD79" s="83">
        <f t="shared" ref="BD79" si="75">BC79+BD16-BD26</f>
        <v>634585.96590973996</v>
      </c>
      <c r="BE79" s="83">
        <f t="shared" ref="BE79" si="76">BD79+BE16-BE26</f>
        <v>634585.96590973996</v>
      </c>
      <c r="BF79" s="83">
        <f t="shared" ref="BF79" si="77">BE79+BF16-BF26</f>
        <v>634585.96590973996</v>
      </c>
      <c r="BG79" s="83">
        <f t="shared" ref="BG79" si="78">BF79+BG16-BG26</f>
        <v>363079.96590973996</v>
      </c>
      <c r="BH79" s="83">
        <f t="shared" ref="BH79" si="79">BG79+BH16-BH26</f>
        <v>363079.96590973996</v>
      </c>
      <c r="BI79" s="83">
        <f t="shared" ref="BI79" si="80">BH79+BI16-BI26</f>
        <v>363079.96590973996</v>
      </c>
      <c r="BJ79" s="83">
        <f t="shared" ref="BJ79" si="81">BI79+BJ16-BJ26</f>
        <v>363079.96590973996</v>
      </c>
      <c r="BK79" s="83">
        <f t="shared" ref="BK79" si="82">BJ79+BK16-BK26</f>
        <v>363079.96590973996</v>
      </c>
      <c r="BL79" s="83">
        <f t="shared" ref="BL79" si="83">BK79+BL16-BL26</f>
        <v>363079.96590973996</v>
      </c>
      <c r="BM79" s="83">
        <f t="shared" ref="BM79" si="84">BL79+BM16-BM26</f>
        <v>363079.96590973996</v>
      </c>
      <c r="BN79" s="83">
        <f t="shared" ref="BN79" si="85">BM79+BN16-BN26</f>
        <v>363079.96590973996</v>
      </c>
      <c r="BO79" s="83">
        <f t="shared" ref="BO79" si="86">BN79+BO16-BO26</f>
        <v>363079.96590973996</v>
      </c>
      <c r="BP79" s="83">
        <f t="shared" ref="BP79" si="87">BO79+BP16-BP26</f>
        <v>363079.96590973996</v>
      </c>
      <c r="BQ79" s="83">
        <f t="shared" ref="BQ79" si="88">BP79+BQ16-BQ26</f>
        <v>363079.96590973996</v>
      </c>
      <c r="BR79" s="83">
        <f t="shared" ref="BR79" si="89">BQ79+BR16-BR26</f>
        <v>363079.96590973996</v>
      </c>
      <c r="BS79" s="83">
        <f t="shared" ref="BS79" si="90">BR79+BS16-BS26</f>
        <v>363079.96590973996</v>
      </c>
      <c r="BT79" s="83">
        <f t="shared" ref="BT79" si="91">BS79+BT16-BT26</f>
        <v>363079.96590973996</v>
      </c>
      <c r="BU79" s="83">
        <f t="shared" ref="BU79" si="92">BT79+BU16-BU26</f>
        <v>363079.96590973996</v>
      </c>
      <c r="BV79" s="83">
        <f t="shared" ref="BV79" si="93">BU79+BV16-BV26</f>
        <v>363079.96590973996</v>
      </c>
      <c r="BW79" s="83">
        <f t="shared" ref="BW79" si="94">BV79+BW16-BW26</f>
        <v>363079.96590973996</v>
      </c>
      <c r="BX79" s="83">
        <f t="shared" ref="BX79" si="95">BW79+BX16-BX26</f>
        <v>363079.96590973996</v>
      </c>
      <c r="BY79" s="83">
        <f t="shared" ref="BY79" si="96">BX79+BY16-BY26</f>
        <v>363079.96590973996</v>
      </c>
      <c r="BZ79" s="83">
        <f t="shared" ref="BZ79" si="97">BY79+BZ16-BZ26</f>
        <v>-382982.93409026007</v>
      </c>
      <c r="CA79" s="83">
        <f t="shared" ref="CA79" si="98">BZ79+CA16-CA26</f>
        <v>-382982.93409026007</v>
      </c>
      <c r="CB79" s="83">
        <f t="shared" ref="CB79" si="99">CA79+CB16-CB26</f>
        <v>-382982.93409026007</v>
      </c>
      <c r="CC79" s="83">
        <f t="shared" ref="CC79" si="100">CB79+CC16-CC26</f>
        <v>-382982.93409026007</v>
      </c>
      <c r="CD79" s="83">
        <f t="shared" ref="CD79" si="101">CC79+CD16-CD26</f>
        <v>-382982.93409026007</v>
      </c>
      <c r="CE79" s="83">
        <f t="shared" ref="CE79" si="102">CD79+CE16-CE26</f>
        <v>-382982.93409026007</v>
      </c>
      <c r="CF79" s="83">
        <f t="shared" ref="CF79" si="103">CE79+CF16-CF26</f>
        <v>-382982.93409026007</v>
      </c>
      <c r="CG79" s="83">
        <f t="shared" ref="CG79" si="104">CF79+CG16-CG26</f>
        <v>-382982.93409026007</v>
      </c>
      <c r="CH79" s="83">
        <f t="shared" ref="CH79" si="105">CG79+CH16-CH26</f>
        <v>-382982.93409026007</v>
      </c>
    </row>
    <row r="81" spans="1:86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</row>
    <row r="82" spans="1:86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</row>
    <row r="83" spans="1:86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</row>
    <row r="84" spans="1:86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</row>
    <row r="85" spans="1:86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</row>
    <row r="86" spans="1:86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</row>
    <row r="88" spans="1:86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I88"/>
  <sheetViews>
    <sheetView topLeftCell="M55" workbookViewId="0">
      <selection activeCell="T69" sqref="T69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7" width="10.85546875" style="3" bestFit="1" customWidth="1"/>
    <col min="8" max="8" width="11.7109375" style="3" bestFit="1" customWidth="1"/>
    <col min="9" max="14" width="10.85546875" style="3" bestFit="1" customWidth="1"/>
    <col min="15" max="15" width="14" style="3" customWidth="1"/>
    <col min="16" max="16" width="12.85546875" style="3" customWidth="1"/>
    <col min="17" max="17" width="14.28515625" style="3" customWidth="1"/>
    <col min="18" max="18" width="12" style="3" customWidth="1"/>
    <col min="19" max="19" width="14.5703125" style="3" customWidth="1"/>
    <col min="20" max="20" width="11.85546875" style="3" customWidth="1"/>
    <col min="21" max="21" width="12.42578125" style="3" customWidth="1"/>
    <col min="22" max="22" width="14.85546875" style="3" customWidth="1"/>
    <col min="23" max="23" width="13" style="3" customWidth="1"/>
    <col min="24" max="24" width="12.7109375" style="3" customWidth="1"/>
    <col min="25" max="25" width="11.85546875" style="3" customWidth="1"/>
    <col min="26" max="26" width="13.140625" style="3" customWidth="1"/>
    <col min="27" max="27" width="11.7109375" style="3" customWidth="1"/>
    <col min="28" max="28" width="12.5703125" style="3" customWidth="1"/>
    <col min="29" max="29" width="15.7109375" style="3" customWidth="1"/>
    <col min="30" max="30" width="12.7109375" style="3" customWidth="1"/>
    <col min="31" max="32" width="12.85546875" style="3" customWidth="1"/>
    <col min="33" max="34" width="11.85546875" style="3" customWidth="1"/>
    <col min="35" max="35" width="13" style="3" customWidth="1"/>
    <col min="36" max="36" width="12.28515625" style="3" customWidth="1"/>
    <col min="37" max="37" width="12.140625" style="3" customWidth="1"/>
    <col min="38" max="38" width="11.140625" style="3" customWidth="1"/>
    <col min="39" max="39" width="12.7109375" style="3" customWidth="1"/>
    <col min="40" max="45" width="9" style="3"/>
    <col min="46" max="46" width="12" style="3" customWidth="1"/>
    <col min="47" max="47" width="11.140625" style="3" customWidth="1"/>
    <col min="48" max="48" width="10.28515625" style="3" customWidth="1"/>
    <col min="49" max="49" width="11.42578125" style="3" customWidth="1"/>
    <col min="50" max="53" width="9" style="3"/>
    <col min="54" max="54" width="10.42578125" style="3" customWidth="1"/>
    <col min="55" max="55" width="10.28515625" style="3" bestFit="1" customWidth="1"/>
    <col min="56" max="59" width="9" style="3"/>
    <col min="60" max="60" width="12.42578125" style="3" customWidth="1"/>
    <col min="61" max="78" width="9" style="3"/>
    <col min="79" max="79" width="12.42578125" style="3" customWidth="1"/>
    <col min="80" max="16384" width="9" style="3"/>
  </cols>
  <sheetData>
    <row r="1" spans="1:87" ht="12" thickBot="1" x14ac:dyDescent="0.3"/>
    <row r="2" spans="1:87" s="1" customFormat="1" x14ac:dyDescent="0.2">
      <c r="A2" s="43" t="s">
        <v>50</v>
      </c>
      <c r="B2" s="15" t="s">
        <v>27</v>
      </c>
      <c r="C2" s="50">
        <v>9762304.1799999997</v>
      </c>
    </row>
    <row r="3" spans="1:87" s="1" customFormat="1" ht="12" thickBot="1" x14ac:dyDescent="0.25">
      <c r="A3" s="44">
        <v>84.074200000000005</v>
      </c>
      <c r="B3" s="15" t="s">
        <v>28</v>
      </c>
      <c r="C3" s="50">
        <v>10778.95</v>
      </c>
    </row>
    <row r="4" spans="1:87" s="8" customFormat="1" ht="12" thickBot="1" x14ac:dyDescent="0.25">
      <c r="A4" s="45"/>
      <c r="B4" s="15" t="s">
        <v>25</v>
      </c>
      <c r="C4" s="51">
        <v>0</v>
      </c>
    </row>
    <row r="5" spans="1:87" s="6" customFormat="1" x14ac:dyDescent="0.2">
      <c r="A5" s="43" t="s">
        <v>51</v>
      </c>
      <c r="B5" s="49" t="s">
        <v>26</v>
      </c>
      <c r="C5" s="52">
        <f>SUM(C2:C4)</f>
        <v>9773083.129999999</v>
      </c>
    </row>
    <row r="6" spans="1:87" s="6" customFormat="1" ht="12" thickBot="1" x14ac:dyDescent="0.25">
      <c r="A6" s="44">
        <v>72.349699999999999</v>
      </c>
      <c r="B6" s="16"/>
      <c r="C6" s="53"/>
      <c r="D6" s="17"/>
    </row>
    <row r="7" spans="1:87" s="6" customFormat="1" ht="12" thickBot="1" x14ac:dyDescent="0.25">
      <c r="A7" s="105" t="s">
        <v>51</v>
      </c>
      <c r="B7" s="18" t="s">
        <v>127</v>
      </c>
      <c r="C7" s="54">
        <f>SUM(16:16)</f>
        <v>17084550.033599999</v>
      </c>
    </row>
    <row r="8" spans="1:87" x14ac:dyDescent="0.25">
      <c r="A8" s="43" t="s">
        <v>52</v>
      </c>
      <c r="B8" s="18" t="s">
        <v>126</v>
      </c>
      <c r="C8" s="54">
        <f>SUM(26:26)</f>
        <v>44881820.231225595</v>
      </c>
    </row>
    <row r="9" spans="1:87" ht="12" thickBot="1" x14ac:dyDescent="0.3">
      <c r="A9" s="44">
        <v>10.6279</v>
      </c>
      <c r="B9" s="19" t="s">
        <v>64</v>
      </c>
      <c r="C9" s="55">
        <f>C5+C7-C8-C11</f>
        <v>-27449177.111745596</v>
      </c>
    </row>
    <row r="10" spans="1:87" x14ac:dyDescent="0.25">
      <c r="A10" s="99" t="s">
        <v>80</v>
      </c>
      <c r="B10" s="18" t="s">
        <v>23</v>
      </c>
      <c r="C10" s="56">
        <f>C16</f>
        <v>0</v>
      </c>
    </row>
    <row r="11" spans="1:87" x14ac:dyDescent="0.25">
      <c r="A11" s="101" t="s">
        <v>87</v>
      </c>
      <c r="B11" s="18" t="s">
        <v>24</v>
      </c>
      <c r="C11" s="54">
        <f>C26</f>
        <v>9424990.0441200007</v>
      </c>
    </row>
    <row r="12" spans="1:87" x14ac:dyDescent="0.25">
      <c r="A12" s="107" t="s">
        <v>88</v>
      </c>
    </row>
    <row r="13" spans="1:87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87" s="2" customFormat="1" x14ac:dyDescent="0.25">
      <c r="A14" s="64"/>
      <c r="B14" s="65"/>
      <c r="C14" s="58" t="s">
        <v>56</v>
      </c>
      <c r="D14" s="66"/>
      <c r="E14" s="66">
        <v>46161</v>
      </c>
      <c r="F14" s="66">
        <v>46162</v>
      </c>
      <c r="G14" s="66">
        <v>46163</v>
      </c>
      <c r="H14" s="66">
        <v>46164</v>
      </c>
      <c r="I14" s="66">
        <v>46165</v>
      </c>
      <c r="J14" s="66">
        <v>46166</v>
      </c>
      <c r="K14" s="66">
        <v>46167</v>
      </c>
      <c r="L14" s="66">
        <v>46168</v>
      </c>
      <c r="M14" s="66">
        <v>46169</v>
      </c>
      <c r="N14" s="66">
        <v>46170</v>
      </c>
      <c r="O14" s="66">
        <v>46171</v>
      </c>
      <c r="P14" s="66">
        <v>46172</v>
      </c>
      <c r="Q14" s="66">
        <v>46173</v>
      </c>
      <c r="R14" s="66">
        <v>46174</v>
      </c>
      <c r="S14" s="66">
        <v>46175</v>
      </c>
      <c r="T14" s="66">
        <v>46176</v>
      </c>
      <c r="U14" s="66">
        <v>46177</v>
      </c>
      <c r="V14" s="66">
        <v>46178</v>
      </c>
      <c r="W14" s="66">
        <v>46179</v>
      </c>
      <c r="X14" s="66">
        <v>46180</v>
      </c>
      <c r="Y14" s="66">
        <v>46181</v>
      </c>
      <c r="Z14" s="66">
        <v>46182</v>
      </c>
      <c r="AA14" s="66">
        <v>46183</v>
      </c>
      <c r="AB14" s="66">
        <v>46184</v>
      </c>
      <c r="AC14" s="66">
        <v>46185</v>
      </c>
      <c r="AD14" s="66">
        <v>46186</v>
      </c>
      <c r="AE14" s="66">
        <v>46187</v>
      </c>
      <c r="AF14" s="66">
        <v>46188</v>
      </c>
      <c r="AG14" s="66">
        <v>46189</v>
      </c>
      <c r="AH14" s="66">
        <v>46190</v>
      </c>
      <c r="AI14" s="66">
        <v>46191</v>
      </c>
      <c r="AJ14" s="66">
        <v>46192</v>
      </c>
      <c r="AK14" s="66">
        <v>46193</v>
      </c>
      <c r="AL14" s="66">
        <v>46194</v>
      </c>
      <c r="AM14" s="66">
        <v>46195</v>
      </c>
      <c r="AN14" s="66">
        <v>46196</v>
      </c>
      <c r="AO14" s="66">
        <v>46197</v>
      </c>
      <c r="AP14" s="66">
        <v>46198</v>
      </c>
      <c r="AQ14" s="66">
        <v>46199</v>
      </c>
      <c r="AR14" s="66">
        <v>46200</v>
      </c>
      <c r="AS14" s="66">
        <v>46201</v>
      </c>
      <c r="AT14" s="66">
        <v>46202</v>
      </c>
      <c r="AU14" s="66">
        <v>46203</v>
      </c>
      <c r="AV14" s="66">
        <v>46204</v>
      </c>
      <c r="AW14" s="66">
        <v>46205</v>
      </c>
      <c r="AX14" s="66">
        <v>46206</v>
      </c>
      <c r="AY14" s="66">
        <v>46207</v>
      </c>
      <c r="AZ14" s="66">
        <v>46208</v>
      </c>
      <c r="BA14" s="66">
        <v>46209</v>
      </c>
      <c r="BB14" s="66">
        <v>46210</v>
      </c>
      <c r="BC14" s="66">
        <v>46211</v>
      </c>
      <c r="BD14" s="66">
        <v>46212</v>
      </c>
      <c r="BE14" s="66">
        <v>46213</v>
      </c>
      <c r="BF14" s="66">
        <v>46214</v>
      </c>
      <c r="BG14" s="66">
        <v>46215</v>
      </c>
      <c r="BH14" s="66">
        <v>46216</v>
      </c>
      <c r="BI14" s="66">
        <v>46217</v>
      </c>
      <c r="BJ14" s="66">
        <v>46218</v>
      </c>
      <c r="BK14" s="66">
        <v>46219</v>
      </c>
      <c r="BL14" s="66">
        <v>46220</v>
      </c>
      <c r="BM14" s="66">
        <v>46221</v>
      </c>
      <c r="BN14" s="66">
        <v>46222</v>
      </c>
      <c r="BO14" s="66">
        <v>46223</v>
      </c>
      <c r="BP14" s="66">
        <v>46224</v>
      </c>
      <c r="BQ14" s="66">
        <v>46225</v>
      </c>
      <c r="BR14" s="66">
        <v>46226</v>
      </c>
      <c r="BS14" s="66">
        <v>46227</v>
      </c>
      <c r="BT14" s="66">
        <v>46228</v>
      </c>
      <c r="BU14" s="66">
        <v>46229</v>
      </c>
      <c r="BV14" s="66">
        <v>46230</v>
      </c>
      <c r="BW14" s="66">
        <v>46231</v>
      </c>
      <c r="BX14" s="66">
        <v>46232</v>
      </c>
      <c r="BY14" s="66">
        <v>46233</v>
      </c>
      <c r="BZ14" s="66">
        <v>46234</v>
      </c>
      <c r="CA14" s="66">
        <v>46235</v>
      </c>
      <c r="CB14" s="66">
        <v>46236</v>
      </c>
      <c r="CC14" s="66">
        <v>46237</v>
      </c>
      <c r="CD14" s="66">
        <v>46238</v>
      </c>
      <c r="CE14" s="66">
        <v>46239</v>
      </c>
      <c r="CF14" s="66">
        <v>46240</v>
      </c>
      <c r="CG14" s="66">
        <v>46241</v>
      </c>
      <c r="CH14" s="66">
        <v>46242</v>
      </c>
      <c r="CI14" s="66">
        <v>46243</v>
      </c>
    </row>
    <row r="15" spans="1:87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</row>
    <row r="16" spans="1:87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O16" si="0">SUM(E17:E25)</f>
        <v>0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135">
        <f t="shared" si="0"/>
        <v>0</v>
      </c>
      <c r="J16" s="135">
        <f t="shared" si="0"/>
        <v>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77684.560800000007</v>
      </c>
      <c r="O16" s="29">
        <f t="shared" si="0"/>
        <v>0</v>
      </c>
      <c r="P16" s="135">
        <f t="shared" si="0"/>
        <v>0</v>
      </c>
      <c r="Q16" s="135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135">
        <f t="shared" si="0"/>
        <v>0</v>
      </c>
      <c r="X16" s="135">
        <f t="shared" si="0"/>
        <v>0</v>
      </c>
      <c r="Y16" s="29">
        <f t="shared" si="0"/>
        <v>2942597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135">
        <f t="shared" si="0"/>
        <v>0</v>
      </c>
      <c r="AE16" s="135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8078185.4328000005</v>
      </c>
      <c r="AJ16" s="29">
        <f t="shared" si="0"/>
        <v>0</v>
      </c>
      <c r="AK16" s="135">
        <f t="shared" si="0"/>
        <v>0</v>
      </c>
      <c r="AL16" s="135">
        <f t="shared" si="0"/>
        <v>0</v>
      </c>
      <c r="AM16" s="29">
        <f t="shared" si="0"/>
        <v>0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29">
        <f t="shared" si="0"/>
        <v>0</v>
      </c>
      <c r="AR16" s="135">
        <f t="shared" si="0"/>
        <v>0</v>
      </c>
      <c r="AS16" s="135">
        <f t="shared" si="0"/>
        <v>0</v>
      </c>
      <c r="AT16" s="29">
        <f t="shared" si="0"/>
        <v>2993041.52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135">
        <f t="shared" si="0"/>
        <v>0</v>
      </c>
      <c r="AZ16" s="135">
        <f t="shared" si="0"/>
        <v>0</v>
      </c>
      <c r="BA16" s="29">
        <f t="shared" si="0"/>
        <v>0</v>
      </c>
      <c r="BB16" s="29">
        <f t="shared" si="0"/>
        <v>2993041.52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135">
        <f t="shared" si="0"/>
        <v>0</v>
      </c>
      <c r="BG16" s="135">
        <f t="shared" si="0"/>
        <v>0</v>
      </c>
      <c r="BH16" s="29">
        <f t="shared" si="0"/>
        <v>0</v>
      </c>
      <c r="BI16" s="29">
        <f t="shared" si="0"/>
        <v>0</v>
      </c>
      <c r="BJ16" s="29">
        <f t="shared" si="0"/>
        <v>0</v>
      </c>
      <c r="BK16" s="29">
        <f t="shared" si="0"/>
        <v>0</v>
      </c>
      <c r="BL16" s="29">
        <f t="shared" si="0"/>
        <v>0</v>
      </c>
      <c r="BM16" s="29">
        <f t="shared" si="0"/>
        <v>0</v>
      </c>
      <c r="BN16" s="29">
        <f t="shared" si="0"/>
        <v>0</v>
      </c>
      <c r="BO16" s="29">
        <f t="shared" si="0"/>
        <v>0</v>
      </c>
      <c r="BP16" s="29">
        <f t="shared" ref="BP16:CI16" si="1">SUM(BP17:BP25)</f>
        <v>0</v>
      </c>
      <c r="BQ16" s="29">
        <f t="shared" si="1"/>
        <v>0</v>
      </c>
      <c r="BR16" s="29">
        <f t="shared" si="1"/>
        <v>0</v>
      </c>
      <c r="BS16" s="29">
        <f t="shared" si="1"/>
        <v>0</v>
      </c>
      <c r="BT16" s="29">
        <f t="shared" si="1"/>
        <v>0</v>
      </c>
      <c r="BU16" s="29">
        <f t="shared" si="1"/>
        <v>0</v>
      </c>
      <c r="BV16" s="29">
        <f t="shared" si="1"/>
        <v>0</v>
      </c>
      <c r="BW16" s="29">
        <f t="shared" si="1"/>
        <v>0</v>
      </c>
      <c r="BX16" s="29">
        <f t="shared" si="1"/>
        <v>0</v>
      </c>
      <c r="BY16" s="29">
        <f t="shared" si="1"/>
        <v>0</v>
      </c>
      <c r="BZ16" s="29">
        <f t="shared" si="1"/>
        <v>0</v>
      </c>
      <c r="CA16" s="29">
        <f t="shared" si="1"/>
        <v>0</v>
      </c>
      <c r="CB16" s="29">
        <f t="shared" si="1"/>
        <v>0</v>
      </c>
      <c r="CC16" s="29">
        <f t="shared" si="1"/>
        <v>0</v>
      </c>
      <c r="CD16" s="29">
        <f t="shared" si="1"/>
        <v>0</v>
      </c>
      <c r="CE16" s="29">
        <f t="shared" si="1"/>
        <v>0</v>
      </c>
      <c r="CF16" s="29">
        <f t="shared" si="1"/>
        <v>0</v>
      </c>
      <c r="CG16" s="29">
        <f t="shared" si="1"/>
        <v>0</v>
      </c>
      <c r="CH16" s="29">
        <f t="shared" si="1"/>
        <v>0</v>
      </c>
      <c r="CI16" s="29">
        <f t="shared" si="1"/>
        <v>0</v>
      </c>
    </row>
    <row r="17" spans="1:87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</row>
    <row r="18" spans="1:87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</row>
    <row r="19" spans="1:87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</row>
    <row r="20" spans="1:87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</row>
    <row r="21" spans="1:87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>
        <f>924*A3</f>
        <v>77684.560800000007</v>
      </c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</row>
    <row r="22" spans="1:87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</row>
    <row r="23" spans="1:87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>
        <f>96084*A3</f>
        <v>8078185.4328000005</v>
      </c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</row>
    <row r="24" spans="1:87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P24" s="30"/>
      <c r="Q24" s="30"/>
      <c r="R24" s="30"/>
      <c r="S24" s="30"/>
      <c r="T24" s="30"/>
      <c r="U24" s="30"/>
      <c r="V24" s="30"/>
      <c r="W24" s="30"/>
      <c r="X24" s="30"/>
      <c r="Y24" s="30">
        <f>35000*A3</f>
        <v>2942597</v>
      </c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>
        <f>35600*A3</f>
        <v>2993041.52</v>
      </c>
      <c r="AU24" s="30"/>
      <c r="AV24" s="30"/>
      <c r="AW24" s="30"/>
      <c r="AX24" s="30"/>
      <c r="AY24" s="30"/>
      <c r="AZ24" s="30"/>
      <c r="BA24" s="30"/>
      <c r="BB24" s="30">
        <f>35600*A3</f>
        <v>2993041.52</v>
      </c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</row>
    <row r="25" spans="1:87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</row>
    <row r="26" spans="1:87" s="4" customFormat="1" x14ac:dyDescent="0.2">
      <c r="A26" s="41" t="s">
        <v>1</v>
      </c>
      <c r="B26" s="22"/>
      <c r="C26" s="34">
        <f>SUM(C28:C77)</f>
        <v>9424990.0441200007</v>
      </c>
      <c r="D26" s="34"/>
      <c r="E26" s="34">
        <f t="shared" ref="E26:BO26" si="2">SUM(E27:E78)</f>
        <v>623380.32000000007</v>
      </c>
      <c r="F26" s="34">
        <f t="shared" si="2"/>
        <v>735367.36006666673</v>
      </c>
      <c r="G26" s="34">
        <f t="shared" si="2"/>
        <v>415734.85000000003</v>
      </c>
      <c r="H26" s="34">
        <f t="shared" si="2"/>
        <v>2591328.2407999998</v>
      </c>
      <c r="I26" s="34">
        <f t="shared" si="2"/>
        <v>0</v>
      </c>
      <c r="J26" s="34">
        <f t="shared" si="2"/>
        <v>0</v>
      </c>
      <c r="K26" s="34">
        <f t="shared" si="2"/>
        <v>5790839.1887445888</v>
      </c>
      <c r="L26" s="34">
        <f t="shared" si="2"/>
        <v>285499.15023333335</v>
      </c>
      <c r="M26" s="34">
        <f t="shared" si="2"/>
        <v>242523.91166666668</v>
      </c>
      <c r="N26" s="34">
        <f t="shared" si="2"/>
        <v>4533150.483566667</v>
      </c>
      <c r="O26" s="34">
        <f t="shared" si="2"/>
        <v>4289995.2003110042</v>
      </c>
      <c r="P26" s="34">
        <f t="shared" si="2"/>
        <v>12500</v>
      </c>
      <c r="Q26" s="34">
        <f t="shared" si="2"/>
        <v>0</v>
      </c>
      <c r="R26" s="34">
        <f t="shared" si="2"/>
        <v>564566.50323333335</v>
      </c>
      <c r="S26" s="34">
        <f t="shared" si="2"/>
        <v>128806</v>
      </c>
      <c r="T26" s="34">
        <f t="shared" si="2"/>
        <v>3801506</v>
      </c>
      <c r="U26" s="34">
        <f t="shared" si="2"/>
        <v>183270</v>
      </c>
      <c r="V26" s="34">
        <f t="shared" si="2"/>
        <v>2134263.673</v>
      </c>
      <c r="W26" s="34">
        <f t="shared" si="2"/>
        <v>0</v>
      </c>
      <c r="X26" s="34">
        <f t="shared" si="2"/>
        <v>0</v>
      </c>
      <c r="Y26" s="34">
        <f t="shared" si="2"/>
        <v>510062.81374999997</v>
      </c>
      <c r="Z26" s="34">
        <f t="shared" si="2"/>
        <v>540230</v>
      </c>
      <c r="AA26" s="34">
        <f t="shared" si="2"/>
        <v>64750</v>
      </c>
      <c r="AB26" s="34">
        <f t="shared" si="2"/>
        <v>510600</v>
      </c>
      <c r="AC26" s="34">
        <f t="shared" si="2"/>
        <v>2361489.6384000001</v>
      </c>
      <c r="AD26" s="34">
        <f t="shared" si="2"/>
        <v>0</v>
      </c>
      <c r="AE26" s="34">
        <f t="shared" si="2"/>
        <v>0</v>
      </c>
      <c r="AF26" s="34">
        <f t="shared" si="2"/>
        <v>90000</v>
      </c>
      <c r="AG26" s="34">
        <f t="shared" si="2"/>
        <v>0</v>
      </c>
      <c r="AH26" s="34">
        <f t="shared" si="2"/>
        <v>55053.72</v>
      </c>
      <c r="AI26" s="34">
        <f t="shared" si="2"/>
        <v>0</v>
      </c>
      <c r="AJ26" s="34">
        <f t="shared" si="2"/>
        <v>0</v>
      </c>
      <c r="AK26" s="34">
        <f t="shared" si="2"/>
        <v>0</v>
      </c>
      <c r="AL26" s="34">
        <f t="shared" si="2"/>
        <v>0</v>
      </c>
      <c r="AM26" s="34">
        <f t="shared" si="2"/>
        <v>0</v>
      </c>
      <c r="AN26" s="34">
        <f t="shared" si="2"/>
        <v>0</v>
      </c>
      <c r="AO26" s="34">
        <f t="shared" si="2"/>
        <v>0</v>
      </c>
      <c r="AP26" s="34">
        <f t="shared" si="2"/>
        <v>0</v>
      </c>
      <c r="AQ26" s="34">
        <f t="shared" si="2"/>
        <v>0</v>
      </c>
      <c r="AR26" s="34">
        <f t="shared" si="2"/>
        <v>0</v>
      </c>
      <c r="AS26" s="34">
        <f t="shared" si="2"/>
        <v>0</v>
      </c>
      <c r="AT26" s="34">
        <f t="shared" si="2"/>
        <v>3228281.3333333335</v>
      </c>
      <c r="AU26" s="34">
        <f t="shared" si="2"/>
        <v>0</v>
      </c>
      <c r="AV26" s="34">
        <f t="shared" si="2"/>
        <v>0</v>
      </c>
      <c r="AW26" s="34">
        <f t="shared" si="2"/>
        <v>746062.9</v>
      </c>
      <c r="AX26" s="34">
        <f t="shared" si="2"/>
        <v>0</v>
      </c>
      <c r="AY26" s="34">
        <f t="shared" si="2"/>
        <v>0</v>
      </c>
      <c r="AZ26" s="34">
        <f t="shared" si="2"/>
        <v>0</v>
      </c>
      <c r="BA26" s="34">
        <f t="shared" si="2"/>
        <v>0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271506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si="2"/>
        <v>0</v>
      </c>
      <c r="BO26" s="34">
        <f t="shared" si="2"/>
        <v>0</v>
      </c>
      <c r="BP26" s="34">
        <f t="shared" ref="BP26:CI26" si="3">SUM(BP27:BP78)</f>
        <v>0</v>
      </c>
      <c r="BQ26" s="34">
        <f t="shared" si="3"/>
        <v>0</v>
      </c>
      <c r="BR26" s="34">
        <f t="shared" si="3"/>
        <v>0</v>
      </c>
      <c r="BS26" s="34">
        <f t="shared" si="3"/>
        <v>0</v>
      </c>
      <c r="BT26" s="34">
        <f t="shared" si="3"/>
        <v>0</v>
      </c>
      <c r="BU26" s="34">
        <f t="shared" si="3"/>
        <v>0</v>
      </c>
      <c r="BV26" s="34">
        <f t="shared" si="3"/>
        <v>0</v>
      </c>
      <c r="BW26" s="34">
        <f t="shared" si="3"/>
        <v>0</v>
      </c>
      <c r="BX26" s="34">
        <f t="shared" si="3"/>
        <v>0</v>
      </c>
      <c r="BY26" s="34">
        <f t="shared" si="3"/>
        <v>0</v>
      </c>
      <c r="BZ26" s="34">
        <f t="shared" si="3"/>
        <v>0</v>
      </c>
      <c r="CA26" s="34">
        <f t="shared" si="3"/>
        <v>746062.9</v>
      </c>
      <c r="CB26" s="34">
        <f t="shared" si="3"/>
        <v>0</v>
      </c>
      <c r="CC26" s="34">
        <f t="shared" si="3"/>
        <v>0</v>
      </c>
      <c r="CD26" s="34">
        <f t="shared" si="3"/>
        <v>0</v>
      </c>
      <c r="CE26" s="34">
        <f t="shared" si="3"/>
        <v>0</v>
      </c>
      <c r="CF26" s="34">
        <f t="shared" si="3"/>
        <v>0</v>
      </c>
      <c r="CG26" s="34">
        <f t="shared" si="3"/>
        <v>0</v>
      </c>
      <c r="CH26" s="34">
        <f t="shared" si="3"/>
        <v>0</v>
      </c>
      <c r="CI26" s="34">
        <f t="shared" si="3"/>
        <v>0</v>
      </c>
    </row>
    <row r="27" spans="1:87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</row>
    <row r="28" spans="1:87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</row>
    <row r="29" spans="1:87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</row>
    <row r="30" spans="1:87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>
        <f>8399365/3</f>
        <v>2799788.3333333335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>
        <f>8399365/3</f>
        <v>2799788.3333333335</v>
      </c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</row>
    <row r="31" spans="1:87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90">
        <f>291375+137118</f>
        <v>428493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90">
        <f>291375+137118</f>
        <v>428493</v>
      </c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</row>
    <row r="32" spans="1:87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/>
      <c r="I32" s="24"/>
      <c r="J32" s="24"/>
      <c r="K32" s="24">
        <v>352124.25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</row>
    <row r="33" spans="1:87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>
        <v>271506</v>
      </c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>
        <v>271506</v>
      </c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</row>
    <row r="34" spans="1:87" s="1" customFormat="1" x14ac:dyDescent="0.2">
      <c r="A34" s="36" t="s">
        <v>54</v>
      </c>
      <c r="B34" s="23"/>
      <c r="C34" s="60"/>
      <c r="D34" s="24"/>
      <c r="E34" s="24"/>
      <c r="F34" s="24">
        <v>50000</v>
      </c>
      <c r="G34" s="24"/>
      <c r="H34" s="24">
        <f>100113.9-50000</f>
        <v>50113.899999999994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</row>
    <row r="35" spans="1:87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>
        <v>200113.9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>
        <v>200113.9</v>
      </c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>
        <v>200113.9</v>
      </c>
      <c r="CB35" s="24"/>
      <c r="CC35" s="24"/>
      <c r="CD35" s="24"/>
      <c r="CE35" s="24"/>
      <c r="CF35" s="24"/>
      <c r="CG35" s="24"/>
      <c r="CH35" s="24"/>
      <c r="CI35" s="24"/>
    </row>
    <row r="36" spans="1:87" s="1" customFormat="1" x14ac:dyDescent="0.2">
      <c r="A36" s="36" t="s">
        <v>53</v>
      </c>
      <c r="B36" s="23"/>
      <c r="C36" s="60"/>
      <c r="D36" s="24"/>
      <c r="E36" s="24">
        <v>100000</v>
      </c>
      <c r="F36" s="24">
        <v>100000</v>
      </c>
      <c r="G36" s="24"/>
      <c r="H36" s="24">
        <f>145949-50000</f>
        <v>95949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>
        <v>545949</v>
      </c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>
        <v>545949</v>
      </c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>
        <v>545949</v>
      </c>
      <c r="CB36" s="24"/>
      <c r="CC36" s="24"/>
      <c r="CD36" s="24"/>
      <c r="CE36" s="24"/>
      <c r="CF36" s="24"/>
      <c r="CG36" s="24"/>
      <c r="CH36" s="24"/>
      <c r="CI36" s="24"/>
    </row>
    <row r="37" spans="1:87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</row>
    <row r="38" spans="1:87" s="71" customFormat="1" x14ac:dyDescent="0.2">
      <c r="A38" s="69" t="s">
        <v>14</v>
      </c>
      <c r="B38" s="25" t="s">
        <v>30</v>
      </c>
      <c r="C38" s="70"/>
      <c r="D38" s="24"/>
      <c r="F38" s="100">
        <f>(341779/2-50000)/2+444.75</f>
        <v>60889.5</v>
      </c>
      <c r="I38" s="24"/>
      <c r="J38" s="24"/>
      <c r="K38" s="100">
        <f>341779/2</f>
        <v>170889.5</v>
      </c>
      <c r="L38" s="24"/>
      <c r="M38" s="24"/>
      <c r="N38" s="24"/>
      <c r="O38" s="108">
        <v>191379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</row>
    <row r="39" spans="1:87" s="71" customFormat="1" x14ac:dyDescent="0.2">
      <c r="A39" s="69" t="s">
        <v>115</v>
      </c>
      <c r="B39" s="25" t="s">
        <v>116</v>
      </c>
      <c r="C39" s="70"/>
      <c r="D39" s="24"/>
      <c r="E39" s="100">
        <f t="shared" ref="E39:O39" si="4">156160/6</f>
        <v>26026.666666666668</v>
      </c>
      <c r="G39" s="100">
        <f t="shared" si="4"/>
        <v>26026.666666666668</v>
      </c>
      <c r="H39" s="100">
        <f t="shared" si="4"/>
        <v>26026.666666666668</v>
      </c>
      <c r="I39" s="24"/>
      <c r="J39" s="24"/>
      <c r="K39" s="100">
        <f>156160/6</f>
        <v>26026.666666666668</v>
      </c>
      <c r="L39" s="24"/>
      <c r="M39" s="100">
        <f t="shared" si="4"/>
        <v>26026.666666666668</v>
      </c>
      <c r="N39" s="24"/>
      <c r="O39" s="100">
        <f t="shared" si="4"/>
        <v>26026.666666666668</v>
      </c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</row>
    <row r="40" spans="1:87" s="71" customFormat="1" x14ac:dyDescent="0.2">
      <c r="A40" s="69" t="s">
        <v>117</v>
      </c>
      <c r="B40" s="25" t="s">
        <v>119</v>
      </c>
      <c r="C40" s="70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100">
        <v>691000</v>
      </c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</row>
    <row r="41" spans="1:87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100">
        <v>235200</v>
      </c>
      <c r="W41" s="24"/>
      <c r="X41" s="24"/>
      <c r="Y41" s="24"/>
      <c r="Z41" s="24"/>
      <c r="AA41" s="24"/>
      <c r="AB41" s="100">
        <v>510600</v>
      </c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</row>
    <row r="42" spans="1:87" s="71" customFormat="1" x14ac:dyDescent="0.2">
      <c r="A42" s="69" t="s">
        <v>17</v>
      </c>
      <c r="B42" s="25" t="s">
        <v>41</v>
      </c>
      <c r="C42" s="70">
        <f>1375000-500000-175000-50000-25000-25000-25000-50000-25000</f>
        <v>500000</v>
      </c>
      <c r="D42" s="24"/>
      <c r="E42" s="142">
        <v>50000</v>
      </c>
      <c r="F42" s="129">
        <v>25000</v>
      </c>
      <c r="G42" s="129">
        <v>50000</v>
      </c>
      <c r="H42" s="129">
        <v>65000</v>
      </c>
      <c r="I42" s="24"/>
      <c r="J42" s="24"/>
      <c r="K42" s="129">
        <v>40000</v>
      </c>
      <c r="L42" s="129">
        <v>25000</v>
      </c>
      <c r="M42" s="24"/>
      <c r="N42" s="24"/>
      <c r="O42" s="129">
        <v>150000</v>
      </c>
      <c r="P42" s="24"/>
      <c r="Q42" s="24"/>
      <c r="R42" s="129">
        <v>95000</v>
      </c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</row>
    <row r="43" spans="1:87" s="71" customFormat="1" x14ac:dyDescent="0.2">
      <c r="A43" s="69" t="s">
        <v>15</v>
      </c>
      <c r="B43" s="25" t="s">
        <v>31</v>
      </c>
      <c r="C43" s="70">
        <f>1205448-25000-25000-25000-50000-50000-50000-48224</f>
        <v>932224</v>
      </c>
      <c r="D43" s="24"/>
      <c r="F43" s="140">
        <f t="shared" ref="F43:V43" si="5">195080/4</f>
        <v>48770</v>
      </c>
      <c r="H43" s="108">
        <v>65224</v>
      </c>
      <c r="I43" s="24"/>
      <c r="J43" s="24"/>
      <c r="K43" s="108">
        <f>45000+65224</f>
        <v>110224</v>
      </c>
      <c r="L43" s="108">
        <v>50000</v>
      </c>
      <c r="M43" s="24"/>
      <c r="N43" s="140">
        <f t="shared" si="5"/>
        <v>48770</v>
      </c>
      <c r="O43" s="100">
        <v>516230</v>
      </c>
      <c r="P43" s="24"/>
      <c r="Q43" s="24"/>
      <c r="R43" s="98">
        <f>515224/4</f>
        <v>128806</v>
      </c>
      <c r="S43" s="98">
        <f>515224/4</f>
        <v>128806</v>
      </c>
      <c r="T43" s="98">
        <f>515224/4</f>
        <v>128806</v>
      </c>
      <c r="U43" s="98">
        <f>515224/4+54464</f>
        <v>183270</v>
      </c>
      <c r="V43" s="140">
        <f t="shared" si="5"/>
        <v>48770</v>
      </c>
      <c r="W43" s="24"/>
      <c r="X43" s="24"/>
      <c r="Y43" s="24"/>
      <c r="Z43" s="100">
        <v>516230</v>
      </c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</row>
    <row r="44" spans="1:87" s="71" customFormat="1" x14ac:dyDescent="0.2">
      <c r="A44" s="69" t="s">
        <v>16</v>
      </c>
      <c r="B44" s="25" t="s">
        <v>32</v>
      </c>
      <c r="C44" s="70">
        <f>1122350-25000-25000-100000-50000-90000-25000-100000</f>
        <v>707350</v>
      </c>
      <c r="D44" s="24"/>
      <c r="E44" s="140">
        <v>100000</v>
      </c>
      <c r="F44" s="140">
        <v>100000</v>
      </c>
      <c r="G44" s="108">
        <v>100000</v>
      </c>
      <c r="H44" s="108">
        <v>50000</v>
      </c>
      <c r="I44" s="24"/>
      <c r="J44" s="24"/>
      <c r="K44" s="108">
        <f>172350+10000</f>
        <v>182350</v>
      </c>
      <c r="L44" s="108">
        <v>25000</v>
      </c>
      <c r="M44" s="108">
        <v>50000</v>
      </c>
      <c r="N44" s="108">
        <v>50000</v>
      </c>
      <c r="O44" s="108">
        <v>50000</v>
      </c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</row>
    <row r="45" spans="1:87" s="71" customFormat="1" x14ac:dyDescent="0.2">
      <c r="A45" s="69" t="s">
        <v>85</v>
      </c>
      <c r="B45" s="25" t="s">
        <v>47</v>
      </c>
      <c r="C45" s="70">
        <f>1285*A6</f>
        <v>92969.364499999996</v>
      </c>
      <c r="D45" s="24"/>
      <c r="F45" s="108">
        <f>645*$A$6</f>
        <v>46665.556499999999</v>
      </c>
      <c r="H45" s="108">
        <f>645*$A$6</f>
        <v>46665.556499999999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</row>
    <row r="46" spans="1:87" s="71" customFormat="1" x14ac:dyDescent="0.2">
      <c r="A46" s="69" t="s">
        <v>143</v>
      </c>
      <c r="B46" s="25" t="s">
        <v>45</v>
      </c>
      <c r="C46" s="24"/>
      <c r="D46" s="24"/>
      <c r="E46" s="28"/>
      <c r="F46" s="28"/>
      <c r="G46" s="28"/>
      <c r="H46" s="28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118">
        <f>188496*A9</f>
        <v>2003316.6384000001</v>
      </c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</row>
    <row r="47" spans="1:87" s="71" customFormat="1" x14ac:dyDescent="0.2">
      <c r="A47" s="69" t="s">
        <v>120</v>
      </c>
      <c r="B47" s="25" t="s">
        <v>121</v>
      </c>
      <c r="C47" s="120"/>
      <c r="D47" s="24"/>
      <c r="E47" s="24"/>
      <c r="F47" s="24"/>
      <c r="G47" s="24"/>
      <c r="I47" s="24"/>
      <c r="J47" s="24"/>
      <c r="K47" s="100">
        <v>507000</v>
      </c>
      <c r="L47" s="24"/>
      <c r="M47" s="24"/>
      <c r="N47" s="100">
        <v>1014000</v>
      </c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</row>
    <row r="48" spans="1:87" s="73" customFormat="1" x14ac:dyDescent="0.2">
      <c r="A48" s="69" t="s">
        <v>22</v>
      </c>
      <c r="B48" s="25" t="s">
        <v>48</v>
      </c>
      <c r="C48" s="137"/>
      <c r="D48" s="72"/>
      <c r="E48" s="72"/>
      <c r="F48" s="72"/>
      <c r="G48" s="72"/>
      <c r="H48" s="138">
        <f>52206*A9</f>
        <v>554840.14740000002</v>
      </c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138">
        <f>52206*A9+2988*A6</f>
        <v>771021.05099999998</v>
      </c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</row>
    <row r="49" spans="1:87" s="73" customFormat="1" x14ac:dyDescent="0.2">
      <c r="A49" s="69" t="s">
        <v>108</v>
      </c>
      <c r="B49" s="25" t="s">
        <v>109</v>
      </c>
      <c r="C49" s="120"/>
      <c r="D49" s="72"/>
      <c r="E49" s="138">
        <v>33610.5</v>
      </c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</row>
    <row r="50" spans="1:87" s="71" customFormat="1" x14ac:dyDescent="0.2">
      <c r="A50" s="69" t="s">
        <v>36</v>
      </c>
      <c r="B50" s="25" t="s">
        <v>37</v>
      </c>
      <c r="C50" s="130"/>
      <c r="D50" s="24"/>
      <c r="F50" s="100">
        <f t="shared" ref="F50:N50" si="6">(2662*$A$6)/6</f>
        <v>32099.150233333334</v>
      </c>
      <c r="H50" s="100">
        <f t="shared" si="6"/>
        <v>32099.150233333334</v>
      </c>
      <c r="I50" s="24"/>
      <c r="J50" s="24"/>
      <c r="K50" s="24"/>
      <c r="L50" s="100">
        <f t="shared" si="6"/>
        <v>32099.150233333334</v>
      </c>
      <c r="M50" s="24"/>
      <c r="N50" s="100">
        <f t="shared" si="6"/>
        <v>32099.150233333334</v>
      </c>
      <c r="O50" s="24"/>
      <c r="P50" s="24"/>
      <c r="Q50" s="24"/>
      <c r="R50" s="100">
        <f>(2662*A6)/6</f>
        <v>32099.150233333334</v>
      </c>
      <c r="S50" s="24"/>
      <c r="T50" s="24"/>
      <c r="U50" s="24"/>
      <c r="V50" s="24"/>
      <c r="W50" s="24"/>
      <c r="X50" s="24"/>
      <c r="Y50" s="100">
        <f>1037.5*A6</f>
        <v>75062.813750000001</v>
      </c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</row>
    <row r="51" spans="1:87" s="71" customFormat="1" x14ac:dyDescent="0.2">
      <c r="A51" s="69" t="s">
        <v>86</v>
      </c>
      <c r="B51" s="25" t="s">
        <v>35</v>
      </c>
      <c r="C51" s="70">
        <f>1700*A6+4050*A6-250*A6-445*A6</f>
        <v>365727.73349999997</v>
      </c>
      <c r="D51" s="77"/>
      <c r="E51" s="108">
        <f>600*$A$6</f>
        <v>43409.82</v>
      </c>
      <c r="F51" s="108">
        <f>600*$A$6</f>
        <v>43409.82</v>
      </c>
      <c r="G51" s="108">
        <f>500*$A$6</f>
        <v>36174.85</v>
      </c>
      <c r="H51" s="108">
        <f>600*$A$6</f>
        <v>43409.82</v>
      </c>
      <c r="I51" s="24"/>
      <c r="J51" s="24"/>
      <c r="K51" s="108">
        <f>500*$A$6</f>
        <v>36174.85</v>
      </c>
      <c r="L51" s="24"/>
      <c r="M51" s="108">
        <f>850*$A$6</f>
        <v>61497.244999999995</v>
      </c>
      <c r="N51" s="24"/>
      <c r="O51" s="108">
        <f>900*$A$6+525*A6</f>
        <v>103098.32249999999</v>
      </c>
      <c r="P51" s="24"/>
      <c r="Q51" s="24"/>
      <c r="R51" s="100">
        <f>490*A6</f>
        <v>35451.353000000003</v>
      </c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</row>
    <row r="52" spans="1:87" s="71" customFormat="1" x14ac:dyDescent="0.2">
      <c r="A52" s="69" t="s">
        <v>29</v>
      </c>
      <c r="B52" s="25" t="s">
        <v>43</v>
      </c>
      <c r="C52" s="70">
        <f>439750-19750-25000</f>
        <v>395000</v>
      </c>
      <c r="D52" s="24"/>
      <c r="F52" s="95">
        <v>25000</v>
      </c>
      <c r="H52" s="95">
        <v>25000</v>
      </c>
      <c r="I52" s="24"/>
      <c r="J52" s="24"/>
      <c r="L52" s="95">
        <v>50000</v>
      </c>
      <c r="N52" s="95">
        <v>50000</v>
      </c>
      <c r="P52" s="24"/>
      <c r="Q52" s="24"/>
      <c r="R52" s="95">
        <v>50000</v>
      </c>
      <c r="S52" s="24"/>
      <c r="T52" s="95">
        <v>25000</v>
      </c>
      <c r="U52" s="24"/>
      <c r="V52" s="95">
        <v>25000</v>
      </c>
      <c r="W52" s="24"/>
      <c r="X52" s="24"/>
      <c r="Y52" s="95">
        <v>25000</v>
      </c>
      <c r="Z52" s="24"/>
      <c r="AA52" s="95">
        <f>50000+14750</f>
        <v>64750</v>
      </c>
      <c r="AB52" s="24"/>
      <c r="AC52" s="95">
        <v>75000</v>
      </c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</row>
    <row r="53" spans="1:87" s="71" customFormat="1" x14ac:dyDescent="0.2">
      <c r="A53" s="69" t="s">
        <v>141</v>
      </c>
      <c r="B53" s="25" t="s">
        <v>142</v>
      </c>
      <c r="C53" s="70"/>
      <c r="D53" s="24"/>
      <c r="E53" s="28"/>
      <c r="F53" s="28"/>
      <c r="G53" s="28"/>
      <c r="H53" s="28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100">
        <v>55053.72</v>
      </c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</row>
    <row r="54" spans="1:87" s="71" customFormat="1" x14ac:dyDescent="0.2">
      <c r="A54" s="69" t="s">
        <v>146</v>
      </c>
      <c r="B54" s="25" t="s">
        <v>147</v>
      </c>
      <c r="C54" s="70"/>
      <c r="D54" s="24"/>
      <c r="E54" s="28"/>
      <c r="F54" s="28"/>
      <c r="G54" s="28"/>
      <c r="H54" s="28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100">
        <v>90000</v>
      </c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</row>
    <row r="55" spans="1:87" s="71" customFormat="1" x14ac:dyDescent="0.2">
      <c r="A55" s="69" t="s">
        <v>149</v>
      </c>
      <c r="B55" s="25" t="s">
        <v>148</v>
      </c>
      <c r="C55" s="70"/>
      <c r="D55" s="24"/>
      <c r="E55" s="158">
        <f>235600/3</f>
        <v>78533.333333333328</v>
      </c>
      <c r="F55" s="158">
        <f t="shared" ref="F55:G55" si="7">235600/3</f>
        <v>78533.333333333328</v>
      </c>
      <c r="G55" s="158">
        <f t="shared" si="7"/>
        <v>78533.333333333328</v>
      </c>
      <c r="H55" s="28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8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</row>
    <row r="56" spans="1:87" s="71" customFormat="1" x14ac:dyDescent="0.2">
      <c r="A56" s="69" t="s">
        <v>124</v>
      </c>
      <c r="B56" s="25" t="s">
        <v>125</v>
      </c>
      <c r="C56" s="7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100">
        <v>203210</v>
      </c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</row>
    <row r="57" spans="1:87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</row>
    <row r="58" spans="1:87" s="71" customFormat="1" x14ac:dyDescent="0.2">
      <c r="A58" s="69" t="s">
        <v>90</v>
      </c>
      <c r="B58" s="25" t="s">
        <v>91</v>
      </c>
      <c r="C58" s="70">
        <f>912000+1012000-100000</f>
        <v>1824000</v>
      </c>
      <c r="D58" s="77"/>
      <c r="E58" s="129">
        <v>100000</v>
      </c>
      <c r="F58" s="129">
        <v>100000</v>
      </c>
      <c r="G58" s="129">
        <v>100000</v>
      </c>
      <c r="H58" s="129">
        <f>1012000+524000-24000</f>
        <v>1512000</v>
      </c>
      <c r="I58" s="28"/>
      <c r="J58" s="28"/>
      <c r="K58" s="28"/>
      <c r="L58" s="28"/>
      <c r="M58" s="28"/>
      <c r="N58" s="28"/>
      <c r="O58" s="28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</row>
    <row r="59" spans="1:87" s="71" customFormat="1" x14ac:dyDescent="0.2">
      <c r="A59" s="69" t="s">
        <v>144</v>
      </c>
      <c r="B59" s="25" t="s">
        <v>145</v>
      </c>
      <c r="C59" s="70"/>
      <c r="D59" s="77"/>
      <c r="E59" s="28"/>
      <c r="F59" s="28"/>
      <c r="G59" s="28"/>
      <c r="I59" s="28"/>
      <c r="J59" s="28"/>
      <c r="K59" s="28"/>
      <c r="L59" s="28"/>
      <c r="M59" s="28"/>
      <c r="N59" s="28"/>
      <c r="O59" s="158">
        <f>2024.71*A3</f>
        <v>170225.87348200002</v>
      </c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</row>
    <row r="60" spans="1:87" s="71" customFormat="1" x14ac:dyDescent="0.2">
      <c r="A60" s="69" t="s">
        <v>138</v>
      </c>
      <c r="B60" s="25" t="s">
        <v>136</v>
      </c>
      <c r="C60" s="70"/>
      <c r="D60" s="77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4"/>
      <c r="Q60" s="24"/>
      <c r="R60" s="24"/>
      <c r="S60" s="24"/>
      <c r="T60" s="24"/>
      <c r="U60" s="24"/>
      <c r="V60" s="100">
        <f>4260*A6</f>
        <v>308209.72200000001</v>
      </c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</row>
    <row r="61" spans="1:87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</row>
    <row r="62" spans="1:87" s="71" customFormat="1" x14ac:dyDescent="0.2">
      <c r="A62" s="151" t="s">
        <v>139</v>
      </c>
      <c r="B62" s="152" t="s">
        <v>114</v>
      </c>
      <c r="C62" s="70"/>
      <c r="D62" s="77"/>
      <c r="E62" s="28"/>
      <c r="F62" s="28"/>
      <c r="G62" s="28"/>
      <c r="H62" s="24"/>
      <c r="I62" s="28"/>
      <c r="J62" s="28"/>
      <c r="K62" s="100">
        <v>1732500</v>
      </c>
      <c r="L62" s="28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</row>
    <row r="63" spans="1:87" s="71" customFormat="1" x14ac:dyDescent="0.2">
      <c r="A63" s="69" t="s">
        <v>34</v>
      </c>
      <c r="B63" s="25" t="s">
        <v>45</v>
      </c>
      <c r="C63" s="70">
        <f>1014000-100000-100000+400-50000-25000-25000-25000-50000-53800-85600</f>
        <v>500000</v>
      </c>
      <c r="D63" s="77"/>
      <c r="E63" s="157">
        <v>75000</v>
      </c>
      <c r="G63" s="129">
        <v>25000</v>
      </c>
      <c r="H63" s="24"/>
      <c r="I63" s="24"/>
      <c r="J63" s="24"/>
      <c r="K63" s="129">
        <f>400000/5</f>
        <v>80000</v>
      </c>
      <c r="L63" s="129">
        <f t="shared" ref="L63:O63" si="8">400000/5</f>
        <v>80000</v>
      </c>
      <c r="M63" s="129">
        <f t="shared" si="8"/>
        <v>80000</v>
      </c>
      <c r="N63" s="129">
        <f t="shared" si="8"/>
        <v>80000</v>
      </c>
      <c r="O63" s="129">
        <f t="shared" si="8"/>
        <v>80000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</row>
    <row r="64" spans="1:87" s="71" customFormat="1" x14ac:dyDescent="0.2">
      <c r="A64" s="69" t="s">
        <v>128</v>
      </c>
      <c r="B64" s="25" t="s">
        <v>129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</row>
    <row r="65" spans="1:87" s="71" customFormat="1" x14ac:dyDescent="0.2">
      <c r="A65" s="69" t="s">
        <v>101</v>
      </c>
      <c r="B65" s="25" t="s">
        <v>130</v>
      </c>
      <c r="C65" s="70">
        <v>110000</v>
      </c>
      <c r="D65" s="77"/>
      <c r="F65" s="108">
        <f t="shared" ref="F65:H65" si="9">100000/4</f>
        <v>25000</v>
      </c>
      <c r="H65" s="108">
        <f t="shared" si="9"/>
        <v>25000</v>
      </c>
      <c r="I65" s="24"/>
      <c r="J65" s="24"/>
      <c r="K65" s="108">
        <v>20000</v>
      </c>
      <c r="L65" s="24"/>
      <c r="M65" s="108">
        <f>100000/4</f>
        <v>25000</v>
      </c>
      <c r="N65" s="108">
        <v>15000</v>
      </c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</row>
    <row r="66" spans="1:87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</row>
    <row r="67" spans="1:87" s="71" customFormat="1" x14ac:dyDescent="0.2">
      <c r="A67" s="69" t="s">
        <v>38</v>
      </c>
      <c r="B67" s="25" t="s">
        <v>39</v>
      </c>
      <c r="C67" s="70"/>
      <c r="D67" s="24"/>
      <c r="E67" s="100">
        <v>16800</v>
      </c>
      <c r="F67" s="28"/>
      <c r="G67" s="24"/>
      <c r="H67" s="24"/>
      <c r="I67" s="24"/>
      <c r="J67" s="24"/>
      <c r="K67" s="24"/>
      <c r="L67" s="118">
        <v>23400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</row>
    <row r="68" spans="1:87" s="71" customFormat="1" x14ac:dyDescent="0.2">
      <c r="A68" s="69" t="s">
        <v>74</v>
      </c>
      <c r="B68" s="25" t="s">
        <v>131</v>
      </c>
      <c r="C68" s="70"/>
      <c r="D68" s="24"/>
      <c r="E68" s="24"/>
      <c r="F68" s="24"/>
      <c r="G68" s="24"/>
      <c r="H68" s="24"/>
      <c r="I68" s="24"/>
      <c r="J68" s="24"/>
      <c r="K68" s="100">
        <v>22000</v>
      </c>
      <c r="L68" s="24"/>
      <c r="M68" s="24"/>
      <c r="N68" s="100">
        <v>15000</v>
      </c>
      <c r="O68" s="143">
        <v>40000</v>
      </c>
      <c r="P68" s="100">
        <v>12500</v>
      </c>
      <c r="Q68" s="24"/>
      <c r="R68" s="100">
        <v>20000</v>
      </c>
      <c r="S68" s="24"/>
      <c r="T68" s="100">
        <v>80000</v>
      </c>
      <c r="U68" s="24"/>
      <c r="V68" s="24"/>
      <c r="W68" s="24"/>
      <c r="X68" s="24"/>
      <c r="Y68" s="100">
        <v>20000</v>
      </c>
      <c r="Z68" s="100">
        <f>7500+16500</f>
        <v>24000</v>
      </c>
      <c r="AA68" s="24"/>
      <c r="AB68" s="24"/>
      <c r="AC68" s="100">
        <v>11667</v>
      </c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</row>
    <row r="69" spans="1:87" s="71" customFormat="1" x14ac:dyDescent="0.2">
      <c r="A69" s="69" t="s">
        <v>74</v>
      </c>
      <c r="B69" s="25" t="s">
        <v>83</v>
      </c>
      <c r="C69" s="70"/>
      <c r="D69" s="24"/>
      <c r="E69" s="28"/>
      <c r="F69" s="28"/>
      <c r="G69" s="28"/>
      <c r="H69" s="28"/>
      <c r="I69" s="28"/>
      <c r="J69" s="28"/>
      <c r="K69" s="28"/>
      <c r="L69" s="28"/>
      <c r="M69" s="28"/>
      <c r="N69" s="24"/>
      <c r="P69" s="24"/>
      <c r="Q69" s="24"/>
      <c r="R69" s="24"/>
      <c r="S69" s="24"/>
      <c r="T69" s="114">
        <v>3567700</v>
      </c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</row>
    <row r="70" spans="1:87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2"/>
      <c r="CH70" s="72"/>
      <c r="CI70" s="72"/>
    </row>
    <row r="71" spans="1:87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3"/>
      <c r="CF71" s="93"/>
      <c r="CG71" s="93"/>
      <c r="CH71" s="93"/>
      <c r="CI71" s="93"/>
    </row>
    <row r="72" spans="1:87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</row>
    <row r="73" spans="1:87" s="5" customFormat="1" x14ac:dyDescent="0.2">
      <c r="A73" s="36" t="s">
        <v>49</v>
      </c>
      <c r="B73" s="12"/>
      <c r="C73" s="13"/>
      <c r="D73" s="26"/>
      <c r="E73" s="13"/>
      <c r="F73" s="13"/>
      <c r="G73" s="126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</row>
    <row r="74" spans="1:87" s="5" customFormat="1" x14ac:dyDescent="0.2">
      <c r="A74" s="36" t="s">
        <v>57</v>
      </c>
      <c r="B74" s="12"/>
      <c r="C74" s="68"/>
      <c r="D74" s="26"/>
      <c r="E74" s="13"/>
      <c r="F74" s="13"/>
      <c r="G74" s="13"/>
      <c r="I74" s="13"/>
      <c r="J74" s="13"/>
      <c r="K74" s="139">
        <f>1933893.44/0.77</f>
        <v>2511549.9220779222</v>
      </c>
      <c r="L74" s="13"/>
      <c r="M74" s="13"/>
      <c r="N74" s="13"/>
      <c r="O74" s="139">
        <f>1749467.21/0.77</f>
        <v>2272035.3376623373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</row>
    <row r="75" spans="1:87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9">
        <v>390000</v>
      </c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</row>
    <row r="76" spans="1:87" s="5" customFormat="1" x14ac:dyDescent="0.2">
      <c r="A76" s="42"/>
      <c r="B76" s="12"/>
      <c r="C76" s="68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</row>
    <row r="77" spans="1:87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</row>
    <row r="78" spans="1:87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</row>
    <row r="79" spans="1:87" s="84" customFormat="1" x14ac:dyDescent="0.2">
      <c r="A79" s="81" t="s">
        <v>66</v>
      </c>
      <c r="B79" s="82"/>
      <c r="C79" s="63"/>
      <c r="D79" s="83"/>
      <c r="E79" s="83">
        <f>$C$5+E16-E26</f>
        <v>9149702.8099999987</v>
      </c>
      <c r="F79" s="83">
        <f t="shared" ref="F79:BP79" si="10">E79+F16-F26</f>
        <v>8414335.4499333315</v>
      </c>
      <c r="G79" s="83">
        <f t="shared" si="10"/>
        <v>7998600.5999333318</v>
      </c>
      <c r="H79" s="83">
        <f t="shared" si="10"/>
        <v>5407272.359133332</v>
      </c>
      <c r="I79" s="83">
        <f t="shared" si="10"/>
        <v>5407272.359133332</v>
      </c>
      <c r="J79" s="83">
        <f t="shared" si="10"/>
        <v>5407272.359133332</v>
      </c>
      <c r="K79" s="83">
        <f t="shared" si="10"/>
        <v>-383566.82961125672</v>
      </c>
      <c r="L79" s="83">
        <f t="shared" si="10"/>
        <v>-669065.97984459007</v>
      </c>
      <c r="M79" s="83">
        <f t="shared" si="10"/>
        <v>-911589.89151125681</v>
      </c>
      <c r="N79" s="83">
        <f t="shared" si="10"/>
        <v>-5367055.8142779237</v>
      </c>
      <c r="O79" s="83">
        <f t="shared" si="10"/>
        <v>-9657051.0145889279</v>
      </c>
      <c r="P79" s="83">
        <f t="shared" si="10"/>
        <v>-9669551.0145889279</v>
      </c>
      <c r="Q79" s="83">
        <f t="shared" si="10"/>
        <v>-9669551.0145889279</v>
      </c>
      <c r="R79" s="83">
        <f t="shared" si="10"/>
        <v>-10234117.517822262</v>
      </c>
      <c r="S79" s="83">
        <f t="shared" si="10"/>
        <v>-10362923.517822262</v>
      </c>
      <c r="T79" s="83">
        <f t="shared" si="10"/>
        <v>-14164429.517822262</v>
      </c>
      <c r="U79" s="83">
        <f t="shared" si="10"/>
        <v>-14347699.517822262</v>
      </c>
      <c r="V79" s="83">
        <f t="shared" si="10"/>
        <v>-16481963.190822262</v>
      </c>
      <c r="W79" s="83">
        <f t="shared" si="10"/>
        <v>-16481963.190822262</v>
      </c>
      <c r="X79" s="83">
        <f t="shared" si="10"/>
        <v>-16481963.190822262</v>
      </c>
      <c r="Y79" s="83">
        <f t="shared" si="10"/>
        <v>-14049429.004572263</v>
      </c>
      <c r="Z79" s="83">
        <f t="shared" si="10"/>
        <v>-14589659.004572263</v>
      </c>
      <c r="AA79" s="83">
        <f t="shared" si="10"/>
        <v>-14654409.004572263</v>
      </c>
      <c r="AB79" s="83">
        <f t="shared" si="10"/>
        <v>-15165009.004572263</v>
      </c>
      <c r="AC79" s="83">
        <f t="shared" si="10"/>
        <v>-17526498.642972264</v>
      </c>
      <c r="AD79" s="83">
        <f t="shared" si="10"/>
        <v>-17526498.642972264</v>
      </c>
      <c r="AE79" s="83">
        <f t="shared" si="10"/>
        <v>-17526498.642972264</v>
      </c>
      <c r="AF79" s="83">
        <f t="shared" si="10"/>
        <v>-17616498.642972264</v>
      </c>
      <c r="AG79" s="83">
        <f t="shared" si="10"/>
        <v>-17616498.642972264</v>
      </c>
      <c r="AH79" s="83">
        <f t="shared" si="10"/>
        <v>-17671552.362972263</v>
      </c>
      <c r="AI79" s="83">
        <f t="shared" si="10"/>
        <v>-9593366.9301722627</v>
      </c>
      <c r="AJ79" s="83">
        <f t="shared" si="10"/>
        <v>-9593366.9301722627</v>
      </c>
      <c r="AK79" s="83">
        <f t="shared" si="10"/>
        <v>-9593366.9301722627</v>
      </c>
      <c r="AL79" s="83">
        <f t="shared" si="10"/>
        <v>-9593366.9301722627</v>
      </c>
      <c r="AM79" s="83">
        <f t="shared" si="10"/>
        <v>-9593366.9301722627</v>
      </c>
      <c r="AN79" s="83">
        <f t="shared" si="10"/>
        <v>-9593366.9301722627</v>
      </c>
      <c r="AO79" s="83">
        <f t="shared" si="10"/>
        <v>-9593366.9301722627</v>
      </c>
      <c r="AP79" s="83">
        <f t="shared" si="10"/>
        <v>-9593366.9301722627</v>
      </c>
      <c r="AQ79" s="83">
        <f t="shared" si="10"/>
        <v>-9593366.9301722627</v>
      </c>
      <c r="AR79" s="83">
        <f t="shared" si="10"/>
        <v>-9593366.9301722627</v>
      </c>
      <c r="AS79" s="83">
        <f t="shared" si="10"/>
        <v>-9593366.9301722627</v>
      </c>
      <c r="AT79" s="83">
        <f t="shared" si="10"/>
        <v>-9828606.7435055971</v>
      </c>
      <c r="AU79" s="83">
        <f t="shared" si="10"/>
        <v>-9828606.7435055971</v>
      </c>
      <c r="AV79" s="83">
        <f t="shared" si="10"/>
        <v>-9828606.7435055971</v>
      </c>
      <c r="AW79" s="83">
        <f t="shared" si="10"/>
        <v>-10574669.643505597</v>
      </c>
      <c r="AX79" s="83">
        <f t="shared" si="10"/>
        <v>-10574669.643505597</v>
      </c>
      <c r="AY79" s="83">
        <f t="shared" si="10"/>
        <v>-10574669.643505597</v>
      </c>
      <c r="AZ79" s="83">
        <f t="shared" si="10"/>
        <v>-10574669.643505597</v>
      </c>
      <c r="BA79" s="83">
        <f t="shared" si="10"/>
        <v>-10574669.643505597</v>
      </c>
      <c r="BB79" s="83">
        <f t="shared" si="10"/>
        <v>-7581628.1235055979</v>
      </c>
      <c r="BC79" s="83">
        <f t="shared" si="10"/>
        <v>-7581628.1235055979</v>
      </c>
      <c r="BD79" s="83">
        <f t="shared" si="10"/>
        <v>-7581628.1235055979</v>
      </c>
      <c r="BE79" s="83">
        <f t="shared" si="10"/>
        <v>-7581628.1235055979</v>
      </c>
      <c r="BF79" s="83">
        <f t="shared" si="10"/>
        <v>-7581628.1235055979</v>
      </c>
      <c r="BG79" s="83">
        <f t="shared" si="10"/>
        <v>-7581628.1235055979</v>
      </c>
      <c r="BH79" s="83">
        <f t="shared" si="10"/>
        <v>-7853134.1235055979</v>
      </c>
      <c r="BI79" s="83">
        <f t="shared" si="10"/>
        <v>-7853134.1235055979</v>
      </c>
      <c r="BJ79" s="83">
        <f t="shared" si="10"/>
        <v>-7853134.1235055979</v>
      </c>
      <c r="BK79" s="83">
        <f t="shared" si="10"/>
        <v>-7853134.1235055979</v>
      </c>
      <c r="BL79" s="83">
        <f t="shared" si="10"/>
        <v>-7853134.1235055979</v>
      </c>
      <c r="BM79" s="83">
        <f t="shared" si="10"/>
        <v>-7853134.1235055979</v>
      </c>
      <c r="BN79" s="83">
        <f t="shared" si="10"/>
        <v>-7853134.1235055979</v>
      </c>
      <c r="BO79" s="83">
        <f t="shared" si="10"/>
        <v>-7853134.1235055979</v>
      </c>
      <c r="BP79" s="83">
        <f t="shared" si="10"/>
        <v>-7853134.1235055979</v>
      </c>
      <c r="BQ79" s="83">
        <f t="shared" ref="BQ79:CI79" si="11">BP79+BQ16-BQ26</f>
        <v>-7853134.1235055979</v>
      </c>
      <c r="BR79" s="83">
        <f t="shared" si="11"/>
        <v>-7853134.1235055979</v>
      </c>
      <c r="BS79" s="83">
        <f t="shared" si="11"/>
        <v>-7853134.1235055979</v>
      </c>
      <c r="BT79" s="83">
        <f t="shared" si="11"/>
        <v>-7853134.1235055979</v>
      </c>
      <c r="BU79" s="83">
        <f t="shared" si="11"/>
        <v>-7853134.1235055979</v>
      </c>
      <c r="BV79" s="83">
        <f t="shared" si="11"/>
        <v>-7853134.1235055979</v>
      </c>
      <c r="BW79" s="83">
        <f t="shared" si="11"/>
        <v>-7853134.1235055979</v>
      </c>
      <c r="BX79" s="83">
        <f t="shared" si="11"/>
        <v>-7853134.1235055979</v>
      </c>
      <c r="BY79" s="83">
        <f t="shared" si="11"/>
        <v>-7853134.1235055979</v>
      </c>
      <c r="BZ79" s="83">
        <f t="shared" si="11"/>
        <v>-7853134.1235055979</v>
      </c>
      <c r="CA79" s="83">
        <f t="shared" si="11"/>
        <v>-8599197.0235055983</v>
      </c>
      <c r="CB79" s="83">
        <f t="shared" si="11"/>
        <v>-8599197.0235055983</v>
      </c>
      <c r="CC79" s="83">
        <f t="shared" si="11"/>
        <v>-8599197.0235055983</v>
      </c>
      <c r="CD79" s="83">
        <f t="shared" si="11"/>
        <v>-8599197.0235055983</v>
      </c>
      <c r="CE79" s="83">
        <f t="shared" si="11"/>
        <v>-8599197.0235055983</v>
      </c>
      <c r="CF79" s="83">
        <f t="shared" si="11"/>
        <v>-8599197.0235055983</v>
      </c>
      <c r="CG79" s="83">
        <f t="shared" si="11"/>
        <v>-8599197.0235055983</v>
      </c>
      <c r="CH79" s="83">
        <f t="shared" si="11"/>
        <v>-8599197.0235055983</v>
      </c>
      <c r="CI79" s="83">
        <f t="shared" si="11"/>
        <v>-8599197.0235055983</v>
      </c>
    </row>
    <row r="81" spans="1:87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</row>
    <row r="82" spans="1:87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</row>
    <row r="83" spans="1:87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</row>
    <row r="84" spans="1:87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</row>
    <row r="85" spans="1:87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</row>
    <row r="86" spans="1:87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</row>
    <row r="88" spans="1:87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88"/>
  <sheetViews>
    <sheetView topLeftCell="A29" workbookViewId="0">
      <selection activeCell="N45" sqref="N45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8" width="10.85546875" style="3" bestFit="1" customWidth="1"/>
    <col min="9" max="9" width="11.7109375" style="3" bestFit="1" customWidth="1"/>
    <col min="10" max="15" width="10.85546875" style="3" bestFit="1" customWidth="1"/>
    <col min="16" max="16" width="14" style="3" customWidth="1"/>
    <col min="17" max="17" width="12.85546875" style="3" customWidth="1"/>
    <col min="18" max="18" width="14.28515625" style="3" customWidth="1"/>
    <col min="19" max="19" width="12" style="3" customWidth="1"/>
    <col min="20" max="20" width="14.5703125" style="3" customWidth="1"/>
    <col min="21" max="21" width="11.85546875" style="3" customWidth="1"/>
    <col min="22" max="22" width="12.42578125" style="3" customWidth="1"/>
    <col min="23" max="23" width="14.85546875" style="3" customWidth="1"/>
    <col min="24" max="24" width="13" style="3" customWidth="1"/>
    <col min="25" max="25" width="12.7109375" style="3" customWidth="1"/>
    <col min="26" max="26" width="11.85546875" style="3" customWidth="1"/>
    <col min="27" max="27" width="13.140625" style="3" customWidth="1"/>
    <col min="28" max="28" width="11.7109375" style="3" customWidth="1"/>
    <col min="29" max="29" width="12.5703125" style="3" customWidth="1"/>
    <col min="30" max="30" width="15.7109375" style="3" customWidth="1"/>
    <col min="31" max="31" width="12.7109375" style="3" customWidth="1"/>
    <col min="32" max="33" width="12.85546875" style="3" customWidth="1"/>
    <col min="34" max="35" width="11.85546875" style="3" customWidth="1"/>
    <col min="36" max="36" width="13" style="3" customWidth="1"/>
    <col min="37" max="37" width="12.28515625" style="3" customWidth="1"/>
    <col min="38" max="38" width="12.140625" style="3" customWidth="1"/>
    <col min="39" max="39" width="11.140625" style="3" customWidth="1"/>
    <col min="40" max="40" width="12.7109375" style="3" customWidth="1"/>
    <col min="41" max="46" width="9" style="3"/>
    <col min="47" max="47" width="12" style="3" customWidth="1"/>
    <col min="48" max="48" width="11.140625" style="3" customWidth="1"/>
    <col min="49" max="49" width="10.28515625" style="3" customWidth="1"/>
    <col min="50" max="50" width="11.42578125" style="3" customWidth="1"/>
    <col min="51" max="54" width="9" style="3"/>
    <col min="55" max="55" width="10.42578125" style="3" customWidth="1"/>
    <col min="56" max="56" width="10.28515625" style="3" bestFit="1" customWidth="1"/>
    <col min="57" max="60" width="9" style="3"/>
    <col min="61" max="61" width="12.42578125" style="3" customWidth="1"/>
    <col min="62" max="79" width="9" style="3"/>
    <col min="80" max="80" width="12.42578125" style="3" customWidth="1"/>
    <col min="81" max="16384" width="9" style="3"/>
  </cols>
  <sheetData>
    <row r="1" spans="1:88" ht="12" thickBot="1" x14ac:dyDescent="0.3"/>
    <row r="2" spans="1:88" s="1" customFormat="1" x14ac:dyDescent="0.2">
      <c r="A2" s="43" t="s">
        <v>50</v>
      </c>
      <c r="B2" s="15" t="s">
        <v>27</v>
      </c>
      <c r="C2" s="50">
        <f>7048288.59-4524256</f>
        <v>2524032.59</v>
      </c>
    </row>
    <row r="3" spans="1:88" s="1" customFormat="1" ht="12" thickBot="1" x14ac:dyDescent="0.25">
      <c r="A3" s="44">
        <v>85.183000000000007</v>
      </c>
      <c r="B3" s="15" t="s">
        <v>28</v>
      </c>
      <c r="C3" s="50">
        <v>10778.95</v>
      </c>
    </row>
    <row r="4" spans="1:88" s="8" customFormat="1" ht="12" thickBot="1" x14ac:dyDescent="0.25">
      <c r="A4" s="45"/>
      <c r="B4" s="15" t="s">
        <v>25</v>
      </c>
      <c r="C4" s="51">
        <v>0</v>
      </c>
    </row>
    <row r="5" spans="1:88" s="6" customFormat="1" x14ac:dyDescent="0.2">
      <c r="A5" s="43" t="s">
        <v>51</v>
      </c>
      <c r="B5" s="49" t="s">
        <v>26</v>
      </c>
      <c r="C5" s="52">
        <f>SUM(C2:C4)</f>
        <v>2534811.54</v>
      </c>
    </row>
    <row r="6" spans="1:88" s="6" customFormat="1" ht="12" thickBot="1" x14ac:dyDescent="0.25">
      <c r="A6" s="44">
        <v>73.127499999999998</v>
      </c>
      <c r="B6" s="16"/>
      <c r="C6" s="53"/>
      <c r="D6" s="17"/>
    </row>
    <row r="7" spans="1:88" s="6" customFormat="1" ht="12" thickBot="1" x14ac:dyDescent="0.25">
      <c r="A7" s="105" t="s">
        <v>51</v>
      </c>
      <c r="B7" s="18" t="s">
        <v>127</v>
      </c>
      <c r="C7" s="54">
        <f>SUM(16:16)</f>
        <v>25192367.064000003</v>
      </c>
    </row>
    <row r="8" spans="1:88" x14ac:dyDescent="0.25">
      <c r="A8" s="43" t="s">
        <v>52</v>
      </c>
      <c r="B8" s="18" t="s">
        <v>126</v>
      </c>
      <c r="C8" s="54">
        <f>SUM(26:26)</f>
        <v>45784639.553440265</v>
      </c>
    </row>
    <row r="9" spans="1:88" ht="12" thickBot="1" x14ac:dyDescent="0.3">
      <c r="A9" s="44">
        <v>10.7318</v>
      </c>
      <c r="B9" s="19" t="s">
        <v>64</v>
      </c>
      <c r="C9" s="55">
        <f>C5+C7-C8-C11</f>
        <v>-27754488.120560262</v>
      </c>
    </row>
    <row r="10" spans="1:88" x14ac:dyDescent="0.25">
      <c r="A10" s="99" t="s">
        <v>80</v>
      </c>
      <c r="B10" s="18" t="s">
        <v>23</v>
      </c>
      <c r="C10" s="56">
        <f>C16</f>
        <v>0</v>
      </c>
    </row>
    <row r="11" spans="1:88" x14ac:dyDescent="0.25">
      <c r="A11" s="101" t="s">
        <v>87</v>
      </c>
      <c r="B11" s="18" t="s">
        <v>24</v>
      </c>
      <c r="C11" s="54">
        <f>C26</f>
        <v>9697027.1711199991</v>
      </c>
    </row>
    <row r="12" spans="1:88" x14ac:dyDescent="0.25">
      <c r="A12" s="107" t="s">
        <v>88</v>
      </c>
    </row>
    <row r="13" spans="1:88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88" s="2" customFormat="1" x14ac:dyDescent="0.25">
      <c r="A14" s="64"/>
      <c r="B14" s="65"/>
      <c r="C14" s="58" t="s">
        <v>56</v>
      </c>
      <c r="D14" s="66"/>
      <c r="E14" s="66">
        <v>46160</v>
      </c>
      <c r="F14" s="66">
        <v>46161</v>
      </c>
      <c r="G14" s="66">
        <v>46162</v>
      </c>
      <c r="H14" s="66">
        <v>46163</v>
      </c>
      <c r="I14" s="66">
        <v>46164</v>
      </c>
      <c r="J14" s="66">
        <v>46165</v>
      </c>
      <c r="K14" s="66">
        <v>46166</v>
      </c>
      <c r="L14" s="66">
        <v>46167</v>
      </c>
      <c r="M14" s="66">
        <v>46168</v>
      </c>
      <c r="N14" s="66">
        <v>46169</v>
      </c>
      <c r="O14" s="66">
        <v>46170</v>
      </c>
      <c r="P14" s="66">
        <v>46171</v>
      </c>
      <c r="Q14" s="66">
        <v>46172</v>
      </c>
      <c r="R14" s="66">
        <v>46173</v>
      </c>
      <c r="S14" s="66">
        <v>46174</v>
      </c>
      <c r="T14" s="66">
        <v>46175</v>
      </c>
      <c r="U14" s="66">
        <v>46176</v>
      </c>
      <c r="V14" s="66">
        <v>46177</v>
      </c>
      <c r="W14" s="66">
        <v>46178</v>
      </c>
      <c r="X14" s="66">
        <v>46179</v>
      </c>
      <c r="Y14" s="66">
        <v>46180</v>
      </c>
      <c r="Z14" s="66">
        <v>46181</v>
      </c>
      <c r="AA14" s="66">
        <v>46182</v>
      </c>
      <c r="AB14" s="66">
        <v>46183</v>
      </c>
      <c r="AC14" s="66">
        <v>46184</v>
      </c>
      <c r="AD14" s="66">
        <v>46185</v>
      </c>
      <c r="AE14" s="66">
        <v>46186</v>
      </c>
      <c r="AF14" s="66">
        <v>46187</v>
      </c>
      <c r="AG14" s="66">
        <v>46188</v>
      </c>
      <c r="AH14" s="66">
        <v>46189</v>
      </c>
      <c r="AI14" s="66">
        <v>46190</v>
      </c>
      <c r="AJ14" s="66">
        <v>46191</v>
      </c>
      <c r="AK14" s="66">
        <v>46192</v>
      </c>
      <c r="AL14" s="66">
        <v>46193</v>
      </c>
      <c r="AM14" s="66">
        <v>46194</v>
      </c>
      <c r="AN14" s="66">
        <v>46195</v>
      </c>
      <c r="AO14" s="66">
        <v>46196</v>
      </c>
      <c r="AP14" s="66">
        <v>46197</v>
      </c>
      <c r="AQ14" s="66">
        <v>46198</v>
      </c>
      <c r="AR14" s="66">
        <v>46199</v>
      </c>
      <c r="AS14" s="66">
        <v>46200</v>
      </c>
      <c r="AT14" s="66">
        <v>46201</v>
      </c>
      <c r="AU14" s="66">
        <v>46202</v>
      </c>
      <c r="AV14" s="66">
        <v>46203</v>
      </c>
      <c r="AW14" s="66">
        <v>46204</v>
      </c>
      <c r="AX14" s="66">
        <v>46205</v>
      </c>
      <c r="AY14" s="66">
        <v>46206</v>
      </c>
      <c r="AZ14" s="66">
        <v>46207</v>
      </c>
      <c r="BA14" s="66">
        <v>46208</v>
      </c>
      <c r="BB14" s="66">
        <v>46209</v>
      </c>
      <c r="BC14" s="66">
        <v>46210</v>
      </c>
      <c r="BD14" s="66">
        <v>46211</v>
      </c>
      <c r="BE14" s="66">
        <v>46212</v>
      </c>
      <c r="BF14" s="66">
        <v>46213</v>
      </c>
      <c r="BG14" s="66">
        <v>46214</v>
      </c>
      <c r="BH14" s="66">
        <v>46215</v>
      </c>
      <c r="BI14" s="66">
        <v>46216</v>
      </c>
      <c r="BJ14" s="66">
        <v>46217</v>
      </c>
      <c r="BK14" s="66">
        <v>46218</v>
      </c>
      <c r="BL14" s="66">
        <v>46219</v>
      </c>
      <c r="BM14" s="66">
        <v>46220</v>
      </c>
      <c r="BN14" s="66">
        <v>46221</v>
      </c>
      <c r="BO14" s="66">
        <v>46222</v>
      </c>
      <c r="BP14" s="66">
        <v>46223</v>
      </c>
      <c r="BQ14" s="66">
        <v>46224</v>
      </c>
      <c r="BR14" s="66">
        <v>46225</v>
      </c>
      <c r="BS14" s="66">
        <v>46226</v>
      </c>
      <c r="BT14" s="66">
        <v>46227</v>
      </c>
      <c r="BU14" s="66">
        <v>46228</v>
      </c>
      <c r="BV14" s="66">
        <v>46229</v>
      </c>
      <c r="BW14" s="66">
        <v>46230</v>
      </c>
      <c r="BX14" s="66">
        <v>46231</v>
      </c>
      <c r="BY14" s="66">
        <v>46232</v>
      </c>
      <c r="BZ14" s="66">
        <v>46233</v>
      </c>
      <c r="CA14" s="66">
        <v>46234</v>
      </c>
      <c r="CB14" s="66">
        <v>46235</v>
      </c>
      <c r="CC14" s="66">
        <v>46236</v>
      </c>
      <c r="CD14" s="66">
        <v>46237</v>
      </c>
      <c r="CE14" s="66">
        <v>46238</v>
      </c>
      <c r="CF14" s="66">
        <v>46239</v>
      </c>
      <c r="CG14" s="66">
        <v>46240</v>
      </c>
      <c r="CH14" s="66">
        <v>46241</v>
      </c>
      <c r="CI14" s="66">
        <v>46242</v>
      </c>
      <c r="CJ14" s="66">
        <v>46243</v>
      </c>
    </row>
    <row r="15" spans="1:88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</row>
    <row r="16" spans="1:88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M16" si="0">SUM(E17:E25)</f>
        <v>0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29">
        <f t="shared" si="0"/>
        <v>7882500</v>
      </c>
      <c r="J16" s="135">
        <f t="shared" si="0"/>
        <v>0</v>
      </c>
      <c r="K16" s="135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78709.092000000004</v>
      </c>
      <c r="P16" s="29">
        <f t="shared" si="0"/>
        <v>0</v>
      </c>
      <c r="Q16" s="135">
        <f t="shared" si="0"/>
        <v>0</v>
      </c>
      <c r="R16" s="135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135">
        <f t="shared" si="0"/>
        <v>0</v>
      </c>
      <c r="Y16" s="135">
        <f t="shared" si="0"/>
        <v>0</v>
      </c>
      <c r="Z16" s="29">
        <f t="shared" si="0"/>
        <v>2981405.0000000005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135">
        <f t="shared" si="0"/>
        <v>0</v>
      </c>
      <c r="AF16" s="135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8184723.3720000004</v>
      </c>
      <c r="AK16" s="29">
        <f t="shared" si="0"/>
        <v>0</v>
      </c>
      <c r="AL16" s="135">
        <f t="shared" si="0"/>
        <v>0</v>
      </c>
      <c r="AM16" s="135">
        <f t="shared" si="0"/>
        <v>0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29">
        <f t="shared" si="0"/>
        <v>0</v>
      </c>
      <c r="AR16" s="29">
        <f t="shared" si="0"/>
        <v>0</v>
      </c>
      <c r="AS16" s="135">
        <f t="shared" si="0"/>
        <v>0</v>
      </c>
      <c r="AT16" s="135">
        <f t="shared" si="0"/>
        <v>0</v>
      </c>
      <c r="AU16" s="29">
        <f t="shared" si="0"/>
        <v>3032514.8000000003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29">
        <f t="shared" si="0"/>
        <v>0</v>
      </c>
      <c r="AZ16" s="135">
        <f t="shared" si="0"/>
        <v>0</v>
      </c>
      <c r="BA16" s="135">
        <f t="shared" si="0"/>
        <v>0</v>
      </c>
      <c r="BB16" s="29">
        <f t="shared" si="0"/>
        <v>0</v>
      </c>
      <c r="BC16" s="29">
        <f t="shared" si="0"/>
        <v>3032514.8000000003</v>
      </c>
      <c r="BD16" s="29">
        <f t="shared" si="0"/>
        <v>0</v>
      </c>
      <c r="BE16" s="29">
        <f t="shared" si="0"/>
        <v>0</v>
      </c>
      <c r="BF16" s="29">
        <f t="shared" si="0"/>
        <v>0</v>
      </c>
      <c r="BG16" s="135">
        <f t="shared" si="0"/>
        <v>0</v>
      </c>
      <c r="BH16" s="135">
        <f t="shared" si="0"/>
        <v>0</v>
      </c>
      <c r="BI16" s="29">
        <f t="shared" si="0"/>
        <v>0</v>
      </c>
      <c r="BJ16" s="29">
        <f t="shared" si="0"/>
        <v>0</v>
      </c>
      <c r="BK16" s="29">
        <f t="shared" si="0"/>
        <v>0</v>
      </c>
      <c r="BL16" s="29">
        <f t="shared" si="0"/>
        <v>0</v>
      </c>
      <c r="BM16" s="29">
        <f t="shared" si="0"/>
        <v>0</v>
      </c>
      <c r="BN16" s="29">
        <f t="shared" ref="BN16:CJ16" si="1">SUM(BN17:BN25)</f>
        <v>0</v>
      </c>
      <c r="BO16" s="29">
        <f t="shared" si="1"/>
        <v>0</v>
      </c>
      <c r="BP16" s="29">
        <f t="shared" si="1"/>
        <v>0</v>
      </c>
      <c r="BQ16" s="29">
        <f t="shared" si="1"/>
        <v>0</v>
      </c>
      <c r="BR16" s="29">
        <f t="shared" si="1"/>
        <v>0</v>
      </c>
      <c r="BS16" s="29">
        <f t="shared" si="1"/>
        <v>0</v>
      </c>
      <c r="BT16" s="29">
        <f t="shared" si="1"/>
        <v>0</v>
      </c>
      <c r="BU16" s="29">
        <f t="shared" si="1"/>
        <v>0</v>
      </c>
      <c r="BV16" s="29">
        <f t="shared" si="1"/>
        <v>0</v>
      </c>
      <c r="BW16" s="29">
        <f t="shared" si="1"/>
        <v>0</v>
      </c>
      <c r="BX16" s="29">
        <f t="shared" si="1"/>
        <v>0</v>
      </c>
      <c r="BY16" s="29">
        <f t="shared" si="1"/>
        <v>0</v>
      </c>
      <c r="BZ16" s="29">
        <f t="shared" si="1"/>
        <v>0</v>
      </c>
      <c r="CA16" s="29">
        <f t="shared" si="1"/>
        <v>0</v>
      </c>
      <c r="CB16" s="29">
        <f t="shared" si="1"/>
        <v>0</v>
      </c>
      <c r="CC16" s="29">
        <f t="shared" si="1"/>
        <v>0</v>
      </c>
      <c r="CD16" s="29">
        <f t="shared" si="1"/>
        <v>0</v>
      </c>
      <c r="CE16" s="29">
        <f t="shared" si="1"/>
        <v>0</v>
      </c>
      <c r="CF16" s="29">
        <f t="shared" si="1"/>
        <v>0</v>
      </c>
      <c r="CG16" s="29">
        <f t="shared" si="1"/>
        <v>0</v>
      </c>
      <c r="CH16" s="29">
        <f t="shared" si="1"/>
        <v>0</v>
      </c>
      <c r="CI16" s="29">
        <f t="shared" si="1"/>
        <v>0</v>
      </c>
      <c r="CJ16" s="29">
        <f t="shared" si="1"/>
        <v>0</v>
      </c>
    </row>
    <row r="17" spans="1:88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</row>
    <row r="18" spans="1:88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</row>
    <row r="19" spans="1:88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</row>
    <row r="20" spans="1:88" s="80" customForma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>
        <v>7882500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</row>
    <row r="21" spans="1:88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>
        <f>924*A3</f>
        <v>78709.092000000004</v>
      </c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</row>
    <row r="22" spans="1:88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</row>
    <row r="23" spans="1:88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>
        <f>96084*A3</f>
        <v>8184723.3720000004</v>
      </c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</row>
    <row r="24" spans="1:88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Q24" s="30"/>
      <c r="R24" s="30"/>
      <c r="S24" s="30"/>
      <c r="T24" s="30"/>
      <c r="U24" s="30"/>
      <c r="V24" s="30"/>
      <c r="W24" s="30"/>
      <c r="X24" s="30"/>
      <c r="Y24" s="30"/>
      <c r="Z24" s="30">
        <f>35000*A3</f>
        <v>2981405.0000000005</v>
      </c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>
        <f>35600*A3</f>
        <v>3032514.8000000003</v>
      </c>
      <c r="AV24" s="30"/>
      <c r="AW24" s="30"/>
      <c r="AX24" s="30"/>
      <c r="AY24" s="30"/>
      <c r="AZ24" s="30"/>
      <c r="BA24" s="30"/>
      <c r="BB24" s="30"/>
      <c r="BC24" s="30">
        <f>35600*A3</f>
        <v>3032514.8000000003</v>
      </c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</row>
    <row r="25" spans="1:88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</row>
    <row r="26" spans="1:88" s="4" customFormat="1" x14ac:dyDescent="0.2">
      <c r="A26" s="41" t="s">
        <v>1</v>
      </c>
      <c r="B26" s="22"/>
      <c r="C26" s="34">
        <f>SUM(C28:C77)</f>
        <v>9697027.1711199991</v>
      </c>
      <c r="D26" s="34"/>
      <c r="E26" s="34">
        <f t="shared" ref="E26:BM26" si="2">SUM(E27:E78)</f>
        <v>614777.79500000004</v>
      </c>
      <c r="F26" s="34">
        <f t="shared" si="2"/>
        <v>623847</v>
      </c>
      <c r="G26" s="34">
        <f t="shared" si="2"/>
        <v>753480.80500000005</v>
      </c>
      <c r="H26" s="34">
        <f t="shared" si="2"/>
        <v>416123.75</v>
      </c>
      <c r="I26" s="34">
        <f t="shared" si="2"/>
        <v>2870536.7610633331</v>
      </c>
      <c r="J26" s="34">
        <f t="shared" si="2"/>
        <v>0</v>
      </c>
      <c r="K26" s="34">
        <f t="shared" si="2"/>
        <v>0</v>
      </c>
      <c r="L26" s="34">
        <f t="shared" si="2"/>
        <v>5791228.0887445882</v>
      </c>
      <c r="M26" s="34">
        <f t="shared" si="2"/>
        <v>262444.23416666663</v>
      </c>
      <c r="N26" s="34">
        <f t="shared" si="2"/>
        <v>243185.04166666669</v>
      </c>
      <c r="O26" s="34">
        <f t="shared" si="2"/>
        <v>4483495.5675000008</v>
      </c>
      <c r="P26" s="34">
        <f t="shared" si="2"/>
        <v>4070877.6918290039</v>
      </c>
      <c r="Q26" s="34">
        <f t="shared" si="2"/>
        <v>12500</v>
      </c>
      <c r="R26" s="34">
        <f t="shared" si="2"/>
        <v>0</v>
      </c>
      <c r="S26" s="34">
        <f t="shared" si="2"/>
        <v>565292.70916666673</v>
      </c>
      <c r="T26" s="34">
        <f t="shared" si="2"/>
        <v>128806</v>
      </c>
      <c r="U26" s="34">
        <f t="shared" si="2"/>
        <v>3801506</v>
      </c>
      <c r="V26" s="34">
        <f t="shared" si="2"/>
        <v>183270</v>
      </c>
      <c r="W26" s="34">
        <f t="shared" si="2"/>
        <v>2145325.3708000001</v>
      </c>
      <c r="X26" s="34">
        <f t="shared" si="2"/>
        <v>0</v>
      </c>
      <c r="Y26" s="34">
        <f t="shared" si="2"/>
        <v>0</v>
      </c>
      <c r="Z26" s="34">
        <f t="shared" si="2"/>
        <v>510869.78125</v>
      </c>
      <c r="AA26" s="34">
        <f t="shared" si="2"/>
        <v>516230</v>
      </c>
      <c r="AB26" s="34">
        <f t="shared" si="2"/>
        <v>64750</v>
      </c>
      <c r="AC26" s="34">
        <f t="shared" si="2"/>
        <v>510600</v>
      </c>
      <c r="AD26" s="34">
        <f t="shared" si="2"/>
        <v>2381074.3728</v>
      </c>
      <c r="AE26" s="34">
        <f t="shared" si="2"/>
        <v>0</v>
      </c>
      <c r="AF26" s="34">
        <f t="shared" si="2"/>
        <v>0</v>
      </c>
      <c r="AG26" s="34">
        <f t="shared" si="2"/>
        <v>90000</v>
      </c>
      <c r="AH26" s="34">
        <f t="shared" si="2"/>
        <v>0</v>
      </c>
      <c r="AI26" s="34">
        <f t="shared" si="2"/>
        <v>55478.28</v>
      </c>
      <c r="AJ26" s="34">
        <f t="shared" si="2"/>
        <v>0</v>
      </c>
      <c r="AK26" s="34">
        <f t="shared" si="2"/>
        <v>0</v>
      </c>
      <c r="AL26" s="34">
        <f t="shared" si="2"/>
        <v>0</v>
      </c>
      <c r="AM26" s="34">
        <f t="shared" si="2"/>
        <v>0</v>
      </c>
      <c r="AN26" s="34">
        <f t="shared" si="2"/>
        <v>0</v>
      </c>
      <c r="AO26" s="34">
        <f t="shared" si="2"/>
        <v>0</v>
      </c>
      <c r="AP26" s="34">
        <f t="shared" si="2"/>
        <v>0</v>
      </c>
      <c r="AQ26" s="34">
        <f t="shared" si="2"/>
        <v>0</v>
      </c>
      <c r="AR26" s="34">
        <f t="shared" si="2"/>
        <v>0</v>
      </c>
      <c r="AS26" s="34">
        <f t="shared" si="2"/>
        <v>0</v>
      </c>
      <c r="AT26" s="34">
        <f t="shared" si="2"/>
        <v>0</v>
      </c>
      <c r="AU26" s="34">
        <f t="shared" si="2"/>
        <v>3228281.3333333335</v>
      </c>
      <c r="AV26" s="34">
        <f t="shared" si="2"/>
        <v>0</v>
      </c>
      <c r="AW26" s="34">
        <f t="shared" si="2"/>
        <v>0</v>
      </c>
      <c r="AX26" s="34">
        <f t="shared" si="2"/>
        <v>746062.9</v>
      </c>
      <c r="AY26" s="34">
        <f t="shared" si="2"/>
        <v>0</v>
      </c>
      <c r="AZ26" s="34">
        <f t="shared" si="2"/>
        <v>0</v>
      </c>
      <c r="BA26" s="34">
        <f t="shared" si="2"/>
        <v>0</v>
      </c>
      <c r="BB26" s="34">
        <f t="shared" si="2"/>
        <v>0</v>
      </c>
      <c r="BC26" s="34">
        <f t="shared" si="2"/>
        <v>0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271506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ref="BN26:CJ26" si="3">SUM(BN27:BN78)</f>
        <v>0</v>
      </c>
      <c r="BO26" s="34">
        <f t="shared" si="3"/>
        <v>0</v>
      </c>
      <c r="BP26" s="34">
        <f t="shared" si="3"/>
        <v>0</v>
      </c>
      <c r="BQ26" s="34">
        <f t="shared" si="3"/>
        <v>0</v>
      </c>
      <c r="BR26" s="34">
        <f t="shared" si="3"/>
        <v>0</v>
      </c>
      <c r="BS26" s="34">
        <f t="shared" si="3"/>
        <v>0</v>
      </c>
      <c r="BT26" s="34">
        <f t="shared" si="3"/>
        <v>0</v>
      </c>
      <c r="BU26" s="34">
        <f t="shared" si="3"/>
        <v>0</v>
      </c>
      <c r="BV26" s="34">
        <f t="shared" si="3"/>
        <v>0</v>
      </c>
      <c r="BW26" s="34">
        <f t="shared" si="3"/>
        <v>0</v>
      </c>
      <c r="BX26" s="34">
        <f t="shared" si="3"/>
        <v>0</v>
      </c>
      <c r="BY26" s="34">
        <f t="shared" si="3"/>
        <v>0</v>
      </c>
      <c r="BZ26" s="34">
        <f t="shared" si="3"/>
        <v>0</v>
      </c>
      <c r="CA26" s="34">
        <f t="shared" si="3"/>
        <v>0</v>
      </c>
      <c r="CB26" s="34">
        <f t="shared" si="3"/>
        <v>746062.9</v>
      </c>
      <c r="CC26" s="34">
        <f t="shared" si="3"/>
        <v>0</v>
      </c>
      <c r="CD26" s="34">
        <f t="shared" si="3"/>
        <v>0</v>
      </c>
      <c r="CE26" s="34">
        <f t="shared" si="3"/>
        <v>0</v>
      </c>
      <c r="CF26" s="34">
        <f t="shared" si="3"/>
        <v>0</v>
      </c>
      <c r="CG26" s="34">
        <f t="shared" si="3"/>
        <v>0</v>
      </c>
      <c r="CH26" s="34">
        <f t="shared" si="3"/>
        <v>0</v>
      </c>
      <c r="CI26" s="34">
        <f t="shared" si="3"/>
        <v>0</v>
      </c>
      <c r="CJ26" s="34">
        <f t="shared" si="3"/>
        <v>0</v>
      </c>
    </row>
    <row r="27" spans="1:88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</row>
    <row r="28" spans="1:88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>
        <f>8399365/3</f>
        <v>2799788.3333333335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>
        <f>8399365/3</f>
        <v>2799788.3333333335</v>
      </c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90">
        <f>291375+137118</f>
        <v>428493</v>
      </c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90">
        <f>291375+137118</f>
        <v>428493</v>
      </c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/>
      <c r="I32" s="24"/>
      <c r="J32" s="24"/>
      <c r="K32" s="24"/>
      <c r="L32" s="24">
        <v>352124.25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>
        <v>271506</v>
      </c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>
        <v>271506</v>
      </c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s="1" customFormat="1" x14ac:dyDescent="0.2">
      <c r="A34" s="36" t="s">
        <v>54</v>
      </c>
      <c r="B34" s="23"/>
      <c r="C34" s="60"/>
      <c r="D34" s="24"/>
      <c r="E34" s="118">
        <v>50000</v>
      </c>
      <c r="F34" s="24"/>
      <c r="G34" s="24">
        <v>50000</v>
      </c>
      <c r="H34" s="24"/>
      <c r="I34" s="24">
        <f>100113.9-50000</f>
        <v>50113.899999999994</v>
      </c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>
        <v>200113.9</v>
      </c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>
        <v>200113.9</v>
      </c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>
        <v>200113.9</v>
      </c>
      <c r="CC35" s="24"/>
      <c r="CD35" s="24"/>
      <c r="CE35" s="24"/>
      <c r="CF35" s="24"/>
      <c r="CG35" s="24"/>
      <c r="CH35" s="24"/>
      <c r="CI35" s="24"/>
      <c r="CJ35" s="24"/>
    </row>
    <row r="36" spans="1:88" s="1" customFormat="1" x14ac:dyDescent="0.2">
      <c r="A36" s="36" t="s">
        <v>53</v>
      </c>
      <c r="B36" s="23"/>
      <c r="C36" s="60"/>
      <c r="D36" s="24"/>
      <c r="E36" s="118">
        <v>50000</v>
      </c>
      <c r="F36" s="24">
        <v>100000</v>
      </c>
      <c r="G36" s="24">
        <v>100000</v>
      </c>
      <c r="H36" s="24"/>
      <c r="I36" s="24">
        <f>145949-50000</f>
        <v>95949</v>
      </c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>
        <v>545949</v>
      </c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>
        <v>545949</v>
      </c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>
        <v>545949</v>
      </c>
      <c r="CC36" s="24"/>
      <c r="CD36" s="24"/>
      <c r="CE36" s="24"/>
      <c r="CF36" s="24"/>
      <c r="CG36" s="24"/>
      <c r="CH36" s="24"/>
      <c r="CI36" s="24"/>
      <c r="CJ36" s="24"/>
    </row>
    <row r="37" spans="1:88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</row>
    <row r="38" spans="1:88" s="71" customFormat="1" x14ac:dyDescent="0.2">
      <c r="A38" s="69" t="s">
        <v>14</v>
      </c>
      <c r="B38" s="25" t="s">
        <v>30</v>
      </c>
      <c r="C38" s="70"/>
      <c r="D38" s="24"/>
      <c r="E38" s="118">
        <v>60000</v>
      </c>
      <c r="G38" s="100">
        <f>(341779/2-50000)/2+444.75</f>
        <v>60889.5</v>
      </c>
      <c r="J38" s="24"/>
      <c r="K38" s="24"/>
      <c r="L38" s="100">
        <f>341779/2</f>
        <v>170889.5</v>
      </c>
      <c r="M38" s="24"/>
      <c r="N38" s="24"/>
      <c r="O38" s="24"/>
      <c r="P38" s="108">
        <v>191379</v>
      </c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s="71" customFormat="1" x14ac:dyDescent="0.2">
      <c r="A39" s="69" t="s">
        <v>115</v>
      </c>
      <c r="B39" s="25" t="s">
        <v>116</v>
      </c>
      <c r="C39" s="70"/>
      <c r="D39" s="24"/>
      <c r="F39" s="100">
        <f t="shared" ref="F39:P39" si="4">156160/6</f>
        <v>26026.666666666668</v>
      </c>
      <c r="H39" s="100">
        <f t="shared" si="4"/>
        <v>26026.666666666668</v>
      </c>
      <c r="I39" s="100">
        <f t="shared" si="4"/>
        <v>26026.666666666668</v>
      </c>
      <c r="J39" s="24"/>
      <c r="K39" s="24"/>
      <c r="L39" s="100">
        <f>156160/6</f>
        <v>26026.666666666668</v>
      </c>
      <c r="M39" s="24"/>
      <c r="N39" s="100">
        <f t="shared" si="4"/>
        <v>26026.666666666668</v>
      </c>
      <c r="O39" s="24"/>
      <c r="P39" s="100">
        <f t="shared" si="4"/>
        <v>26026.666666666668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s="71" customFormat="1" x14ac:dyDescent="0.2">
      <c r="A40" s="69" t="s">
        <v>117</v>
      </c>
      <c r="B40" s="25" t="s">
        <v>119</v>
      </c>
      <c r="C40" s="70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100">
        <v>691000</v>
      </c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100">
        <v>235200</v>
      </c>
      <c r="X41" s="24"/>
      <c r="Y41" s="24"/>
      <c r="Z41" s="24"/>
      <c r="AA41" s="24"/>
      <c r="AB41" s="24"/>
      <c r="AC41" s="100">
        <v>510600</v>
      </c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s="71" customFormat="1" x14ac:dyDescent="0.2">
      <c r="A42" s="69" t="s">
        <v>17</v>
      </c>
      <c r="B42" s="25" t="s">
        <v>41</v>
      </c>
      <c r="C42" s="70">
        <f>1375000-500000-175000-50000-25000-25000-25000-50000-25000</f>
        <v>500000</v>
      </c>
      <c r="D42" s="24"/>
      <c r="F42" s="142">
        <v>50000</v>
      </c>
      <c r="G42" s="129">
        <v>25000</v>
      </c>
      <c r="H42" s="129">
        <v>50000</v>
      </c>
      <c r="I42" s="129">
        <v>65000</v>
      </c>
      <c r="J42" s="24"/>
      <c r="K42" s="24"/>
      <c r="L42" s="129">
        <v>40000</v>
      </c>
      <c r="M42" s="129">
        <v>25000</v>
      </c>
      <c r="N42" s="24"/>
      <c r="O42" s="24"/>
      <c r="P42" s="129">
        <v>150000</v>
      </c>
      <c r="Q42" s="24"/>
      <c r="R42" s="24"/>
      <c r="S42" s="129">
        <v>95000</v>
      </c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s="71" customFormat="1" x14ac:dyDescent="0.2">
      <c r="A43" s="69" t="s">
        <v>15</v>
      </c>
      <c r="B43" s="25" t="s">
        <v>31</v>
      </c>
      <c r="C43" s="70">
        <f>1205448-25000-25000-25000-50000-50000-50000</f>
        <v>980448</v>
      </c>
      <c r="D43" s="24"/>
      <c r="E43" s="159">
        <v>48224</v>
      </c>
      <c r="G43" s="140">
        <f t="shared" ref="G43:W43" si="5">195080/4</f>
        <v>48770</v>
      </c>
      <c r="I43" s="108">
        <v>65224</v>
      </c>
      <c r="J43" s="24"/>
      <c r="K43" s="24"/>
      <c r="L43" s="108">
        <f>45000+65224</f>
        <v>110224</v>
      </c>
      <c r="M43" s="108">
        <v>50000</v>
      </c>
      <c r="N43" s="24"/>
      <c r="O43" s="140">
        <f t="shared" si="5"/>
        <v>48770</v>
      </c>
      <c r="P43" s="100">
        <v>516230</v>
      </c>
      <c r="Q43" s="24"/>
      <c r="R43" s="24"/>
      <c r="S43" s="98">
        <f>515224/4</f>
        <v>128806</v>
      </c>
      <c r="T43" s="98">
        <f>515224/4</f>
        <v>128806</v>
      </c>
      <c r="U43" s="98">
        <f>515224/4</f>
        <v>128806</v>
      </c>
      <c r="V43" s="98">
        <f>515224/4+54464</f>
        <v>183270</v>
      </c>
      <c r="W43" s="140">
        <f t="shared" si="5"/>
        <v>48770</v>
      </c>
      <c r="X43" s="24"/>
      <c r="Y43" s="24"/>
      <c r="Z43" s="24"/>
      <c r="AA43" s="100">
        <v>516230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s="71" customFormat="1" x14ac:dyDescent="0.2">
      <c r="A44" s="69" t="s">
        <v>16</v>
      </c>
      <c r="B44" s="25" t="s">
        <v>32</v>
      </c>
      <c r="C44" s="70">
        <f>1122350-25000-25000-100000-50000-90000-25000</f>
        <v>807350</v>
      </c>
      <c r="D44" s="24"/>
      <c r="E44" s="118">
        <v>100000</v>
      </c>
      <c r="F44" s="140">
        <v>100000</v>
      </c>
      <c r="G44" s="140">
        <v>100000</v>
      </c>
      <c r="H44" s="108">
        <v>100000</v>
      </c>
      <c r="I44" s="108">
        <v>150000</v>
      </c>
      <c r="J44" s="24"/>
      <c r="K44" s="24"/>
      <c r="L44" s="108">
        <f>172350+10000</f>
        <v>182350</v>
      </c>
      <c r="M44" s="108">
        <v>25000</v>
      </c>
      <c r="N44" s="108">
        <v>50000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s="71" customFormat="1" x14ac:dyDescent="0.2">
      <c r="A45" s="69" t="s">
        <v>85</v>
      </c>
      <c r="B45" s="25" t="s">
        <v>47</v>
      </c>
      <c r="C45" s="70">
        <f>1535*A6</f>
        <v>112250.71249999999</v>
      </c>
      <c r="D45" s="24"/>
      <c r="E45" s="118">
        <f>250*$A$6</f>
        <v>18281.875</v>
      </c>
      <c r="G45" s="108">
        <f>645*$A$6</f>
        <v>47167.237499999996</v>
      </c>
      <c r="I45" s="108">
        <f>645*$A$6</f>
        <v>47167.237499999996</v>
      </c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s="71" customFormat="1" x14ac:dyDescent="0.2">
      <c r="A46" s="69" t="s">
        <v>143</v>
      </c>
      <c r="B46" s="25" t="s">
        <v>45</v>
      </c>
      <c r="C46" s="24"/>
      <c r="D46" s="24"/>
      <c r="E46" s="28"/>
      <c r="F46" s="28"/>
      <c r="G46" s="28"/>
      <c r="H46" s="28"/>
      <c r="I46" s="28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118">
        <f>188496*A9</f>
        <v>2022901.3728</v>
      </c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s="71" customFormat="1" x14ac:dyDescent="0.2">
      <c r="A47" s="69" t="s">
        <v>120</v>
      </c>
      <c r="B47" s="25" t="s">
        <v>121</v>
      </c>
      <c r="C47" s="120"/>
      <c r="D47" s="24"/>
      <c r="E47" s="24"/>
      <c r="F47" s="24"/>
      <c r="G47" s="24"/>
      <c r="H47" s="24"/>
      <c r="J47" s="24"/>
      <c r="K47" s="24"/>
      <c r="L47" s="100">
        <v>507000</v>
      </c>
      <c r="M47" s="24"/>
      <c r="N47" s="24"/>
      <c r="O47" s="100">
        <v>1014000</v>
      </c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s="73" customFormat="1" x14ac:dyDescent="0.2">
      <c r="A48" s="69" t="s">
        <v>22</v>
      </c>
      <c r="B48" s="25" t="s">
        <v>48</v>
      </c>
      <c r="C48" s="137"/>
      <c r="D48" s="72"/>
      <c r="E48" s="72"/>
      <c r="F48" s="72"/>
      <c r="G48" s="72"/>
      <c r="H48" s="72"/>
      <c r="I48" s="138">
        <f>52206*A9</f>
        <v>560264.35080000001</v>
      </c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138">
        <f>52206*A9+2988*A6</f>
        <v>778769.32079999999</v>
      </c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</row>
    <row r="49" spans="1:88" s="73" customFormat="1" x14ac:dyDescent="0.2">
      <c r="A49" s="69" t="s">
        <v>108</v>
      </c>
      <c r="B49" s="25" t="s">
        <v>109</v>
      </c>
      <c r="C49" s="120"/>
      <c r="D49" s="72"/>
      <c r="E49" s="72"/>
      <c r="F49" s="138">
        <v>33610.5</v>
      </c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</row>
    <row r="50" spans="1:88" s="71" customFormat="1" x14ac:dyDescent="0.2">
      <c r="A50" s="69" t="s">
        <v>36</v>
      </c>
      <c r="B50" s="25" t="s">
        <v>37</v>
      </c>
      <c r="C50" s="130"/>
      <c r="D50" s="24"/>
      <c r="E50" s="118">
        <f>444*A6</f>
        <v>32468.61</v>
      </c>
      <c r="G50" s="100">
        <f t="shared" ref="G50:O50" si="6">(2662*$A$6)/6</f>
        <v>32444.234166666665</v>
      </c>
      <c r="I50" s="100">
        <f t="shared" si="6"/>
        <v>32444.234166666665</v>
      </c>
      <c r="J50" s="24"/>
      <c r="K50" s="24"/>
      <c r="L50" s="24"/>
      <c r="M50" s="100">
        <f t="shared" si="6"/>
        <v>32444.234166666665</v>
      </c>
      <c r="N50" s="24"/>
      <c r="O50" s="100">
        <f t="shared" si="6"/>
        <v>32444.234166666665</v>
      </c>
      <c r="P50" s="24"/>
      <c r="Q50" s="24"/>
      <c r="R50" s="24"/>
      <c r="S50" s="100">
        <f>(2662*A6)/6</f>
        <v>32444.234166666665</v>
      </c>
      <c r="T50" s="24"/>
      <c r="U50" s="24"/>
      <c r="V50" s="24"/>
      <c r="W50" s="24"/>
      <c r="X50" s="24"/>
      <c r="Y50" s="24"/>
      <c r="Z50" s="100">
        <f>1037.5*A6</f>
        <v>75869.78125</v>
      </c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s="71" customFormat="1" x14ac:dyDescent="0.2">
      <c r="A51" s="69" t="s">
        <v>86</v>
      </c>
      <c r="B51" s="25" t="s">
        <v>35</v>
      </c>
      <c r="C51" s="70">
        <f>1700*A6+4050*A6-250*A6-445*A6</f>
        <v>369659.51250000001</v>
      </c>
      <c r="D51" s="77"/>
      <c r="F51" s="108">
        <f>600*$A$6</f>
        <v>43876.5</v>
      </c>
      <c r="G51" s="108">
        <f>600*$A$6</f>
        <v>43876.5</v>
      </c>
      <c r="H51" s="108">
        <f>500*$A$6</f>
        <v>36563.75</v>
      </c>
      <c r="I51" s="108">
        <f>600*$A$6</f>
        <v>43876.5</v>
      </c>
      <c r="J51" s="24"/>
      <c r="K51" s="24"/>
      <c r="L51" s="108">
        <f>500*$A$6</f>
        <v>36563.75</v>
      </c>
      <c r="M51" s="24"/>
      <c r="N51" s="108">
        <f>850*$A$6</f>
        <v>62158.375</v>
      </c>
      <c r="O51" s="24"/>
      <c r="P51" s="108">
        <f>900*$A$6+525*A6</f>
        <v>104206.6875</v>
      </c>
      <c r="Q51" s="24"/>
      <c r="R51" s="24"/>
      <c r="S51" s="100">
        <f>490*A6</f>
        <v>35832.474999999999</v>
      </c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s="71" customFormat="1" x14ac:dyDescent="0.2">
      <c r="A52" s="69" t="s">
        <v>29</v>
      </c>
      <c r="B52" s="25" t="s">
        <v>43</v>
      </c>
      <c r="C52" s="70">
        <f>439750-19750</f>
        <v>420000</v>
      </c>
      <c r="D52" s="24"/>
      <c r="E52" s="118">
        <v>25000</v>
      </c>
      <c r="G52" s="95">
        <v>25000</v>
      </c>
      <c r="I52" s="95">
        <v>25000</v>
      </c>
      <c r="J52" s="24"/>
      <c r="K52" s="24"/>
      <c r="M52" s="95">
        <v>50000</v>
      </c>
      <c r="O52" s="95">
        <v>50000</v>
      </c>
      <c r="Q52" s="24"/>
      <c r="R52" s="24"/>
      <c r="S52" s="95">
        <v>50000</v>
      </c>
      <c r="T52" s="24"/>
      <c r="U52" s="95">
        <v>25000</v>
      </c>
      <c r="V52" s="24"/>
      <c r="W52" s="95">
        <v>25000</v>
      </c>
      <c r="X52" s="24"/>
      <c r="Y52" s="24"/>
      <c r="Z52" s="95">
        <v>25000</v>
      </c>
      <c r="AA52" s="24"/>
      <c r="AB52" s="95">
        <f>50000+14750</f>
        <v>64750</v>
      </c>
      <c r="AC52" s="24"/>
      <c r="AD52" s="95">
        <v>75000</v>
      </c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s="71" customFormat="1" x14ac:dyDescent="0.2">
      <c r="A53" s="69" t="s">
        <v>141</v>
      </c>
      <c r="B53" s="25" t="s">
        <v>142</v>
      </c>
      <c r="C53" s="70"/>
      <c r="D53" s="24"/>
      <c r="E53" s="118">
        <v>17405.2</v>
      </c>
      <c r="F53" s="28"/>
      <c r="G53" s="28"/>
      <c r="H53" s="28"/>
      <c r="I53" s="28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100">
        <v>55478.28</v>
      </c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s="71" customFormat="1" x14ac:dyDescent="0.2">
      <c r="A54" s="69" t="s">
        <v>146</v>
      </c>
      <c r="B54" s="25" t="s">
        <v>147</v>
      </c>
      <c r="C54" s="70"/>
      <c r="D54" s="24"/>
      <c r="E54" s="28"/>
      <c r="F54" s="28"/>
      <c r="G54" s="28"/>
      <c r="H54" s="28"/>
      <c r="I54" s="28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100">
        <v>90000</v>
      </c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s="71" customFormat="1" x14ac:dyDescent="0.2">
      <c r="A55" s="69" t="s">
        <v>149</v>
      </c>
      <c r="B55" s="25" t="s">
        <v>148</v>
      </c>
      <c r="C55" s="70"/>
      <c r="D55" s="24"/>
      <c r="E55" s="28"/>
      <c r="F55" s="158">
        <f>235600/3</f>
        <v>78533.333333333328</v>
      </c>
      <c r="G55" s="158">
        <f t="shared" ref="G55:H55" si="7">235600/3</f>
        <v>78533.333333333328</v>
      </c>
      <c r="H55" s="158">
        <f t="shared" si="7"/>
        <v>78533.333333333328</v>
      </c>
      <c r="I55" s="28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8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s="71" customFormat="1" x14ac:dyDescent="0.2">
      <c r="A56" s="69" t="s">
        <v>124</v>
      </c>
      <c r="B56" s="25" t="s">
        <v>125</v>
      </c>
      <c r="C56" s="7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100">
        <v>203210</v>
      </c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s="71" customFormat="1" x14ac:dyDescent="0.2">
      <c r="A58" s="69" t="s">
        <v>90</v>
      </c>
      <c r="B58" s="25" t="s">
        <v>91</v>
      </c>
      <c r="C58" s="70">
        <f>912000+1012000</f>
        <v>1924000</v>
      </c>
      <c r="D58" s="77"/>
      <c r="E58" s="118">
        <v>100000</v>
      </c>
      <c r="F58" s="129">
        <v>100000</v>
      </c>
      <c r="G58" s="129">
        <v>100000</v>
      </c>
      <c r="H58" s="129">
        <v>100000</v>
      </c>
      <c r="I58" s="129">
        <f>1012000+524000-24000</f>
        <v>1512000</v>
      </c>
      <c r="J58" s="28"/>
      <c r="K58" s="28"/>
      <c r="L58" s="28"/>
      <c r="M58" s="28"/>
      <c r="N58" s="28"/>
      <c r="O58" s="28"/>
      <c r="P58" s="28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s="71" customFormat="1" x14ac:dyDescent="0.2">
      <c r="A59" s="69" t="s">
        <v>144</v>
      </c>
      <c r="B59" s="25" t="s">
        <v>145</v>
      </c>
      <c r="C59" s="70"/>
      <c r="D59" s="77"/>
      <c r="E59" s="28"/>
      <c r="F59" s="28"/>
      <c r="G59" s="28"/>
      <c r="H59" s="28"/>
      <c r="I59" s="158">
        <f>2024.71*A3</f>
        <v>172470.87193000002</v>
      </c>
      <c r="J59" s="28"/>
      <c r="K59" s="28"/>
      <c r="L59" s="28"/>
      <c r="M59" s="28"/>
      <c r="N59" s="28"/>
      <c r="O59" s="28"/>
      <c r="P59" s="28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s="71" customFormat="1" x14ac:dyDescent="0.2">
      <c r="A60" s="69" t="s">
        <v>138</v>
      </c>
      <c r="B60" s="25" t="s">
        <v>136</v>
      </c>
      <c r="C60" s="70"/>
      <c r="D60" s="77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4"/>
      <c r="R60" s="24"/>
      <c r="S60" s="24"/>
      <c r="T60" s="24"/>
      <c r="U60" s="24"/>
      <c r="V60" s="24"/>
      <c r="W60" s="100">
        <f>4260*A6</f>
        <v>311523.14999999997</v>
      </c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s="71" customFormat="1" x14ac:dyDescent="0.2">
      <c r="A62" s="151" t="s">
        <v>139</v>
      </c>
      <c r="B62" s="152" t="s">
        <v>114</v>
      </c>
      <c r="C62" s="70"/>
      <c r="D62" s="77"/>
      <c r="E62" s="24"/>
      <c r="F62" s="28"/>
      <c r="G62" s="28"/>
      <c r="H62" s="28"/>
      <c r="I62" s="24"/>
      <c r="J62" s="28"/>
      <c r="K62" s="28"/>
      <c r="L62" s="100">
        <v>1732500</v>
      </c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s="71" customFormat="1" x14ac:dyDescent="0.2">
      <c r="A63" s="69" t="s">
        <v>34</v>
      </c>
      <c r="B63" s="25" t="s">
        <v>45</v>
      </c>
      <c r="C63" s="70">
        <f>1014000-100000-100000+400-50000-25000-25000-25000-50000-53800</f>
        <v>585600</v>
      </c>
      <c r="D63" s="77"/>
      <c r="E63" s="118">
        <v>85600</v>
      </c>
      <c r="F63" s="157">
        <v>75000</v>
      </c>
      <c r="H63" s="129">
        <v>25000</v>
      </c>
      <c r="I63" s="24"/>
      <c r="J63" s="24"/>
      <c r="K63" s="24"/>
      <c r="L63" s="129">
        <f>400000/5</f>
        <v>80000</v>
      </c>
      <c r="M63" s="129">
        <f t="shared" ref="M63:P63" si="8">400000/5</f>
        <v>80000</v>
      </c>
      <c r="N63" s="129">
        <f t="shared" si="8"/>
        <v>80000</v>
      </c>
      <c r="O63" s="129">
        <f t="shared" si="8"/>
        <v>80000</v>
      </c>
      <c r="P63" s="129">
        <f t="shared" si="8"/>
        <v>80000</v>
      </c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s="71" customFormat="1" x14ac:dyDescent="0.2">
      <c r="A64" s="69" t="s">
        <v>128</v>
      </c>
      <c r="B64" s="25" t="s">
        <v>129</v>
      </c>
      <c r="C64" s="70"/>
      <c r="D64" s="77"/>
      <c r="E64" s="118">
        <v>17798.11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s="71" customFormat="1" x14ac:dyDescent="0.2">
      <c r="A65" s="69" t="s">
        <v>101</v>
      </c>
      <c r="B65" s="25" t="s">
        <v>130</v>
      </c>
      <c r="C65" s="70"/>
      <c r="D65" s="77"/>
      <c r="E65" s="118">
        <v>10000</v>
      </c>
      <c r="G65" s="108">
        <f t="shared" ref="G65:I65" si="9">100000/4</f>
        <v>25000</v>
      </c>
      <c r="I65" s="108">
        <f t="shared" si="9"/>
        <v>25000</v>
      </c>
      <c r="J65" s="24"/>
      <c r="K65" s="24"/>
      <c r="L65" s="108">
        <v>20000</v>
      </c>
      <c r="M65" s="24"/>
      <c r="N65" s="108">
        <f>100000/4</f>
        <v>25000</v>
      </c>
      <c r="O65" s="108">
        <v>15000</v>
      </c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s="71" customFormat="1" x14ac:dyDescent="0.2">
      <c r="A67" s="69" t="s">
        <v>38</v>
      </c>
      <c r="B67" s="25" t="s">
        <v>39</v>
      </c>
      <c r="C67" s="70"/>
      <c r="D67" s="24"/>
      <c r="E67" s="24"/>
      <c r="F67" s="100">
        <v>16800</v>
      </c>
      <c r="G67" s="100">
        <v>16800</v>
      </c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s="71" customFormat="1" x14ac:dyDescent="0.2">
      <c r="A68" s="69" t="s">
        <v>74</v>
      </c>
      <c r="B68" s="25" t="s">
        <v>131</v>
      </c>
      <c r="C68" s="70"/>
      <c r="D68" s="24"/>
      <c r="E68" s="24"/>
      <c r="F68" s="24"/>
      <c r="G68" s="24"/>
      <c r="H68" s="24"/>
      <c r="I68" s="24"/>
      <c r="J68" s="24"/>
      <c r="K68" s="24"/>
      <c r="L68" s="100">
        <v>22000</v>
      </c>
      <c r="M68" s="24"/>
      <c r="N68" s="24"/>
      <c r="O68" s="100">
        <v>15000</v>
      </c>
      <c r="P68" s="143">
        <v>40000</v>
      </c>
      <c r="Q68" s="100">
        <v>12500</v>
      </c>
      <c r="R68" s="24"/>
      <c r="S68" s="100">
        <v>20000</v>
      </c>
      <c r="T68" s="24"/>
      <c r="U68" s="100">
        <v>80000</v>
      </c>
      <c r="V68" s="24"/>
      <c r="W68" s="24"/>
      <c r="X68" s="24"/>
      <c r="Y68" s="24"/>
      <c r="Z68" s="100">
        <v>20000</v>
      </c>
      <c r="AA68" s="24"/>
      <c r="AB68" s="24"/>
      <c r="AC68" s="24"/>
      <c r="AD68" s="100">
        <v>11667</v>
      </c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s="71" customFormat="1" x14ac:dyDescent="0.2">
      <c r="A69" s="69" t="s">
        <v>74</v>
      </c>
      <c r="B69" s="25" t="s">
        <v>83</v>
      </c>
      <c r="C69" s="70"/>
      <c r="D69" s="24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4"/>
      <c r="Q69" s="24"/>
      <c r="R69" s="24"/>
      <c r="S69" s="24"/>
      <c r="T69" s="24"/>
      <c r="U69" s="114">
        <v>3567700</v>
      </c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</row>
    <row r="70" spans="1:88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2"/>
      <c r="CH70" s="72"/>
      <c r="CI70" s="72"/>
      <c r="CJ70" s="72"/>
    </row>
    <row r="71" spans="1:88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3"/>
      <c r="CF71" s="93"/>
      <c r="CG71" s="93"/>
      <c r="CH71" s="93"/>
      <c r="CI71" s="93"/>
      <c r="CJ71" s="93"/>
    </row>
    <row r="72" spans="1:88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</row>
    <row r="73" spans="1:88" s="5" customFormat="1" x14ac:dyDescent="0.2">
      <c r="A73" s="36" t="s">
        <v>49</v>
      </c>
      <c r="B73" s="12"/>
      <c r="C73" s="13"/>
      <c r="D73" s="26"/>
      <c r="E73" s="126"/>
      <c r="F73" s="13"/>
      <c r="G73" s="13"/>
      <c r="H73" s="126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</row>
    <row r="74" spans="1:88" s="5" customFormat="1" x14ac:dyDescent="0.2">
      <c r="A74" s="36" t="s">
        <v>57</v>
      </c>
      <c r="B74" s="12"/>
      <c r="C74" s="68"/>
      <c r="D74" s="26"/>
      <c r="F74" s="13"/>
      <c r="G74" s="13"/>
      <c r="H74" s="13"/>
      <c r="J74" s="13"/>
      <c r="K74" s="13"/>
      <c r="L74" s="139">
        <f>1933893.44/0.77</f>
        <v>2511549.9220779222</v>
      </c>
      <c r="M74" s="13"/>
      <c r="N74" s="13"/>
      <c r="O74" s="13"/>
      <c r="P74" s="139">
        <f>1749467.21/0.77</f>
        <v>2272035.3376623373</v>
      </c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</row>
    <row r="75" spans="1:88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9">
        <v>390000</v>
      </c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</row>
    <row r="76" spans="1:88" s="5" customFormat="1" x14ac:dyDescent="0.2">
      <c r="A76" s="42"/>
      <c r="B76" s="12"/>
      <c r="C76" s="68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</row>
    <row r="77" spans="1:88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</row>
    <row r="78" spans="1:88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</row>
    <row r="79" spans="1:88" s="84" customFormat="1" x14ac:dyDescent="0.2">
      <c r="A79" s="81" t="s">
        <v>66</v>
      </c>
      <c r="B79" s="82"/>
      <c r="C79" s="63"/>
      <c r="D79" s="83"/>
      <c r="E79" s="83">
        <f>$C$5+E16-E26</f>
        <v>1920033.7450000001</v>
      </c>
      <c r="F79" s="83">
        <f t="shared" ref="F79:BN79" si="10">E79+F16-F26</f>
        <v>1296186.7450000001</v>
      </c>
      <c r="G79" s="83">
        <f t="shared" si="10"/>
        <v>542705.94000000006</v>
      </c>
      <c r="H79" s="83">
        <f t="shared" si="10"/>
        <v>126582.19000000006</v>
      </c>
      <c r="I79" s="83">
        <f t="shared" si="10"/>
        <v>5138545.4289366677</v>
      </c>
      <c r="J79" s="83">
        <f t="shared" si="10"/>
        <v>5138545.4289366677</v>
      </c>
      <c r="K79" s="83">
        <f t="shared" si="10"/>
        <v>5138545.4289366677</v>
      </c>
      <c r="L79" s="83">
        <f t="shared" si="10"/>
        <v>-652682.65980792046</v>
      </c>
      <c r="M79" s="83">
        <f t="shared" si="10"/>
        <v>-915126.89397458709</v>
      </c>
      <c r="N79" s="83">
        <f t="shared" si="10"/>
        <v>-1158311.9356412538</v>
      </c>
      <c r="O79" s="83">
        <f t="shared" si="10"/>
        <v>-5563098.4111412549</v>
      </c>
      <c r="P79" s="83">
        <f t="shared" si="10"/>
        <v>-9633976.1029702593</v>
      </c>
      <c r="Q79" s="83">
        <f t="shared" si="10"/>
        <v>-9646476.1029702593</v>
      </c>
      <c r="R79" s="83">
        <f t="shared" si="10"/>
        <v>-9646476.1029702593</v>
      </c>
      <c r="S79" s="83">
        <f t="shared" si="10"/>
        <v>-10211768.812136926</v>
      </c>
      <c r="T79" s="83">
        <f t="shared" si="10"/>
        <v>-10340574.812136926</v>
      </c>
      <c r="U79" s="83">
        <f t="shared" si="10"/>
        <v>-14142080.812136926</v>
      </c>
      <c r="V79" s="83">
        <f t="shared" si="10"/>
        <v>-14325350.812136926</v>
      </c>
      <c r="W79" s="83">
        <f t="shared" si="10"/>
        <v>-16470676.182936925</v>
      </c>
      <c r="X79" s="83">
        <f t="shared" si="10"/>
        <v>-16470676.182936925</v>
      </c>
      <c r="Y79" s="83">
        <f t="shared" si="10"/>
        <v>-16470676.182936925</v>
      </c>
      <c r="Z79" s="83">
        <f t="shared" si="10"/>
        <v>-14000140.964186925</v>
      </c>
      <c r="AA79" s="83">
        <f t="shared" si="10"/>
        <v>-14516370.964186925</v>
      </c>
      <c r="AB79" s="83">
        <f t="shared" si="10"/>
        <v>-14581120.964186925</v>
      </c>
      <c r="AC79" s="83">
        <f t="shared" si="10"/>
        <v>-15091720.964186925</v>
      </c>
      <c r="AD79" s="83">
        <f t="shared" si="10"/>
        <v>-17472795.336986925</v>
      </c>
      <c r="AE79" s="83">
        <f t="shared" si="10"/>
        <v>-17472795.336986925</v>
      </c>
      <c r="AF79" s="83">
        <f t="shared" si="10"/>
        <v>-17472795.336986925</v>
      </c>
      <c r="AG79" s="83">
        <f t="shared" si="10"/>
        <v>-17562795.336986925</v>
      </c>
      <c r="AH79" s="83">
        <f t="shared" si="10"/>
        <v>-17562795.336986925</v>
      </c>
      <c r="AI79" s="83">
        <f t="shared" si="10"/>
        <v>-17618273.616986927</v>
      </c>
      <c r="AJ79" s="83">
        <f t="shared" si="10"/>
        <v>-9433550.2449869253</v>
      </c>
      <c r="AK79" s="83">
        <f t="shared" si="10"/>
        <v>-9433550.2449869253</v>
      </c>
      <c r="AL79" s="83">
        <f t="shared" si="10"/>
        <v>-9433550.2449869253</v>
      </c>
      <c r="AM79" s="83">
        <f t="shared" si="10"/>
        <v>-9433550.2449869253</v>
      </c>
      <c r="AN79" s="83">
        <f t="shared" si="10"/>
        <v>-9433550.2449869253</v>
      </c>
      <c r="AO79" s="83">
        <f t="shared" si="10"/>
        <v>-9433550.2449869253</v>
      </c>
      <c r="AP79" s="83">
        <f t="shared" si="10"/>
        <v>-9433550.2449869253</v>
      </c>
      <c r="AQ79" s="83">
        <f t="shared" si="10"/>
        <v>-9433550.2449869253</v>
      </c>
      <c r="AR79" s="83">
        <f t="shared" si="10"/>
        <v>-9433550.2449869253</v>
      </c>
      <c r="AS79" s="83">
        <f t="shared" si="10"/>
        <v>-9433550.2449869253</v>
      </c>
      <c r="AT79" s="83">
        <f t="shared" si="10"/>
        <v>-9433550.2449869253</v>
      </c>
      <c r="AU79" s="83">
        <f t="shared" si="10"/>
        <v>-9629316.7783202585</v>
      </c>
      <c r="AV79" s="83">
        <f t="shared" si="10"/>
        <v>-9629316.7783202585</v>
      </c>
      <c r="AW79" s="83">
        <f t="shared" si="10"/>
        <v>-9629316.7783202585</v>
      </c>
      <c r="AX79" s="83">
        <f t="shared" si="10"/>
        <v>-10375379.678320259</v>
      </c>
      <c r="AY79" s="83">
        <f t="shared" si="10"/>
        <v>-10375379.678320259</v>
      </c>
      <c r="AZ79" s="83">
        <f t="shared" si="10"/>
        <v>-10375379.678320259</v>
      </c>
      <c r="BA79" s="83">
        <f t="shared" si="10"/>
        <v>-10375379.678320259</v>
      </c>
      <c r="BB79" s="83">
        <f t="shared" si="10"/>
        <v>-10375379.678320259</v>
      </c>
      <c r="BC79" s="83">
        <f t="shared" si="10"/>
        <v>-7342864.8783202581</v>
      </c>
      <c r="BD79" s="83">
        <f t="shared" si="10"/>
        <v>-7342864.8783202581</v>
      </c>
      <c r="BE79" s="83">
        <f t="shared" si="10"/>
        <v>-7342864.8783202581</v>
      </c>
      <c r="BF79" s="83">
        <f t="shared" si="10"/>
        <v>-7342864.8783202581</v>
      </c>
      <c r="BG79" s="83">
        <f t="shared" si="10"/>
        <v>-7342864.8783202581</v>
      </c>
      <c r="BH79" s="83">
        <f t="shared" si="10"/>
        <v>-7342864.8783202581</v>
      </c>
      <c r="BI79" s="83">
        <f t="shared" si="10"/>
        <v>-7614370.8783202581</v>
      </c>
      <c r="BJ79" s="83">
        <f t="shared" si="10"/>
        <v>-7614370.8783202581</v>
      </c>
      <c r="BK79" s="83">
        <f t="shared" si="10"/>
        <v>-7614370.8783202581</v>
      </c>
      <c r="BL79" s="83">
        <f t="shared" si="10"/>
        <v>-7614370.8783202581</v>
      </c>
      <c r="BM79" s="83">
        <f t="shared" si="10"/>
        <v>-7614370.8783202581</v>
      </c>
      <c r="BN79" s="83">
        <f t="shared" si="10"/>
        <v>-7614370.8783202581</v>
      </c>
      <c r="BO79" s="83">
        <f t="shared" ref="BO79:CJ79" si="11">BN79+BO16-BO26</f>
        <v>-7614370.8783202581</v>
      </c>
      <c r="BP79" s="83">
        <f t="shared" si="11"/>
        <v>-7614370.8783202581</v>
      </c>
      <c r="BQ79" s="83">
        <f t="shared" si="11"/>
        <v>-7614370.8783202581</v>
      </c>
      <c r="BR79" s="83">
        <f t="shared" si="11"/>
        <v>-7614370.8783202581</v>
      </c>
      <c r="BS79" s="83">
        <f t="shared" si="11"/>
        <v>-7614370.8783202581</v>
      </c>
      <c r="BT79" s="83">
        <f t="shared" si="11"/>
        <v>-7614370.8783202581</v>
      </c>
      <c r="BU79" s="83">
        <f t="shared" si="11"/>
        <v>-7614370.8783202581</v>
      </c>
      <c r="BV79" s="83">
        <f t="shared" si="11"/>
        <v>-7614370.8783202581</v>
      </c>
      <c r="BW79" s="83">
        <f t="shared" si="11"/>
        <v>-7614370.8783202581</v>
      </c>
      <c r="BX79" s="83">
        <f t="shared" si="11"/>
        <v>-7614370.8783202581</v>
      </c>
      <c r="BY79" s="83">
        <f t="shared" si="11"/>
        <v>-7614370.8783202581</v>
      </c>
      <c r="BZ79" s="83">
        <f t="shared" si="11"/>
        <v>-7614370.8783202581</v>
      </c>
      <c r="CA79" s="83">
        <f t="shared" si="11"/>
        <v>-7614370.8783202581</v>
      </c>
      <c r="CB79" s="83">
        <f t="shared" si="11"/>
        <v>-8360433.7783202585</v>
      </c>
      <c r="CC79" s="83">
        <f t="shared" si="11"/>
        <v>-8360433.7783202585</v>
      </c>
      <c r="CD79" s="83">
        <f t="shared" si="11"/>
        <v>-8360433.7783202585</v>
      </c>
      <c r="CE79" s="83">
        <f t="shared" si="11"/>
        <v>-8360433.7783202585</v>
      </c>
      <c r="CF79" s="83">
        <f t="shared" si="11"/>
        <v>-8360433.7783202585</v>
      </c>
      <c r="CG79" s="83">
        <f t="shared" si="11"/>
        <v>-8360433.7783202585</v>
      </c>
      <c r="CH79" s="83">
        <f t="shared" si="11"/>
        <v>-8360433.7783202585</v>
      </c>
      <c r="CI79" s="83">
        <f t="shared" si="11"/>
        <v>-8360433.7783202585</v>
      </c>
      <c r="CJ79" s="83">
        <f t="shared" si="11"/>
        <v>-8360433.7783202585</v>
      </c>
    </row>
    <row r="81" spans="1:88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</row>
    <row r="82" spans="1:88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</row>
    <row r="83" spans="1:88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</row>
    <row r="84" spans="1:88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</row>
    <row r="85" spans="1:88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</row>
    <row r="86" spans="1:88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</row>
    <row r="88" spans="1:88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M88"/>
  <sheetViews>
    <sheetView topLeftCell="A46" workbookViewId="0">
      <selection activeCell="H73" sqref="H73:K75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1" width="10.85546875" style="3" bestFit="1" customWidth="1"/>
    <col min="12" max="12" width="11.7109375" style="3" bestFit="1" customWidth="1"/>
    <col min="13" max="18" width="10.85546875" style="3" bestFit="1" customWidth="1"/>
    <col min="19" max="19" width="14" style="3" customWidth="1"/>
    <col min="20" max="20" width="12.85546875" style="3" customWidth="1"/>
    <col min="21" max="21" width="14.28515625" style="3" customWidth="1"/>
    <col min="22" max="22" width="12" style="3" customWidth="1"/>
    <col min="23" max="23" width="11" style="3" customWidth="1"/>
    <col min="24" max="24" width="11.85546875" style="3" customWidth="1"/>
    <col min="25" max="25" width="12.42578125" style="3" customWidth="1"/>
    <col min="26" max="26" width="14.85546875" style="3" customWidth="1"/>
    <col min="27" max="27" width="13" style="3" customWidth="1"/>
    <col min="28" max="28" width="12.7109375" style="3" customWidth="1"/>
    <col min="29" max="29" width="11.85546875" style="3" customWidth="1"/>
    <col min="30" max="30" width="13.140625" style="3" customWidth="1"/>
    <col min="31" max="31" width="11.7109375" style="3" customWidth="1"/>
    <col min="32" max="32" width="12.5703125" style="3" customWidth="1"/>
    <col min="33" max="33" width="15.7109375" style="3" customWidth="1"/>
    <col min="34" max="34" width="12.7109375" style="3" customWidth="1"/>
    <col min="35" max="36" width="12.85546875" style="3" customWidth="1"/>
    <col min="37" max="38" width="11.85546875" style="3" customWidth="1"/>
    <col min="39" max="39" width="13" style="3" customWidth="1"/>
    <col min="40" max="40" width="12.28515625" style="3" customWidth="1"/>
    <col min="41" max="41" width="12.140625" style="3" customWidth="1"/>
    <col min="42" max="42" width="11.140625" style="3" customWidth="1"/>
    <col min="43" max="43" width="12.7109375" style="3" customWidth="1"/>
    <col min="44" max="49" width="9" style="3"/>
    <col min="50" max="50" width="12" style="3" customWidth="1"/>
    <col min="51" max="51" width="11.140625" style="3" customWidth="1"/>
    <col min="52" max="52" width="10.28515625" style="3" customWidth="1"/>
    <col min="53" max="53" width="11.42578125" style="3" customWidth="1"/>
    <col min="54" max="57" width="9" style="3"/>
    <col min="58" max="58" width="10.42578125" style="3" customWidth="1"/>
    <col min="59" max="59" width="10.28515625" style="3" bestFit="1" customWidth="1"/>
    <col min="60" max="63" width="9" style="3"/>
    <col min="64" max="64" width="12.42578125" style="3" customWidth="1"/>
    <col min="65" max="16384" width="9" style="3"/>
  </cols>
  <sheetData>
    <row r="1" spans="1:91" ht="12" thickBot="1" x14ac:dyDescent="0.3"/>
    <row r="2" spans="1:91" s="1" customFormat="1" x14ac:dyDescent="0.2">
      <c r="A2" s="43" t="s">
        <v>50</v>
      </c>
      <c r="B2" s="15" t="s">
        <v>27</v>
      </c>
      <c r="C2" s="50">
        <v>397144.12</v>
      </c>
    </row>
    <row r="3" spans="1:91" s="1" customFormat="1" ht="12" thickBot="1" x14ac:dyDescent="0.25">
      <c r="A3" s="44">
        <v>86.289900000000003</v>
      </c>
      <c r="B3" s="15" t="s">
        <v>28</v>
      </c>
      <c r="C3" s="50">
        <v>10778.95</v>
      </c>
    </row>
    <row r="4" spans="1:91" s="8" customFormat="1" ht="12" thickBot="1" x14ac:dyDescent="0.25">
      <c r="A4" s="45"/>
      <c r="B4" s="15" t="s">
        <v>25</v>
      </c>
      <c r="C4" s="51">
        <v>0</v>
      </c>
    </row>
    <row r="5" spans="1:91" s="6" customFormat="1" x14ac:dyDescent="0.2">
      <c r="A5" s="43" t="s">
        <v>51</v>
      </c>
      <c r="B5" s="49" t="s">
        <v>26</v>
      </c>
      <c r="C5" s="52">
        <f>SUM(C2:C4)</f>
        <v>407923.07</v>
      </c>
    </row>
    <row r="6" spans="1:91" s="6" customFormat="1" ht="12" thickBot="1" x14ac:dyDescent="0.25">
      <c r="A6" s="44">
        <v>73.138499999999993</v>
      </c>
      <c r="B6" s="16"/>
      <c r="C6" s="53"/>
      <c r="D6" s="17"/>
    </row>
    <row r="7" spans="1:91" s="6" customFormat="1" ht="12" thickBot="1" x14ac:dyDescent="0.25">
      <c r="A7" s="105" t="s">
        <v>51</v>
      </c>
      <c r="B7" s="18" t="s">
        <v>127</v>
      </c>
      <c r="C7" s="54">
        <f>SUM(E16:U16)</f>
        <v>14999731.8676</v>
      </c>
    </row>
    <row r="8" spans="1:91" x14ac:dyDescent="0.25">
      <c r="A8" s="43" t="s">
        <v>52</v>
      </c>
      <c r="B8" s="18" t="s">
        <v>126</v>
      </c>
      <c r="C8" s="54">
        <f>SUM(E25:U26)</f>
        <v>24484621.149242856</v>
      </c>
    </row>
    <row r="9" spans="1:91" ht="12" thickBot="1" x14ac:dyDescent="0.3">
      <c r="A9" s="44">
        <v>10.785500000000001</v>
      </c>
      <c r="B9" s="19" t="s">
        <v>64</v>
      </c>
      <c r="C9" s="55">
        <f>C5+C7-C8-C11</f>
        <v>-17840865.872762859</v>
      </c>
    </row>
    <row r="10" spans="1:91" x14ac:dyDescent="0.25">
      <c r="A10" s="99" t="s">
        <v>80</v>
      </c>
      <c r="B10" s="18" t="s">
        <v>23</v>
      </c>
      <c r="C10" s="56">
        <f>C16</f>
        <v>0</v>
      </c>
    </row>
    <row r="11" spans="1:91" x14ac:dyDescent="0.25">
      <c r="A11" s="101" t="s">
        <v>87</v>
      </c>
      <c r="B11" s="18" t="s">
        <v>24</v>
      </c>
      <c r="C11" s="54">
        <f>C26</f>
        <v>8763899.6611200012</v>
      </c>
    </row>
    <row r="12" spans="1:91" x14ac:dyDescent="0.25">
      <c r="A12" s="107" t="s">
        <v>88</v>
      </c>
    </row>
    <row r="13" spans="1:9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91" s="2" customFormat="1" x14ac:dyDescent="0.25">
      <c r="A14" s="64"/>
      <c r="B14" s="65"/>
      <c r="C14" s="58" t="s">
        <v>56</v>
      </c>
      <c r="D14" s="66"/>
      <c r="E14" s="66">
        <v>46157</v>
      </c>
      <c r="F14" s="66">
        <v>46158</v>
      </c>
      <c r="G14" s="66">
        <v>46159</v>
      </c>
      <c r="H14" s="66">
        <v>46160</v>
      </c>
      <c r="I14" s="66">
        <v>46161</v>
      </c>
      <c r="J14" s="66">
        <v>46162</v>
      </c>
      <c r="K14" s="66">
        <v>46163</v>
      </c>
      <c r="L14" s="66">
        <v>46164</v>
      </c>
      <c r="M14" s="66">
        <v>46165</v>
      </c>
      <c r="N14" s="66">
        <v>46166</v>
      </c>
      <c r="O14" s="66">
        <v>46167</v>
      </c>
      <c r="P14" s="66">
        <v>46168</v>
      </c>
      <c r="Q14" s="66">
        <v>46169</v>
      </c>
      <c r="R14" s="66">
        <v>46170</v>
      </c>
      <c r="S14" s="66">
        <v>46171</v>
      </c>
      <c r="T14" s="66">
        <v>46172</v>
      </c>
      <c r="U14" s="66">
        <v>46173</v>
      </c>
      <c r="V14" s="66">
        <v>46174</v>
      </c>
      <c r="W14" s="66">
        <v>46175</v>
      </c>
      <c r="X14" s="66">
        <v>46176</v>
      </c>
      <c r="Y14" s="66">
        <v>46177</v>
      </c>
      <c r="Z14" s="66">
        <v>46178</v>
      </c>
      <c r="AA14" s="66">
        <v>46179</v>
      </c>
      <c r="AB14" s="66">
        <v>46180</v>
      </c>
      <c r="AC14" s="66">
        <v>46181</v>
      </c>
      <c r="AD14" s="66">
        <v>46182</v>
      </c>
      <c r="AE14" s="66">
        <v>46183</v>
      </c>
      <c r="AF14" s="66">
        <v>46184</v>
      </c>
      <c r="AG14" s="66">
        <v>46185</v>
      </c>
      <c r="AH14" s="66">
        <v>46186</v>
      </c>
      <c r="AI14" s="66">
        <v>46187</v>
      </c>
      <c r="AJ14" s="66">
        <v>46188</v>
      </c>
      <c r="AK14" s="66">
        <v>46189</v>
      </c>
      <c r="AL14" s="66">
        <v>46190</v>
      </c>
      <c r="AM14" s="66">
        <v>46191</v>
      </c>
      <c r="AN14" s="66">
        <v>46192</v>
      </c>
      <c r="AO14" s="66">
        <v>46193</v>
      </c>
      <c r="AP14" s="66">
        <v>46194</v>
      </c>
      <c r="AQ14" s="66">
        <v>46195</v>
      </c>
      <c r="AR14" s="66">
        <v>46196</v>
      </c>
      <c r="AS14" s="66">
        <v>46197</v>
      </c>
      <c r="AT14" s="66">
        <v>46198</v>
      </c>
      <c r="AU14" s="66">
        <v>46199</v>
      </c>
      <c r="AV14" s="66">
        <v>46200</v>
      </c>
      <c r="AW14" s="66">
        <v>46201</v>
      </c>
      <c r="AX14" s="66">
        <v>46202</v>
      </c>
      <c r="AY14" s="66">
        <v>46203</v>
      </c>
      <c r="AZ14" s="66">
        <v>46204</v>
      </c>
      <c r="BA14" s="66">
        <v>46205</v>
      </c>
      <c r="BB14" s="66">
        <v>46206</v>
      </c>
      <c r="BC14" s="66">
        <v>46207</v>
      </c>
      <c r="BD14" s="66">
        <v>46208</v>
      </c>
      <c r="BE14" s="66">
        <v>46209</v>
      </c>
      <c r="BF14" s="66">
        <v>46210</v>
      </c>
      <c r="BG14" s="66">
        <v>46211</v>
      </c>
      <c r="BH14" s="66">
        <v>46212</v>
      </c>
      <c r="BI14" s="66">
        <v>46213</v>
      </c>
      <c r="BJ14" s="66">
        <v>46214</v>
      </c>
      <c r="BK14" s="66">
        <v>46215</v>
      </c>
      <c r="BL14" s="66">
        <v>46216</v>
      </c>
      <c r="BM14" s="66">
        <v>46217</v>
      </c>
      <c r="BN14" s="66">
        <v>46218</v>
      </c>
      <c r="BO14" s="66">
        <v>46219</v>
      </c>
      <c r="BP14" s="66">
        <v>46220</v>
      </c>
      <c r="BQ14" s="66">
        <v>46221</v>
      </c>
      <c r="BR14" s="66">
        <v>46222</v>
      </c>
      <c r="BS14" s="66">
        <v>46223</v>
      </c>
      <c r="BT14" s="66">
        <v>46224</v>
      </c>
      <c r="BU14" s="66">
        <v>46225</v>
      </c>
      <c r="BV14" s="66">
        <v>46226</v>
      </c>
      <c r="BW14" s="66">
        <v>46227</v>
      </c>
      <c r="BX14" s="66">
        <v>46228</v>
      </c>
      <c r="BY14" s="66">
        <v>46229</v>
      </c>
      <c r="BZ14" s="66">
        <v>46230</v>
      </c>
      <c r="CA14" s="66">
        <v>46231</v>
      </c>
      <c r="CB14" s="66">
        <v>46232</v>
      </c>
      <c r="CC14" s="66">
        <v>46233</v>
      </c>
      <c r="CD14" s="66">
        <v>46234</v>
      </c>
      <c r="CE14" s="66">
        <v>46235</v>
      </c>
      <c r="CF14" s="66">
        <v>46236</v>
      </c>
      <c r="CG14" s="66">
        <v>46237</v>
      </c>
      <c r="CH14" s="66">
        <v>46238</v>
      </c>
      <c r="CI14" s="66">
        <v>46239</v>
      </c>
      <c r="CJ14" s="66">
        <v>46240</v>
      </c>
      <c r="CK14" s="66">
        <v>46241</v>
      </c>
      <c r="CL14" s="66">
        <v>46242</v>
      </c>
      <c r="CM14" s="66">
        <v>46243</v>
      </c>
    </row>
    <row r="15" spans="1:9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</row>
    <row r="16" spans="1:91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O16" si="0">SUM(E17:E25)</f>
        <v>0</v>
      </c>
      <c r="F16" s="135">
        <f t="shared" si="0"/>
        <v>0</v>
      </c>
      <c r="G16" s="135">
        <f t="shared" si="0"/>
        <v>0</v>
      </c>
      <c r="H16" s="29">
        <f t="shared" si="0"/>
        <v>7037500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7882500</v>
      </c>
      <c r="M16" s="135">
        <f t="shared" si="0"/>
        <v>0</v>
      </c>
      <c r="N16" s="135">
        <f t="shared" si="0"/>
        <v>0</v>
      </c>
      <c r="O16" s="29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79731.867599999998</v>
      </c>
      <c r="S16" s="29">
        <f t="shared" si="0"/>
        <v>0</v>
      </c>
      <c r="T16" s="135">
        <f t="shared" si="0"/>
        <v>0</v>
      </c>
      <c r="U16" s="135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135">
        <f t="shared" si="0"/>
        <v>0</v>
      </c>
      <c r="AB16" s="135">
        <f t="shared" si="0"/>
        <v>0</v>
      </c>
      <c r="AC16" s="29">
        <f t="shared" si="0"/>
        <v>3020146.5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135">
        <f t="shared" si="0"/>
        <v>0</v>
      </c>
      <c r="AI16" s="135">
        <f t="shared" si="0"/>
        <v>0</v>
      </c>
      <c r="AJ16" s="29">
        <f t="shared" si="0"/>
        <v>0</v>
      </c>
      <c r="AK16" s="29">
        <f t="shared" si="0"/>
        <v>0</v>
      </c>
      <c r="AL16" s="29">
        <f t="shared" si="0"/>
        <v>0</v>
      </c>
      <c r="AM16" s="29">
        <f t="shared" si="0"/>
        <v>8291078.7516000001</v>
      </c>
      <c r="AN16" s="29">
        <f t="shared" si="0"/>
        <v>0</v>
      </c>
      <c r="AO16" s="135">
        <f t="shared" si="0"/>
        <v>0</v>
      </c>
      <c r="AP16" s="135">
        <f t="shared" si="0"/>
        <v>0</v>
      </c>
      <c r="AQ16" s="29">
        <f t="shared" si="0"/>
        <v>0</v>
      </c>
      <c r="AR16" s="29">
        <f t="shared" si="0"/>
        <v>0</v>
      </c>
      <c r="AS16" s="29">
        <f t="shared" si="0"/>
        <v>0</v>
      </c>
      <c r="AT16" s="29">
        <f t="shared" si="0"/>
        <v>0</v>
      </c>
      <c r="AU16" s="29">
        <f t="shared" si="0"/>
        <v>0</v>
      </c>
      <c r="AV16" s="135">
        <f t="shared" si="0"/>
        <v>0</v>
      </c>
      <c r="AW16" s="135">
        <f t="shared" si="0"/>
        <v>0</v>
      </c>
      <c r="AX16" s="29">
        <f t="shared" si="0"/>
        <v>3071920.44</v>
      </c>
      <c r="AY16" s="29">
        <f t="shared" si="0"/>
        <v>0</v>
      </c>
      <c r="AZ16" s="29">
        <f t="shared" si="0"/>
        <v>0</v>
      </c>
      <c r="BA16" s="29">
        <f t="shared" si="0"/>
        <v>0</v>
      </c>
      <c r="BB16" s="29">
        <f t="shared" si="0"/>
        <v>0</v>
      </c>
      <c r="BC16" s="135">
        <f t="shared" si="0"/>
        <v>0</v>
      </c>
      <c r="BD16" s="135">
        <f t="shared" si="0"/>
        <v>0</v>
      </c>
      <c r="BE16" s="29">
        <f t="shared" si="0"/>
        <v>0</v>
      </c>
      <c r="BF16" s="29">
        <f t="shared" si="0"/>
        <v>3071920.44</v>
      </c>
      <c r="BG16" s="29">
        <f t="shared" si="0"/>
        <v>0</v>
      </c>
      <c r="BH16" s="29">
        <f t="shared" si="0"/>
        <v>0</v>
      </c>
      <c r="BI16" s="29">
        <f t="shared" si="0"/>
        <v>0</v>
      </c>
      <c r="BJ16" s="135">
        <f t="shared" si="0"/>
        <v>0</v>
      </c>
      <c r="BK16" s="135">
        <f t="shared" si="0"/>
        <v>0</v>
      </c>
      <c r="BL16" s="29">
        <f t="shared" si="0"/>
        <v>0</v>
      </c>
      <c r="BM16" s="29">
        <f t="shared" si="0"/>
        <v>0</v>
      </c>
      <c r="BN16" s="29">
        <f t="shared" si="0"/>
        <v>0</v>
      </c>
      <c r="BO16" s="29">
        <f t="shared" si="0"/>
        <v>0</v>
      </c>
      <c r="BP16" s="29">
        <f t="shared" ref="BP16:CM16" si="1">SUM(BP17:BP25)</f>
        <v>0</v>
      </c>
      <c r="BQ16" s="29">
        <f t="shared" si="1"/>
        <v>0</v>
      </c>
      <c r="BR16" s="29">
        <f t="shared" si="1"/>
        <v>0</v>
      </c>
      <c r="BS16" s="29">
        <f t="shared" si="1"/>
        <v>0</v>
      </c>
      <c r="BT16" s="29">
        <f t="shared" si="1"/>
        <v>0</v>
      </c>
      <c r="BU16" s="29">
        <f t="shared" si="1"/>
        <v>0</v>
      </c>
      <c r="BV16" s="29">
        <f t="shared" si="1"/>
        <v>0</v>
      </c>
      <c r="BW16" s="29">
        <f t="shared" si="1"/>
        <v>0</v>
      </c>
      <c r="BX16" s="29">
        <f t="shared" si="1"/>
        <v>0</v>
      </c>
      <c r="BY16" s="29">
        <f t="shared" si="1"/>
        <v>0</v>
      </c>
      <c r="BZ16" s="29">
        <f t="shared" si="1"/>
        <v>0</v>
      </c>
      <c r="CA16" s="29">
        <f t="shared" si="1"/>
        <v>0</v>
      </c>
      <c r="CB16" s="29">
        <f t="shared" si="1"/>
        <v>0</v>
      </c>
      <c r="CC16" s="29">
        <f t="shared" si="1"/>
        <v>0</v>
      </c>
      <c r="CD16" s="29">
        <f t="shared" si="1"/>
        <v>0</v>
      </c>
      <c r="CE16" s="29">
        <f t="shared" si="1"/>
        <v>0</v>
      </c>
      <c r="CF16" s="29">
        <f t="shared" si="1"/>
        <v>0</v>
      </c>
      <c r="CG16" s="29">
        <f t="shared" si="1"/>
        <v>0</v>
      </c>
      <c r="CH16" s="29">
        <f t="shared" si="1"/>
        <v>0</v>
      </c>
      <c r="CI16" s="29">
        <f t="shared" si="1"/>
        <v>0</v>
      </c>
      <c r="CJ16" s="29">
        <f t="shared" si="1"/>
        <v>0</v>
      </c>
      <c r="CK16" s="29">
        <f t="shared" si="1"/>
        <v>0</v>
      </c>
      <c r="CL16" s="29">
        <f t="shared" si="1"/>
        <v>0</v>
      </c>
      <c r="CM16" s="29">
        <f t="shared" si="1"/>
        <v>0</v>
      </c>
    </row>
    <row r="17" spans="1:9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</row>
    <row r="18" spans="1:91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</row>
    <row r="19" spans="1:91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</row>
    <row r="20" spans="1:91" s="80" customFormat="1" x14ac:dyDescent="0.25">
      <c r="A20" s="40" t="s">
        <v>12</v>
      </c>
      <c r="B20" s="21"/>
      <c r="C20" s="32"/>
      <c r="D20" s="30"/>
      <c r="F20" s="30"/>
      <c r="G20" s="30"/>
      <c r="H20" s="30">
        <v>7037500</v>
      </c>
      <c r="I20" s="30"/>
      <c r="J20" s="30"/>
      <c r="K20" s="30"/>
      <c r="L20" s="30">
        <v>7882500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</row>
    <row r="21" spans="1:91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>
        <f>924*A3</f>
        <v>79731.867599999998</v>
      </c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</row>
    <row r="22" spans="1:91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</row>
    <row r="23" spans="1:91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>
        <f>96084*A3</f>
        <v>8291078.7516000001</v>
      </c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</row>
    <row r="24" spans="1:91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T24" s="30"/>
      <c r="U24" s="30"/>
      <c r="V24" s="30"/>
      <c r="W24" s="30"/>
      <c r="X24" s="30"/>
      <c r="Y24" s="30"/>
      <c r="Z24" s="30"/>
      <c r="AA24" s="30"/>
      <c r="AB24" s="30"/>
      <c r="AC24" s="30">
        <f>35000*A3</f>
        <v>3020146.5</v>
      </c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>
        <f>35600*A3</f>
        <v>3071920.44</v>
      </c>
      <c r="AY24" s="30"/>
      <c r="AZ24" s="30"/>
      <c r="BA24" s="30"/>
      <c r="BB24" s="30"/>
      <c r="BC24" s="30"/>
      <c r="BD24" s="30"/>
      <c r="BE24" s="30"/>
      <c r="BF24" s="30">
        <f>35600*A3</f>
        <v>3071920.44</v>
      </c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</row>
    <row r="25" spans="1:91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</row>
    <row r="26" spans="1:91" s="4" customFormat="1" x14ac:dyDescent="0.2">
      <c r="A26" s="41" t="s">
        <v>1</v>
      </c>
      <c r="B26" s="22"/>
      <c r="C26" s="34">
        <f>SUM(C28:C77)</f>
        <v>8763899.6611200012</v>
      </c>
      <c r="D26" s="34"/>
      <c r="E26" s="34">
        <f t="shared" ref="E26:AJ26" si="2">SUM(E27:E78)</f>
        <v>370306</v>
      </c>
      <c r="F26" s="34">
        <f t="shared" si="2"/>
        <v>0</v>
      </c>
      <c r="G26" s="34">
        <f t="shared" si="2"/>
        <v>0</v>
      </c>
      <c r="H26" s="34">
        <f t="shared" si="2"/>
        <v>6198993.1901926398</v>
      </c>
      <c r="I26" s="34">
        <f t="shared" si="2"/>
        <v>1273094.5991666666</v>
      </c>
      <c r="J26" s="34">
        <f t="shared" si="2"/>
        <v>1577103.2136666668</v>
      </c>
      <c r="K26" s="34">
        <f t="shared" si="2"/>
        <v>2186490.6244588746</v>
      </c>
      <c r="L26" s="34">
        <f t="shared" si="2"/>
        <v>3614893.9552580039</v>
      </c>
      <c r="M26" s="34">
        <f t="shared" si="2"/>
        <v>0</v>
      </c>
      <c r="N26" s="34">
        <f t="shared" si="2"/>
        <v>0</v>
      </c>
      <c r="O26" s="34">
        <f t="shared" si="2"/>
        <v>2756669.916666667</v>
      </c>
      <c r="P26" s="34">
        <f t="shared" si="2"/>
        <v>262449.11450000003</v>
      </c>
      <c r="Q26" s="34">
        <f t="shared" si="2"/>
        <v>167167.72499999998</v>
      </c>
      <c r="R26" s="34">
        <f t="shared" si="2"/>
        <v>4483500.4478333341</v>
      </c>
      <c r="S26" s="34">
        <f t="shared" si="2"/>
        <v>1581452.3625</v>
      </c>
      <c r="T26" s="34">
        <f t="shared" si="2"/>
        <v>12500</v>
      </c>
      <c r="U26" s="34">
        <f t="shared" si="2"/>
        <v>0</v>
      </c>
      <c r="V26" s="34">
        <f t="shared" si="2"/>
        <v>470302.97950000002</v>
      </c>
      <c r="W26" s="34">
        <f t="shared" si="2"/>
        <v>128806</v>
      </c>
      <c r="X26" s="34">
        <f t="shared" si="2"/>
        <v>3801506</v>
      </c>
      <c r="Y26" s="34">
        <f t="shared" si="2"/>
        <v>183270</v>
      </c>
      <c r="Z26" s="34">
        <f t="shared" si="2"/>
        <v>2148208.5609999998</v>
      </c>
      <c r="AA26" s="34">
        <f t="shared" si="2"/>
        <v>0</v>
      </c>
      <c r="AB26" s="34">
        <f t="shared" si="2"/>
        <v>0</v>
      </c>
      <c r="AC26" s="34">
        <f t="shared" si="2"/>
        <v>510881.19374999998</v>
      </c>
      <c r="AD26" s="34">
        <f t="shared" si="2"/>
        <v>516230</v>
      </c>
      <c r="AE26" s="34">
        <f t="shared" si="2"/>
        <v>64750</v>
      </c>
      <c r="AF26" s="34">
        <f t="shared" si="2"/>
        <v>510600</v>
      </c>
      <c r="AG26" s="34">
        <f t="shared" si="2"/>
        <v>2316196.608</v>
      </c>
      <c r="AH26" s="34">
        <f t="shared" si="2"/>
        <v>0</v>
      </c>
      <c r="AI26" s="34">
        <f t="shared" si="2"/>
        <v>0</v>
      </c>
      <c r="AJ26" s="34">
        <f t="shared" si="2"/>
        <v>90000</v>
      </c>
      <c r="AK26" s="34">
        <f t="shared" ref="AK26:BP26" si="3">SUM(AK27:AK78)</f>
        <v>0</v>
      </c>
      <c r="AL26" s="34">
        <f t="shared" si="3"/>
        <v>0</v>
      </c>
      <c r="AM26" s="34">
        <f t="shared" si="3"/>
        <v>0</v>
      </c>
      <c r="AN26" s="34">
        <f t="shared" si="3"/>
        <v>0</v>
      </c>
      <c r="AO26" s="34">
        <f t="shared" si="3"/>
        <v>0</v>
      </c>
      <c r="AP26" s="34">
        <f t="shared" si="3"/>
        <v>0</v>
      </c>
      <c r="AQ26" s="34">
        <f t="shared" si="3"/>
        <v>0</v>
      </c>
      <c r="AR26" s="34">
        <f t="shared" si="3"/>
        <v>0</v>
      </c>
      <c r="AS26" s="34">
        <f t="shared" si="3"/>
        <v>0</v>
      </c>
      <c r="AT26" s="34">
        <f t="shared" si="3"/>
        <v>0</v>
      </c>
      <c r="AU26" s="34">
        <f t="shared" si="3"/>
        <v>0</v>
      </c>
      <c r="AV26" s="34">
        <f t="shared" si="3"/>
        <v>0</v>
      </c>
      <c r="AW26" s="34">
        <f t="shared" si="3"/>
        <v>0</v>
      </c>
      <c r="AX26" s="34">
        <f t="shared" si="3"/>
        <v>3228281.3333333335</v>
      </c>
      <c r="AY26" s="34">
        <f t="shared" si="3"/>
        <v>0</v>
      </c>
      <c r="AZ26" s="34">
        <f t="shared" si="3"/>
        <v>0</v>
      </c>
      <c r="BA26" s="34">
        <f t="shared" si="3"/>
        <v>746062.9</v>
      </c>
      <c r="BB26" s="34">
        <f t="shared" si="3"/>
        <v>0</v>
      </c>
      <c r="BC26" s="34">
        <f t="shared" si="3"/>
        <v>0</v>
      </c>
      <c r="BD26" s="34">
        <f t="shared" si="3"/>
        <v>0</v>
      </c>
      <c r="BE26" s="34">
        <f t="shared" si="3"/>
        <v>0</v>
      </c>
      <c r="BF26" s="34">
        <f t="shared" si="3"/>
        <v>0</v>
      </c>
      <c r="BG26" s="34">
        <f t="shared" si="3"/>
        <v>0</v>
      </c>
      <c r="BH26" s="34">
        <f t="shared" si="3"/>
        <v>0</v>
      </c>
      <c r="BI26" s="34">
        <f t="shared" si="3"/>
        <v>0</v>
      </c>
      <c r="BJ26" s="34">
        <f t="shared" si="3"/>
        <v>0</v>
      </c>
      <c r="BK26" s="34">
        <f t="shared" si="3"/>
        <v>0</v>
      </c>
      <c r="BL26" s="34">
        <f t="shared" si="3"/>
        <v>271506</v>
      </c>
      <c r="BM26" s="34">
        <f t="shared" si="3"/>
        <v>0</v>
      </c>
      <c r="BN26" s="34">
        <f t="shared" si="3"/>
        <v>0</v>
      </c>
      <c r="BO26" s="34">
        <f t="shared" si="3"/>
        <v>0</v>
      </c>
      <c r="BP26" s="34">
        <f t="shared" si="3"/>
        <v>0</v>
      </c>
      <c r="BQ26" s="34">
        <f t="shared" ref="BQ26:CM26" si="4">SUM(BQ27:BQ78)</f>
        <v>0</v>
      </c>
      <c r="BR26" s="34">
        <f t="shared" si="4"/>
        <v>0</v>
      </c>
      <c r="BS26" s="34">
        <f t="shared" si="4"/>
        <v>0</v>
      </c>
      <c r="BT26" s="34">
        <f t="shared" si="4"/>
        <v>0</v>
      </c>
      <c r="BU26" s="34">
        <f t="shared" si="4"/>
        <v>0</v>
      </c>
      <c r="BV26" s="34">
        <f t="shared" si="4"/>
        <v>0</v>
      </c>
      <c r="BW26" s="34">
        <f t="shared" si="4"/>
        <v>0</v>
      </c>
      <c r="BX26" s="34">
        <f t="shared" si="4"/>
        <v>0</v>
      </c>
      <c r="BY26" s="34">
        <f t="shared" si="4"/>
        <v>0</v>
      </c>
      <c r="BZ26" s="34">
        <f t="shared" si="4"/>
        <v>0</v>
      </c>
      <c r="CA26" s="34">
        <f t="shared" si="4"/>
        <v>0</v>
      </c>
      <c r="CB26" s="34">
        <f t="shared" si="4"/>
        <v>0</v>
      </c>
      <c r="CC26" s="34">
        <f t="shared" si="4"/>
        <v>0</v>
      </c>
      <c r="CD26" s="34">
        <f t="shared" si="4"/>
        <v>0</v>
      </c>
      <c r="CE26" s="34">
        <f t="shared" si="4"/>
        <v>0</v>
      </c>
      <c r="CF26" s="34">
        <f t="shared" si="4"/>
        <v>0</v>
      </c>
      <c r="CG26" s="34">
        <f t="shared" si="4"/>
        <v>0</v>
      </c>
      <c r="CH26" s="34">
        <f t="shared" si="4"/>
        <v>0</v>
      </c>
      <c r="CI26" s="34">
        <f t="shared" si="4"/>
        <v>0</v>
      </c>
      <c r="CJ26" s="34">
        <f t="shared" si="4"/>
        <v>0</v>
      </c>
      <c r="CK26" s="34">
        <f t="shared" si="4"/>
        <v>0</v>
      </c>
      <c r="CL26" s="34">
        <f t="shared" si="4"/>
        <v>0</v>
      </c>
      <c r="CM26" s="34">
        <f t="shared" si="4"/>
        <v>0</v>
      </c>
    </row>
    <row r="27" spans="1:91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</row>
    <row r="28" spans="1:91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</row>
    <row r="29" spans="1:91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</row>
    <row r="30" spans="1:91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>
        <f>8399365/3</f>
        <v>2799788.3333333335</v>
      </c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>
        <f>8399365/3</f>
        <v>2799788.3333333335</v>
      </c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</row>
    <row r="31" spans="1:91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90">
        <f>291375+137118</f>
        <v>428493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90">
        <f>291375+137118</f>
        <v>428493</v>
      </c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</row>
    <row r="32" spans="1:91" s="1" customFormat="1" x14ac:dyDescent="0.2">
      <c r="A32" s="36" t="s">
        <v>7</v>
      </c>
      <c r="B32" s="23" t="s">
        <v>8</v>
      </c>
      <c r="C32" s="60"/>
      <c r="D32" s="24"/>
      <c r="F32" s="24"/>
      <c r="G32" s="24"/>
      <c r="H32" s="24">
        <v>420000</v>
      </c>
      <c r="I32" s="24">
        <v>400000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</row>
    <row r="33" spans="1:91" s="1" customFormat="1" x14ac:dyDescent="0.2">
      <c r="A33" s="36" t="s">
        <v>118</v>
      </c>
      <c r="B33" s="23"/>
      <c r="C33" s="60"/>
      <c r="D33" s="24"/>
      <c r="E33" s="127">
        <v>271506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>
        <v>271506</v>
      </c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>
        <v>271506</v>
      </c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</row>
    <row r="34" spans="1:91" s="1" customFormat="1" x14ac:dyDescent="0.2">
      <c r="A34" s="36" t="s">
        <v>54</v>
      </c>
      <c r="B34" s="23"/>
      <c r="C34" s="60"/>
      <c r="D34" s="24"/>
      <c r="G34" s="24"/>
      <c r="H34" s="24">
        <v>100113.9</v>
      </c>
      <c r="I34" s="24"/>
      <c r="J34" s="24">
        <v>50000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</row>
    <row r="35" spans="1:91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>
        <v>200113.9</v>
      </c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>
        <v>200113.9</v>
      </c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</row>
    <row r="36" spans="1:91" s="1" customFormat="1" x14ac:dyDescent="0.2">
      <c r="A36" s="36" t="s">
        <v>53</v>
      </c>
      <c r="B36" s="23"/>
      <c r="C36" s="60"/>
      <c r="D36" s="24"/>
      <c r="E36" s="24"/>
      <c r="F36" s="24"/>
      <c r="G36" s="24"/>
      <c r="H36" s="24">
        <v>145949</v>
      </c>
      <c r="I36" s="24">
        <v>100000</v>
      </c>
      <c r="J36" s="24">
        <v>100000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>
        <v>545949</v>
      </c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>
        <v>545949</v>
      </c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</row>
    <row r="37" spans="1:91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</row>
    <row r="38" spans="1:91" s="71" customFormat="1" x14ac:dyDescent="0.2">
      <c r="A38" s="69" t="s">
        <v>14</v>
      </c>
      <c r="B38" s="25" t="s">
        <v>30</v>
      </c>
      <c r="C38" s="70"/>
      <c r="D38" s="24"/>
      <c r="E38" s="24"/>
      <c r="F38" s="24"/>
      <c r="G38" s="24"/>
      <c r="H38" s="100">
        <f>341779/2-50000</f>
        <v>120889.5</v>
      </c>
      <c r="J38" s="24"/>
      <c r="K38" s="100">
        <f>341779/2</f>
        <v>170889.5</v>
      </c>
      <c r="L38" s="100">
        <v>191379</v>
      </c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</row>
    <row r="39" spans="1:91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24"/>
      <c r="H39" s="100">
        <f t="shared" ref="H39:L39" si="5">156160/6</f>
        <v>26026.666666666668</v>
      </c>
      <c r="I39" s="100">
        <f t="shared" si="5"/>
        <v>26026.666666666668</v>
      </c>
      <c r="J39" s="100">
        <f t="shared" si="5"/>
        <v>26026.666666666668</v>
      </c>
      <c r="K39" s="100">
        <f t="shared" si="5"/>
        <v>26026.666666666668</v>
      </c>
      <c r="L39" s="100">
        <f t="shared" si="5"/>
        <v>26026.666666666668</v>
      </c>
      <c r="M39" s="24"/>
      <c r="N39" s="24"/>
      <c r="O39" s="100">
        <f>156160/6</f>
        <v>26026.666666666668</v>
      </c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</row>
    <row r="40" spans="1:91" s="71" customFormat="1" x14ac:dyDescent="0.2">
      <c r="A40" s="69" t="s">
        <v>117</v>
      </c>
      <c r="B40" s="25" t="s">
        <v>119</v>
      </c>
      <c r="C40" s="70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100">
        <v>691000</v>
      </c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</row>
    <row r="41" spans="1:91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100">
        <v>235200</v>
      </c>
      <c r="AA41" s="24"/>
      <c r="AB41" s="24"/>
      <c r="AC41" s="24"/>
      <c r="AD41" s="24"/>
      <c r="AE41" s="24"/>
      <c r="AF41" s="100">
        <v>510600</v>
      </c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</row>
    <row r="42" spans="1:91" s="71" customFormat="1" x14ac:dyDescent="0.2">
      <c r="A42" s="69" t="s">
        <v>17</v>
      </c>
      <c r="B42" s="25" t="s">
        <v>41</v>
      </c>
      <c r="C42" s="70">
        <f>1375000-500000-175000-50000-25000-25000-25000-50000-25000</f>
        <v>500000</v>
      </c>
      <c r="D42" s="24"/>
      <c r="E42" s="24"/>
      <c r="F42" s="24"/>
      <c r="G42" s="24"/>
      <c r="I42" s="142">
        <v>145000</v>
      </c>
      <c r="J42" s="129">
        <v>25000</v>
      </c>
      <c r="K42" s="129">
        <v>50000</v>
      </c>
      <c r="L42" s="129">
        <v>65000</v>
      </c>
      <c r="M42" s="24"/>
      <c r="N42" s="24"/>
      <c r="O42" s="129">
        <v>40000</v>
      </c>
      <c r="P42" s="129">
        <v>25000</v>
      </c>
      <c r="Q42" s="24"/>
      <c r="R42" s="24"/>
      <c r="S42" s="129">
        <v>150000</v>
      </c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</row>
    <row r="43" spans="1:91" s="71" customFormat="1" x14ac:dyDescent="0.2">
      <c r="A43" s="69" t="s">
        <v>15</v>
      </c>
      <c r="B43" s="25" t="s">
        <v>31</v>
      </c>
      <c r="C43" s="70">
        <f>1205448-25000-25000-25000-50000-50000-50000</f>
        <v>980448</v>
      </c>
      <c r="D43" s="24"/>
      <c r="F43" s="24"/>
      <c r="G43" s="24"/>
      <c r="H43" s="140">
        <f>195080/4</f>
        <v>48770</v>
      </c>
      <c r="J43" s="140">
        <f t="shared" ref="J43:Z43" si="6">195080/4</f>
        <v>48770</v>
      </c>
      <c r="L43" s="108">
        <v>65224</v>
      </c>
      <c r="M43" s="24"/>
      <c r="N43" s="24"/>
      <c r="O43" s="108">
        <f>45000+65224</f>
        <v>110224</v>
      </c>
      <c r="P43" s="108">
        <v>50000</v>
      </c>
      <c r="Q43" s="24"/>
      <c r="R43" s="140">
        <f t="shared" si="6"/>
        <v>48770</v>
      </c>
      <c r="S43" s="100">
        <v>516230</v>
      </c>
      <c r="T43" s="24"/>
      <c r="U43" s="24"/>
      <c r="V43" s="98">
        <f>515224/4</f>
        <v>128806</v>
      </c>
      <c r="W43" s="98">
        <f>515224/4</f>
        <v>128806</v>
      </c>
      <c r="X43" s="98">
        <f>515224/4</f>
        <v>128806</v>
      </c>
      <c r="Y43" s="98">
        <f>515224/4+54464</f>
        <v>183270</v>
      </c>
      <c r="Z43" s="140">
        <f t="shared" si="6"/>
        <v>48770</v>
      </c>
      <c r="AA43" s="24"/>
      <c r="AB43" s="24"/>
      <c r="AC43" s="24"/>
      <c r="AD43" s="100">
        <v>516230</v>
      </c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</row>
    <row r="44" spans="1:91" s="71" customFormat="1" x14ac:dyDescent="0.2">
      <c r="A44" s="69" t="s">
        <v>16</v>
      </c>
      <c r="B44" s="25" t="s">
        <v>32</v>
      </c>
      <c r="C44" s="70">
        <f>1122350-25000-25000-100000-50000-90000</f>
        <v>832350</v>
      </c>
      <c r="D44" s="24"/>
      <c r="E44" s="118">
        <v>25000</v>
      </c>
      <c r="F44" s="24"/>
      <c r="G44" s="24"/>
      <c r="H44" s="108">
        <v>100000</v>
      </c>
      <c r="I44" s="153">
        <v>150000</v>
      </c>
      <c r="J44" s="153">
        <v>100000</v>
      </c>
      <c r="K44" s="108">
        <v>100000</v>
      </c>
      <c r="L44" s="108">
        <v>150000</v>
      </c>
      <c r="M44" s="24"/>
      <c r="N44" s="24"/>
      <c r="O44" s="108">
        <f>172350+10000</f>
        <v>182350</v>
      </c>
      <c r="P44" s="108">
        <v>25000</v>
      </c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</row>
    <row r="45" spans="1:91" s="71" customFormat="1" x14ac:dyDescent="0.2">
      <c r="A45" s="69" t="s">
        <v>85</v>
      </c>
      <c r="B45" s="25" t="s">
        <v>47</v>
      </c>
      <c r="C45" s="70">
        <f>1535*A6</f>
        <v>112267.59749999999</v>
      </c>
      <c r="D45" s="24"/>
      <c r="F45" s="24"/>
      <c r="G45" s="24"/>
      <c r="H45" s="108">
        <f>250*$A$6</f>
        <v>18284.625</v>
      </c>
      <c r="I45" s="108">
        <f>645*$A$6</f>
        <v>47174.332499999997</v>
      </c>
      <c r="J45" s="108">
        <f>645*$A$6</f>
        <v>47174.332499999997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</row>
    <row r="46" spans="1:91" s="71" customFormat="1" x14ac:dyDescent="0.2">
      <c r="A46" s="69" t="s">
        <v>143</v>
      </c>
      <c r="B46" s="25" t="s">
        <v>45</v>
      </c>
      <c r="C46" s="24"/>
      <c r="D46" s="24"/>
      <c r="E46" s="28"/>
      <c r="F46" s="28"/>
      <c r="G46" s="28"/>
      <c r="H46" s="28"/>
      <c r="I46" s="28"/>
      <c r="J46" s="28"/>
      <c r="K46" s="28"/>
      <c r="L46" s="28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118">
        <f>188496*A9</f>
        <v>2033023.6080000002</v>
      </c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</row>
    <row r="47" spans="1:91" s="71" customFormat="1" x14ac:dyDescent="0.2">
      <c r="A47" s="69" t="s">
        <v>120</v>
      </c>
      <c r="B47" s="25" t="s">
        <v>121</v>
      </c>
      <c r="C47" s="120"/>
      <c r="D47" s="24"/>
      <c r="E47" s="24"/>
      <c r="F47" s="24"/>
      <c r="G47" s="24"/>
      <c r="H47" s="24"/>
      <c r="I47" s="24"/>
      <c r="J47" s="24"/>
      <c r="K47" s="24"/>
      <c r="M47" s="24"/>
      <c r="N47" s="24"/>
      <c r="O47" s="100">
        <v>507000</v>
      </c>
      <c r="P47" s="24"/>
      <c r="Q47" s="24"/>
      <c r="R47" s="100">
        <v>1014000</v>
      </c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</row>
    <row r="48" spans="1:91" s="73" customFormat="1" x14ac:dyDescent="0.2">
      <c r="A48" s="69" t="s">
        <v>22</v>
      </c>
      <c r="B48" s="25" t="s">
        <v>48</v>
      </c>
      <c r="C48" s="137"/>
      <c r="D48" s="72"/>
      <c r="E48" s="72"/>
      <c r="F48" s="72"/>
      <c r="G48" s="72"/>
      <c r="H48" s="72"/>
      <c r="I48" s="72"/>
      <c r="J48" s="72"/>
      <c r="K48" s="72"/>
      <c r="L48" s="138">
        <f>52206*A9</f>
        <v>563067.81300000008</v>
      </c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138">
        <f>52206*A9+2988*A6</f>
        <v>781605.65100000007</v>
      </c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</row>
    <row r="49" spans="1:91" s="73" customFormat="1" x14ac:dyDescent="0.2">
      <c r="A49" s="69" t="s">
        <v>108</v>
      </c>
      <c r="B49" s="25" t="s">
        <v>109</v>
      </c>
      <c r="C49" s="120"/>
      <c r="D49" s="72"/>
      <c r="E49" s="72"/>
      <c r="F49" s="72"/>
      <c r="G49" s="72"/>
      <c r="H49" s="72"/>
      <c r="I49" s="138">
        <v>33610.5</v>
      </c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</row>
    <row r="50" spans="1:91" s="71" customFormat="1" x14ac:dyDescent="0.2">
      <c r="A50" s="69" t="s">
        <v>36</v>
      </c>
      <c r="B50" s="25" t="s">
        <v>37</v>
      </c>
      <c r="C50" s="130"/>
      <c r="D50" s="24"/>
      <c r="E50" s="72"/>
      <c r="F50" s="24"/>
      <c r="G50" s="24"/>
      <c r="H50" s="100">
        <f>(2662*$A$6)/6</f>
        <v>32449.114499999996</v>
      </c>
      <c r="J50" s="100">
        <f t="shared" ref="J50:R50" si="7">(2662*$A$6)/6</f>
        <v>32449.114499999996</v>
      </c>
      <c r="L50" s="100">
        <f t="shared" si="7"/>
        <v>32449.114499999996</v>
      </c>
      <c r="M50" s="24"/>
      <c r="N50" s="24"/>
      <c r="O50" s="24"/>
      <c r="P50" s="100">
        <f t="shared" si="7"/>
        <v>32449.114499999996</v>
      </c>
      <c r="Q50" s="24"/>
      <c r="R50" s="100">
        <f t="shared" si="7"/>
        <v>32449.114499999996</v>
      </c>
      <c r="S50" s="24"/>
      <c r="T50" s="24"/>
      <c r="U50" s="24"/>
      <c r="V50" s="100">
        <f>(2662*A6)/6</f>
        <v>32449.114499999996</v>
      </c>
      <c r="W50" s="24"/>
      <c r="X50" s="24"/>
      <c r="Y50" s="24"/>
      <c r="Z50" s="24"/>
      <c r="AA50" s="24"/>
      <c r="AB50" s="24"/>
      <c r="AC50" s="100">
        <f>1037.5*A6</f>
        <v>75881.193749999991</v>
      </c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</row>
    <row r="51" spans="1:91" s="71" customFormat="1" x14ac:dyDescent="0.2">
      <c r="A51" s="69" t="s">
        <v>86</v>
      </c>
      <c r="B51" s="25" t="s">
        <v>35</v>
      </c>
      <c r="C51" s="70">
        <f>1700*A6+4050*A6-250*A6-445*A6</f>
        <v>369715.11749999999</v>
      </c>
      <c r="D51" s="77"/>
      <c r="E51" s="72"/>
      <c r="F51" s="24"/>
      <c r="G51" s="24"/>
      <c r="H51" s="108">
        <f>600*$A$6</f>
        <v>43883.1</v>
      </c>
      <c r="I51" s="108">
        <f>600*$A$6</f>
        <v>43883.1</v>
      </c>
      <c r="J51" s="108">
        <f>600*$A$6</f>
        <v>43883.1</v>
      </c>
      <c r="K51" s="108">
        <f>500*$A$6</f>
        <v>36569.25</v>
      </c>
      <c r="M51" s="24"/>
      <c r="N51" s="24"/>
      <c r="O51" s="108">
        <f>500*$A$6</f>
        <v>36569.25</v>
      </c>
      <c r="P51" s="24"/>
      <c r="Q51" s="108">
        <f>850*$A$6</f>
        <v>62167.724999999991</v>
      </c>
      <c r="R51" s="24"/>
      <c r="S51" s="108">
        <f>900*$A$6+525*A6</f>
        <v>104222.36249999999</v>
      </c>
      <c r="T51" s="24"/>
      <c r="U51" s="24"/>
      <c r="V51" s="100">
        <f>490*A6</f>
        <v>35837.864999999998</v>
      </c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</row>
    <row r="52" spans="1:91" s="71" customFormat="1" x14ac:dyDescent="0.2">
      <c r="A52" s="69" t="s">
        <v>29</v>
      </c>
      <c r="B52" s="25" t="s">
        <v>43</v>
      </c>
      <c r="C52" s="70">
        <f>439750-19750</f>
        <v>420000</v>
      </c>
      <c r="D52" s="24"/>
      <c r="E52" s="24"/>
      <c r="F52" s="24"/>
      <c r="G52" s="24"/>
      <c r="H52" s="95">
        <v>50000</v>
      </c>
      <c r="J52" s="95">
        <v>50000</v>
      </c>
      <c r="L52" s="95">
        <v>50000</v>
      </c>
      <c r="M52" s="24"/>
      <c r="N52" s="24"/>
      <c r="P52" s="95">
        <v>50000</v>
      </c>
      <c r="R52" s="95">
        <v>50000</v>
      </c>
      <c r="T52" s="24"/>
      <c r="U52" s="24"/>
      <c r="V52" s="95">
        <v>50000</v>
      </c>
      <c r="W52" s="24"/>
      <c r="X52" s="95">
        <v>25000</v>
      </c>
      <c r="Y52" s="24"/>
      <c r="Z52" s="95">
        <v>25000</v>
      </c>
      <c r="AA52" s="24"/>
      <c r="AB52" s="24"/>
      <c r="AC52" s="95">
        <v>25000</v>
      </c>
      <c r="AD52" s="24"/>
      <c r="AE52" s="95">
        <f>50000+14750</f>
        <v>64750</v>
      </c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</row>
    <row r="53" spans="1:91" s="71" customFormat="1" x14ac:dyDescent="0.2">
      <c r="A53" s="69" t="s">
        <v>141</v>
      </c>
      <c r="B53" s="25" t="s">
        <v>142</v>
      </c>
      <c r="C53" s="70"/>
      <c r="D53" s="24"/>
      <c r="E53" s="118">
        <v>20000</v>
      </c>
      <c r="F53" s="28"/>
      <c r="G53" s="28"/>
      <c r="H53" s="100">
        <v>17405.2</v>
      </c>
      <c r="I53" s="28"/>
      <c r="J53" s="28"/>
      <c r="K53" s="28"/>
      <c r="L53" s="28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</row>
    <row r="54" spans="1:91" s="71" customFormat="1" x14ac:dyDescent="0.2">
      <c r="A54" s="69" t="s">
        <v>146</v>
      </c>
      <c r="B54" s="25" t="s">
        <v>147</v>
      </c>
      <c r="C54" s="70"/>
      <c r="D54" s="24"/>
      <c r="E54" s="28"/>
      <c r="F54" s="28"/>
      <c r="G54" s="28"/>
      <c r="H54" s="28"/>
      <c r="I54" s="28"/>
      <c r="J54" s="28"/>
      <c r="K54" s="28"/>
      <c r="L54" s="28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100">
        <v>90000</v>
      </c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</row>
    <row r="55" spans="1:91" s="71" customFormat="1" x14ac:dyDescent="0.2">
      <c r="A55" s="69" t="s">
        <v>149</v>
      </c>
      <c r="B55" s="25" t="s">
        <v>148</v>
      </c>
      <c r="C55" s="70"/>
      <c r="D55" s="24"/>
      <c r="E55" s="28"/>
      <c r="F55" s="28"/>
      <c r="G55" s="28"/>
      <c r="H55" s="28"/>
      <c r="I55" s="158">
        <v>235600</v>
      </c>
      <c r="J55" s="28"/>
      <c r="K55" s="28"/>
      <c r="L55" s="28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100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</row>
    <row r="56" spans="1:91" s="71" customFormat="1" x14ac:dyDescent="0.2">
      <c r="A56" s="69" t="s">
        <v>124</v>
      </c>
      <c r="B56" s="25" t="s">
        <v>125</v>
      </c>
      <c r="C56" s="7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100">
        <v>203210</v>
      </c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</row>
    <row r="57" spans="1:91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</row>
    <row r="58" spans="1:91" s="71" customFormat="1" x14ac:dyDescent="0.2">
      <c r="A58" s="69" t="s">
        <v>90</v>
      </c>
      <c r="B58" s="25" t="s">
        <v>91</v>
      </c>
      <c r="C58" s="70">
        <f>1012000-100000</f>
        <v>912000</v>
      </c>
      <c r="D58" s="77"/>
      <c r="F58" s="28"/>
      <c r="G58" s="28"/>
      <c r="H58" s="129">
        <f>1012000-100000</f>
        <v>912000</v>
      </c>
      <c r="I58" s="28"/>
      <c r="J58" s="129">
        <v>1012000</v>
      </c>
      <c r="K58" s="28"/>
      <c r="L58" s="28"/>
      <c r="M58" s="28"/>
      <c r="N58" s="28"/>
      <c r="O58" s="28"/>
      <c r="P58" s="28"/>
      <c r="Q58" s="28"/>
      <c r="R58" s="28"/>
      <c r="S58" s="28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</row>
    <row r="59" spans="1:91" s="71" customFormat="1" x14ac:dyDescent="0.2">
      <c r="A59" s="69" t="s">
        <v>144</v>
      </c>
      <c r="B59" s="25" t="s">
        <v>145</v>
      </c>
      <c r="C59" s="70"/>
      <c r="D59" s="77"/>
      <c r="E59" s="28"/>
      <c r="F59" s="28"/>
      <c r="G59" s="28"/>
      <c r="H59" s="28"/>
      <c r="I59" s="28"/>
      <c r="J59" s="28"/>
      <c r="K59" s="28"/>
      <c r="L59" s="158">
        <f>2024.71*A3</f>
        <v>174712.02342900002</v>
      </c>
      <c r="M59" s="28"/>
      <c r="N59" s="28"/>
      <c r="O59" s="28"/>
      <c r="P59" s="28"/>
      <c r="Q59" s="28"/>
      <c r="R59" s="28"/>
      <c r="S59" s="28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</row>
    <row r="60" spans="1:91" s="71" customFormat="1" x14ac:dyDescent="0.2">
      <c r="A60" s="69" t="s">
        <v>138</v>
      </c>
      <c r="B60" s="25" t="s">
        <v>136</v>
      </c>
      <c r="C60" s="70"/>
      <c r="D60" s="77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4"/>
      <c r="U60" s="24"/>
      <c r="V60" s="24"/>
      <c r="W60" s="24"/>
      <c r="X60" s="24"/>
      <c r="Y60" s="24"/>
      <c r="Z60" s="100">
        <f>4260*A6</f>
        <v>311570.00999999995</v>
      </c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</row>
    <row r="61" spans="1:91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</row>
    <row r="62" spans="1:91" s="71" customFormat="1" x14ac:dyDescent="0.2">
      <c r="A62" s="151" t="s">
        <v>139</v>
      </c>
      <c r="B62" s="152" t="s">
        <v>114</v>
      </c>
      <c r="C62" s="70"/>
      <c r="D62" s="77"/>
      <c r="E62" s="24"/>
      <c r="F62" s="24"/>
      <c r="G62" s="24"/>
      <c r="H62" s="24"/>
      <c r="I62" s="28"/>
      <c r="J62" s="28"/>
      <c r="K62" s="28"/>
      <c r="L62" s="24"/>
      <c r="M62" s="28"/>
      <c r="N62" s="28"/>
      <c r="O62" s="100">
        <v>1732500</v>
      </c>
      <c r="P62" s="28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</row>
    <row r="63" spans="1:91" s="71" customFormat="1" x14ac:dyDescent="0.2">
      <c r="A63" s="69" t="s">
        <v>34</v>
      </c>
      <c r="B63" s="25" t="s">
        <v>45</v>
      </c>
      <c r="C63" s="70">
        <f>1014000-100000-100000+400-50000-25000-25000-25000-50000</f>
        <v>639400</v>
      </c>
      <c r="D63" s="77"/>
      <c r="E63" s="129">
        <v>53800</v>
      </c>
      <c r="F63" s="24"/>
      <c r="G63" s="24"/>
      <c r="H63" s="129">
        <v>85600</v>
      </c>
      <c r="I63" s="157">
        <v>75000</v>
      </c>
      <c r="K63" s="129">
        <v>25000</v>
      </c>
      <c r="L63" s="24"/>
      <c r="M63" s="24"/>
      <c r="N63" s="24"/>
      <c r="O63" s="129">
        <f>400000/5</f>
        <v>80000</v>
      </c>
      <c r="P63" s="129">
        <f t="shared" ref="P63:S63" si="8">400000/5</f>
        <v>80000</v>
      </c>
      <c r="Q63" s="129">
        <f t="shared" si="8"/>
        <v>80000</v>
      </c>
      <c r="R63" s="129">
        <f t="shared" si="8"/>
        <v>80000</v>
      </c>
      <c r="S63" s="129">
        <f t="shared" si="8"/>
        <v>80000</v>
      </c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</row>
    <row r="64" spans="1:91" s="71" customFormat="1" x14ac:dyDescent="0.2">
      <c r="A64" s="69" t="s">
        <v>128</v>
      </c>
      <c r="B64" s="25" t="s">
        <v>129</v>
      </c>
      <c r="C64" s="70"/>
      <c r="D64" s="77"/>
      <c r="F64" s="24"/>
      <c r="G64" s="24"/>
      <c r="H64" s="100">
        <v>17798.11</v>
      </c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</row>
    <row r="65" spans="1:91" s="71" customFormat="1" x14ac:dyDescent="0.2">
      <c r="A65" s="69" t="s">
        <v>101</v>
      </c>
      <c r="B65" s="25" t="s">
        <v>130</v>
      </c>
      <c r="C65" s="70"/>
      <c r="D65" s="77"/>
      <c r="F65" s="24"/>
      <c r="G65" s="24"/>
      <c r="H65" s="108">
        <v>10000</v>
      </c>
      <c r="J65" s="108">
        <f t="shared" ref="J65:L65" si="9">100000/4</f>
        <v>25000</v>
      </c>
      <c r="L65" s="108">
        <f t="shared" si="9"/>
        <v>25000</v>
      </c>
      <c r="M65" s="24"/>
      <c r="N65" s="24"/>
      <c r="O65" s="108">
        <v>20000</v>
      </c>
      <c r="P65" s="24"/>
      <c r="Q65" s="108">
        <f>100000/4</f>
        <v>25000</v>
      </c>
      <c r="R65" s="108">
        <v>15000</v>
      </c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</row>
    <row r="66" spans="1:91" s="71" customFormat="1" x14ac:dyDescent="0.2">
      <c r="A66" s="69" t="s">
        <v>134</v>
      </c>
      <c r="B66" s="25" t="s">
        <v>135</v>
      </c>
      <c r="C66" s="70"/>
      <c r="D66" s="77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</row>
    <row r="67" spans="1:91" s="71" customFormat="1" x14ac:dyDescent="0.2">
      <c r="A67" s="69" t="s">
        <v>38</v>
      </c>
      <c r="B67" s="25" t="s">
        <v>39</v>
      </c>
      <c r="C67" s="70"/>
      <c r="D67" s="24"/>
      <c r="F67" s="24"/>
      <c r="G67" s="24"/>
      <c r="H67" s="24"/>
      <c r="I67" s="100">
        <v>16800</v>
      </c>
      <c r="J67" s="100">
        <v>16800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</row>
    <row r="68" spans="1:91" s="71" customFormat="1" x14ac:dyDescent="0.2">
      <c r="A68" s="69" t="s">
        <v>74</v>
      </c>
      <c r="B68" s="25" t="s">
        <v>131</v>
      </c>
      <c r="C68" s="70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100">
        <v>22000</v>
      </c>
      <c r="P68" s="24"/>
      <c r="Q68" s="24"/>
      <c r="R68" s="100">
        <v>15000</v>
      </c>
      <c r="S68" s="143">
        <v>40000</v>
      </c>
      <c r="T68" s="100">
        <v>12500</v>
      </c>
      <c r="U68" s="24"/>
      <c r="V68" s="100">
        <v>20000</v>
      </c>
      <c r="W68" s="24"/>
      <c r="X68" s="100">
        <v>80000</v>
      </c>
      <c r="Y68" s="24"/>
      <c r="Z68" s="24"/>
      <c r="AA68" s="24"/>
      <c r="AB68" s="24"/>
      <c r="AC68" s="100">
        <v>20000</v>
      </c>
      <c r="AD68" s="24"/>
      <c r="AE68" s="24"/>
      <c r="AF68" s="24"/>
      <c r="AG68" s="100">
        <v>11667</v>
      </c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</row>
    <row r="69" spans="1:91" s="71" customFormat="1" x14ac:dyDescent="0.2">
      <c r="A69" s="69" t="s">
        <v>74</v>
      </c>
      <c r="B69" s="25" t="s">
        <v>83</v>
      </c>
      <c r="C69" s="70"/>
      <c r="D69" s="24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4"/>
      <c r="T69" s="24"/>
      <c r="U69" s="24"/>
      <c r="V69" s="24"/>
      <c r="W69" s="24"/>
      <c r="X69" s="114">
        <v>3567700</v>
      </c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</row>
    <row r="70" spans="1:91" s="73" customFormat="1" x14ac:dyDescent="0.2">
      <c r="A70" s="78"/>
      <c r="B70" s="79"/>
      <c r="C70" s="75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/>
      <c r="BZ70" s="72"/>
      <c r="CA70" s="72"/>
      <c r="CB70" s="72"/>
      <c r="CC70" s="72"/>
      <c r="CD70" s="72"/>
      <c r="CE70" s="72"/>
      <c r="CF70" s="72"/>
      <c r="CG70" s="72"/>
      <c r="CH70" s="72"/>
      <c r="CI70" s="72"/>
      <c r="CJ70" s="72"/>
      <c r="CK70" s="72"/>
      <c r="CL70" s="72"/>
      <c r="CM70" s="72"/>
    </row>
    <row r="71" spans="1:91" s="94" customFormat="1" ht="33.75" x14ac:dyDescent="0.2">
      <c r="A71" s="91" t="s">
        <v>60</v>
      </c>
      <c r="B71" s="92" t="s">
        <v>58</v>
      </c>
      <c r="C71" s="93">
        <v>248639.70012000017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3"/>
      <c r="CF71" s="93"/>
      <c r="CG71" s="93"/>
      <c r="CH71" s="93"/>
      <c r="CI71" s="93"/>
      <c r="CJ71" s="93"/>
      <c r="CK71" s="93"/>
      <c r="CL71" s="93"/>
      <c r="CM71" s="93"/>
    </row>
    <row r="72" spans="1:91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</row>
    <row r="73" spans="1:91" s="5" customFormat="1" x14ac:dyDescent="0.2">
      <c r="A73" s="36" t="s">
        <v>49</v>
      </c>
      <c r="B73" s="12"/>
      <c r="C73" s="13"/>
      <c r="D73" s="26"/>
      <c r="E73" s="13"/>
      <c r="F73" s="13"/>
      <c r="G73" s="13"/>
      <c r="H73" s="126">
        <f>1184471.02/0.77</f>
        <v>1538274.0519480519</v>
      </c>
      <c r="I73" s="13"/>
      <c r="J73" s="13"/>
      <c r="K73" s="126">
        <f>(1369064.01)/0.77</f>
        <v>1778005.2077922078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</row>
    <row r="74" spans="1:91" s="5" customFormat="1" x14ac:dyDescent="0.2">
      <c r="A74" s="36" t="s">
        <v>57</v>
      </c>
      <c r="B74" s="12"/>
      <c r="C74" s="68"/>
      <c r="D74" s="26"/>
      <c r="F74" s="13"/>
      <c r="G74" s="13"/>
      <c r="H74" s="139">
        <f>1933893.44/0.77</f>
        <v>2511549.9220779222</v>
      </c>
      <c r="I74" s="13"/>
      <c r="J74" s="13"/>
      <c r="K74" s="13"/>
      <c r="L74" s="139">
        <f>1749467.21/0.77</f>
        <v>2272035.3376623373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</row>
    <row r="75" spans="1:91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9">
        <v>390000</v>
      </c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</row>
    <row r="76" spans="1:91" s="5" customFormat="1" x14ac:dyDescent="0.2">
      <c r="A76" s="42"/>
      <c r="B76" s="12"/>
      <c r="C76" s="68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</row>
    <row r="77" spans="1:91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</row>
    <row r="78" spans="1:91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</row>
    <row r="79" spans="1:91" s="84" customFormat="1" x14ac:dyDescent="0.2">
      <c r="A79" s="81" t="s">
        <v>66</v>
      </c>
      <c r="B79" s="82"/>
      <c r="C79" s="63"/>
      <c r="D79" s="83"/>
      <c r="E79" s="83">
        <f>$C$5+E16-E26</f>
        <v>37617.070000000007</v>
      </c>
      <c r="F79" s="83">
        <f t="shared" ref="F79:AK79" si="10">E79+F16-F26</f>
        <v>37617.070000000007</v>
      </c>
      <c r="G79" s="83">
        <f t="shared" si="10"/>
        <v>37617.070000000007</v>
      </c>
      <c r="H79" s="83">
        <f t="shared" si="10"/>
        <v>876123.87980736047</v>
      </c>
      <c r="I79" s="83">
        <f t="shared" si="10"/>
        <v>-396970.71935930615</v>
      </c>
      <c r="J79" s="83">
        <f t="shared" si="10"/>
        <v>-1974073.9330259729</v>
      </c>
      <c r="K79" s="83">
        <f t="shared" si="10"/>
        <v>-4160564.5574848475</v>
      </c>
      <c r="L79" s="83">
        <f t="shared" si="10"/>
        <v>107041.4872571486</v>
      </c>
      <c r="M79" s="83">
        <f t="shared" si="10"/>
        <v>107041.4872571486</v>
      </c>
      <c r="N79" s="83">
        <f t="shared" si="10"/>
        <v>107041.4872571486</v>
      </c>
      <c r="O79" s="83">
        <f t="shared" si="10"/>
        <v>-2649628.4294095184</v>
      </c>
      <c r="P79" s="83">
        <f t="shared" si="10"/>
        <v>-2912077.5439095185</v>
      </c>
      <c r="Q79" s="83">
        <f t="shared" si="10"/>
        <v>-3079245.2689095186</v>
      </c>
      <c r="R79" s="83">
        <f t="shared" si="10"/>
        <v>-7483013.8491428532</v>
      </c>
      <c r="S79" s="83">
        <f t="shared" si="10"/>
        <v>-9064466.2116428539</v>
      </c>
      <c r="T79" s="83">
        <f t="shared" si="10"/>
        <v>-9076966.2116428539</v>
      </c>
      <c r="U79" s="83">
        <f t="shared" si="10"/>
        <v>-9076966.2116428539</v>
      </c>
      <c r="V79" s="83">
        <f t="shared" si="10"/>
        <v>-9547269.1911428533</v>
      </c>
      <c r="W79" s="83">
        <f t="shared" si="10"/>
        <v>-9676075.1911428533</v>
      </c>
      <c r="X79" s="83">
        <f t="shared" si="10"/>
        <v>-13477581.191142853</v>
      </c>
      <c r="Y79" s="83">
        <f t="shared" si="10"/>
        <v>-13660851.191142853</v>
      </c>
      <c r="Z79" s="83">
        <f t="shared" si="10"/>
        <v>-15809059.752142854</v>
      </c>
      <c r="AA79" s="83">
        <f t="shared" si="10"/>
        <v>-15809059.752142854</v>
      </c>
      <c r="AB79" s="83">
        <f t="shared" si="10"/>
        <v>-15809059.752142854</v>
      </c>
      <c r="AC79" s="83">
        <f t="shared" si="10"/>
        <v>-13299794.445892854</v>
      </c>
      <c r="AD79" s="83">
        <f t="shared" si="10"/>
        <v>-13816024.445892854</v>
      </c>
      <c r="AE79" s="83">
        <f t="shared" si="10"/>
        <v>-13880774.445892854</v>
      </c>
      <c r="AF79" s="83">
        <f t="shared" si="10"/>
        <v>-14391374.445892854</v>
      </c>
      <c r="AG79" s="83">
        <f t="shared" si="10"/>
        <v>-16707571.053892855</v>
      </c>
      <c r="AH79" s="83">
        <f t="shared" si="10"/>
        <v>-16707571.053892855</v>
      </c>
      <c r="AI79" s="83">
        <f t="shared" si="10"/>
        <v>-16707571.053892855</v>
      </c>
      <c r="AJ79" s="83">
        <f t="shared" si="10"/>
        <v>-16797571.053892855</v>
      </c>
      <c r="AK79" s="83">
        <f t="shared" si="10"/>
        <v>-16797571.053892855</v>
      </c>
      <c r="AL79" s="83">
        <f t="shared" ref="AL79:BQ79" si="11">AK79+AL16-AL26</f>
        <v>-16797571.053892855</v>
      </c>
      <c r="AM79" s="83">
        <f t="shared" si="11"/>
        <v>-8506492.3022928536</v>
      </c>
      <c r="AN79" s="83">
        <f t="shared" si="11"/>
        <v>-8506492.3022928536</v>
      </c>
      <c r="AO79" s="83">
        <f t="shared" si="11"/>
        <v>-8506492.3022928536</v>
      </c>
      <c r="AP79" s="83">
        <f t="shared" si="11"/>
        <v>-8506492.3022928536</v>
      </c>
      <c r="AQ79" s="83">
        <f t="shared" si="11"/>
        <v>-8506492.3022928536</v>
      </c>
      <c r="AR79" s="83">
        <f t="shared" si="11"/>
        <v>-8506492.3022928536</v>
      </c>
      <c r="AS79" s="83">
        <f t="shared" si="11"/>
        <v>-8506492.3022928536</v>
      </c>
      <c r="AT79" s="83">
        <f t="shared" si="11"/>
        <v>-8506492.3022928536</v>
      </c>
      <c r="AU79" s="83">
        <f t="shared" si="11"/>
        <v>-8506492.3022928536</v>
      </c>
      <c r="AV79" s="83">
        <f t="shared" si="11"/>
        <v>-8506492.3022928536</v>
      </c>
      <c r="AW79" s="83">
        <f t="shared" si="11"/>
        <v>-8506492.3022928536</v>
      </c>
      <c r="AX79" s="83">
        <f t="shared" si="11"/>
        <v>-8662853.1956261881</v>
      </c>
      <c r="AY79" s="83">
        <f t="shared" si="11"/>
        <v>-8662853.1956261881</v>
      </c>
      <c r="AZ79" s="83">
        <f t="shared" si="11"/>
        <v>-8662853.1956261881</v>
      </c>
      <c r="BA79" s="83">
        <f t="shared" si="11"/>
        <v>-9408916.0956261884</v>
      </c>
      <c r="BB79" s="83">
        <f t="shared" si="11"/>
        <v>-9408916.0956261884</v>
      </c>
      <c r="BC79" s="83">
        <f t="shared" si="11"/>
        <v>-9408916.0956261884</v>
      </c>
      <c r="BD79" s="83">
        <f t="shared" si="11"/>
        <v>-9408916.0956261884</v>
      </c>
      <c r="BE79" s="83">
        <f t="shared" si="11"/>
        <v>-9408916.0956261884</v>
      </c>
      <c r="BF79" s="83">
        <f t="shared" si="11"/>
        <v>-6336995.655626189</v>
      </c>
      <c r="BG79" s="83">
        <f t="shared" si="11"/>
        <v>-6336995.655626189</v>
      </c>
      <c r="BH79" s="83">
        <f t="shared" si="11"/>
        <v>-6336995.655626189</v>
      </c>
      <c r="BI79" s="83">
        <f t="shared" si="11"/>
        <v>-6336995.655626189</v>
      </c>
      <c r="BJ79" s="83">
        <f t="shared" si="11"/>
        <v>-6336995.655626189</v>
      </c>
      <c r="BK79" s="83">
        <f t="shared" si="11"/>
        <v>-6336995.655626189</v>
      </c>
      <c r="BL79" s="83">
        <f t="shared" si="11"/>
        <v>-6608501.655626189</v>
      </c>
      <c r="BM79" s="83">
        <f t="shared" si="11"/>
        <v>-6608501.655626189</v>
      </c>
      <c r="BN79" s="83">
        <f t="shared" si="11"/>
        <v>-6608501.655626189</v>
      </c>
      <c r="BO79" s="83">
        <f t="shared" si="11"/>
        <v>-6608501.655626189</v>
      </c>
      <c r="BP79" s="83">
        <f t="shared" si="11"/>
        <v>-6608501.655626189</v>
      </c>
      <c r="BQ79" s="83">
        <f t="shared" si="11"/>
        <v>-6608501.655626189</v>
      </c>
      <c r="BR79" s="83">
        <f t="shared" ref="BR79:CM79" si="12">BQ79+BR16-BR26</f>
        <v>-6608501.655626189</v>
      </c>
      <c r="BS79" s="83">
        <f t="shared" si="12"/>
        <v>-6608501.655626189</v>
      </c>
      <c r="BT79" s="83">
        <f t="shared" si="12"/>
        <v>-6608501.655626189</v>
      </c>
      <c r="BU79" s="83">
        <f t="shared" si="12"/>
        <v>-6608501.655626189</v>
      </c>
      <c r="BV79" s="83">
        <f t="shared" si="12"/>
        <v>-6608501.655626189</v>
      </c>
      <c r="BW79" s="83">
        <f t="shared" si="12"/>
        <v>-6608501.655626189</v>
      </c>
      <c r="BX79" s="83">
        <f t="shared" si="12"/>
        <v>-6608501.655626189</v>
      </c>
      <c r="BY79" s="83">
        <f t="shared" si="12"/>
        <v>-6608501.655626189</v>
      </c>
      <c r="BZ79" s="83">
        <f t="shared" si="12"/>
        <v>-6608501.655626189</v>
      </c>
      <c r="CA79" s="83">
        <f t="shared" si="12"/>
        <v>-6608501.655626189</v>
      </c>
      <c r="CB79" s="83">
        <f t="shared" si="12"/>
        <v>-6608501.655626189</v>
      </c>
      <c r="CC79" s="83">
        <f t="shared" si="12"/>
        <v>-6608501.655626189</v>
      </c>
      <c r="CD79" s="83">
        <f t="shared" si="12"/>
        <v>-6608501.655626189</v>
      </c>
      <c r="CE79" s="83">
        <f t="shared" si="12"/>
        <v>-6608501.655626189</v>
      </c>
      <c r="CF79" s="83">
        <f t="shared" si="12"/>
        <v>-6608501.655626189</v>
      </c>
      <c r="CG79" s="83">
        <f t="shared" si="12"/>
        <v>-6608501.655626189</v>
      </c>
      <c r="CH79" s="83">
        <f t="shared" si="12"/>
        <v>-6608501.655626189</v>
      </c>
      <c r="CI79" s="83">
        <f t="shared" si="12"/>
        <v>-6608501.655626189</v>
      </c>
      <c r="CJ79" s="83">
        <f t="shared" si="12"/>
        <v>-6608501.655626189</v>
      </c>
      <c r="CK79" s="83">
        <f t="shared" si="12"/>
        <v>-6608501.655626189</v>
      </c>
      <c r="CL79" s="83">
        <f t="shared" si="12"/>
        <v>-6608501.655626189</v>
      </c>
      <c r="CM79" s="83">
        <f t="shared" si="12"/>
        <v>-6608501.655626189</v>
      </c>
    </row>
    <row r="81" spans="1:91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</row>
    <row r="82" spans="1:91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</row>
    <row r="83" spans="1:91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</row>
    <row r="84" spans="1:91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</row>
    <row r="85" spans="1:91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</row>
    <row r="86" spans="1:91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</row>
    <row r="88" spans="1:91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86"/>
  <sheetViews>
    <sheetView workbookViewId="0">
      <selection activeCell="B31" sqref="B31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1.7109375" style="3" bestFit="1" customWidth="1"/>
    <col min="6" max="12" width="10.85546875" style="3" bestFit="1" customWidth="1"/>
    <col min="13" max="13" width="11.7109375" style="3" bestFit="1" customWidth="1"/>
    <col min="14" max="19" width="10.85546875" style="3" bestFit="1" customWidth="1"/>
    <col min="20" max="20" width="14" style="3" customWidth="1"/>
    <col min="21" max="21" width="12.85546875" style="3" customWidth="1"/>
    <col min="22" max="22" width="14.28515625" style="3" customWidth="1"/>
    <col min="23" max="23" width="12" style="3" customWidth="1"/>
    <col min="24" max="24" width="11" style="3" customWidth="1"/>
    <col min="25" max="25" width="11.85546875" style="3" customWidth="1"/>
    <col min="26" max="26" width="12.42578125" style="3" customWidth="1"/>
    <col min="27" max="27" width="14.85546875" style="3" customWidth="1"/>
    <col min="28" max="28" width="13" style="3" customWidth="1"/>
    <col min="29" max="29" width="12.7109375" style="3" customWidth="1"/>
    <col min="30" max="30" width="11.85546875" style="3" customWidth="1"/>
    <col min="31" max="31" width="13.140625" style="3" customWidth="1"/>
    <col min="32" max="32" width="11.7109375" style="3" customWidth="1"/>
    <col min="33" max="33" width="12.5703125" style="3" customWidth="1"/>
    <col min="34" max="34" width="15.7109375" style="3" customWidth="1"/>
    <col min="35" max="35" width="12.7109375" style="3" customWidth="1"/>
    <col min="36" max="37" width="12.85546875" style="3" customWidth="1"/>
    <col min="38" max="39" width="11.85546875" style="3" customWidth="1"/>
    <col min="40" max="40" width="13" style="3" customWidth="1"/>
    <col min="41" max="41" width="12.28515625" style="3" customWidth="1"/>
    <col min="42" max="42" width="12.140625" style="3" customWidth="1"/>
    <col min="43" max="43" width="11.140625" style="3" customWidth="1"/>
    <col min="44" max="44" width="12.7109375" style="3" customWidth="1"/>
    <col min="45" max="50" width="9" style="3"/>
    <col min="51" max="51" width="12" style="3" customWidth="1"/>
    <col min="52" max="52" width="11.140625" style="3" customWidth="1"/>
    <col min="53" max="53" width="10.28515625" style="3" customWidth="1"/>
    <col min="54" max="54" width="11.42578125" style="3" customWidth="1"/>
    <col min="55" max="58" width="9" style="3"/>
    <col min="59" max="59" width="10.42578125" style="3" customWidth="1"/>
    <col min="60" max="60" width="10.28515625" style="3" bestFit="1" customWidth="1"/>
    <col min="61" max="64" width="9" style="3"/>
    <col min="65" max="65" width="12.42578125" style="3" customWidth="1"/>
    <col min="66" max="16384" width="9" style="3"/>
  </cols>
  <sheetData>
    <row r="1" spans="1:92" ht="12" thickBot="1" x14ac:dyDescent="0.3"/>
    <row r="2" spans="1:92" s="1" customFormat="1" x14ac:dyDescent="0.2">
      <c r="A2" s="43" t="s">
        <v>50</v>
      </c>
      <c r="B2" s="15" t="s">
        <v>27</v>
      </c>
      <c r="C2" s="50">
        <v>789285.12</v>
      </c>
    </row>
    <row r="3" spans="1:92" s="1" customFormat="1" ht="12" thickBot="1" x14ac:dyDescent="0.25">
      <c r="A3" s="44">
        <v>85.901700000000005</v>
      </c>
      <c r="B3" s="15" t="s">
        <v>28</v>
      </c>
      <c r="C3" s="50">
        <v>10778.95</v>
      </c>
    </row>
    <row r="4" spans="1:92" s="8" customFormat="1" ht="12" thickBot="1" x14ac:dyDescent="0.25">
      <c r="A4" s="45"/>
      <c r="B4" s="15" t="s">
        <v>25</v>
      </c>
      <c r="C4" s="51">
        <v>0</v>
      </c>
    </row>
    <row r="5" spans="1:92" s="6" customFormat="1" x14ac:dyDescent="0.2">
      <c r="A5" s="43" t="s">
        <v>51</v>
      </c>
      <c r="B5" s="49" t="s">
        <v>26</v>
      </c>
      <c r="C5" s="52">
        <f>SUM(C2:C4)</f>
        <v>800064.07</v>
      </c>
    </row>
    <row r="6" spans="1:92" s="6" customFormat="1" ht="12" thickBot="1" x14ac:dyDescent="0.25">
      <c r="A6" s="44">
        <v>73.341999999999999</v>
      </c>
      <c r="B6" s="16"/>
      <c r="C6" s="53"/>
      <c r="D6" s="17"/>
    </row>
    <row r="7" spans="1:92" s="6" customFormat="1" ht="12" thickBot="1" x14ac:dyDescent="0.25">
      <c r="A7" s="105" t="s">
        <v>51</v>
      </c>
      <c r="B7" s="18" t="s">
        <v>127</v>
      </c>
      <c r="C7" s="54">
        <f>SUM(E16:V16)</f>
        <v>14999373.1708</v>
      </c>
    </row>
    <row r="8" spans="1:92" x14ac:dyDescent="0.25">
      <c r="A8" s="43" t="s">
        <v>52</v>
      </c>
      <c r="B8" s="18" t="s">
        <v>126</v>
      </c>
      <c r="C8" s="54">
        <f>SUM(E25:V26)</f>
        <v>24608827.696613852</v>
      </c>
    </row>
    <row r="9" spans="1:92" ht="12" thickBot="1" x14ac:dyDescent="0.3">
      <c r="A9" s="44">
        <v>10.7933</v>
      </c>
      <c r="B9" s="19" t="s">
        <v>64</v>
      </c>
      <c r="C9" s="55">
        <f>C5+C7-C8-C11</f>
        <v>-17799655.561933853</v>
      </c>
    </row>
    <row r="10" spans="1:92" x14ac:dyDescent="0.25">
      <c r="A10" s="99" t="s">
        <v>80</v>
      </c>
      <c r="B10" s="18" t="s">
        <v>23</v>
      </c>
      <c r="C10" s="56">
        <f>C16</f>
        <v>0</v>
      </c>
    </row>
    <row r="11" spans="1:92" x14ac:dyDescent="0.25">
      <c r="A11" s="101" t="s">
        <v>87</v>
      </c>
      <c r="B11" s="18" t="s">
        <v>24</v>
      </c>
      <c r="C11" s="54">
        <f>C26</f>
        <v>8990265.1061200015</v>
      </c>
    </row>
    <row r="12" spans="1:92" x14ac:dyDescent="0.25">
      <c r="A12" s="107" t="s">
        <v>88</v>
      </c>
    </row>
    <row r="13" spans="1:92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92" s="2" customFormat="1" x14ac:dyDescent="0.25">
      <c r="A14" s="64"/>
      <c r="B14" s="65"/>
      <c r="C14" s="58" t="s">
        <v>56</v>
      </c>
      <c r="D14" s="66"/>
      <c r="E14" s="66">
        <v>46156</v>
      </c>
      <c r="F14" s="66">
        <v>46157</v>
      </c>
      <c r="G14" s="66">
        <v>46158</v>
      </c>
      <c r="H14" s="66">
        <v>46159</v>
      </c>
      <c r="I14" s="66">
        <v>46160</v>
      </c>
      <c r="J14" s="66">
        <v>46161</v>
      </c>
      <c r="K14" s="66">
        <v>46162</v>
      </c>
      <c r="L14" s="66">
        <v>46163</v>
      </c>
      <c r="M14" s="66">
        <v>46164</v>
      </c>
      <c r="N14" s="66">
        <v>46165</v>
      </c>
      <c r="O14" s="66">
        <v>46166</v>
      </c>
      <c r="P14" s="66">
        <v>46167</v>
      </c>
      <c r="Q14" s="66">
        <v>46168</v>
      </c>
      <c r="R14" s="66">
        <v>46169</v>
      </c>
      <c r="S14" s="66">
        <v>46170</v>
      </c>
      <c r="T14" s="66">
        <v>46171</v>
      </c>
      <c r="U14" s="66">
        <v>46172</v>
      </c>
      <c r="V14" s="66">
        <v>46173</v>
      </c>
      <c r="W14" s="66">
        <v>46174</v>
      </c>
      <c r="X14" s="66">
        <v>46175</v>
      </c>
      <c r="Y14" s="66">
        <v>46176</v>
      </c>
      <c r="Z14" s="66">
        <v>46177</v>
      </c>
      <c r="AA14" s="66">
        <v>46178</v>
      </c>
      <c r="AB14" s="66">
        <v>46179</v>
      </c>
      <c r="AC14" s="66">
        <v>46180</v>
      </c>
      <c r="AD14" s="66">
        <v>46181</v>
      </c>
      <c r="AE14" s="66">
        <v>46182</v>
      </c>
      <c r="AF14" s="66">
        <v>46183</v>
      </c>
      <c r="AG14" s="66">
        <v>46184</v>
      </c>
      <c r="AH14" s="66">
        <v>46185</v>
      </c>
      <c r="AI14" s="66">
        <v>46186</v>
      </c>
      <c r="AJ14" s="66">
        <v>46187</v>
      </c>
      <c r="AK14" s="66">
        <v>46188</v>
      </c>
      <c r="AL14" s="66">
        <v>46189</v>
      </c>
      <c r="AM14" s="66">
        <v>46190</v>
      </c>
      <c r="AN14" s="66">
        <v>46191</v>
      </c>
      <c r="AO14" s="66">
        <v>46192</v>
      </c>
      <c r="AP14" s="66">
        <v>46193</v>
      </c>
      <c r="AQ14" s="66">
        <v>46194</v>
      </c>
      <c r="AR14" s="66">
        <v>46195</v>
      </c>
      <c r="AS14" s="66">
        <v>46196</v>
      </c>
      <c r="AT14" s="66">
        <v>46197</v>
      </c>
      <c r="AU14" s="66">
        <v>46198</v>
      </c>
      <c r="AV14" s="66">
        <v>46199</v>
      </c>
      <c r="AW14" s="66">
        <v>46200</v>
      </c>
      <c r="AX14" s="66">
        <v>46201</v>
      </c>
      <c r="AY14" s="66">
        <v>46202</v>
      </c>
      <c r="AZ14" s="66">
        <v>46203</v>
      </c>
      <c r="BA14" s="66">
        <v>46204</v>
      </c>
      <c r="BB14" s="66">
        <v>46205</v>
      </c>
      <c r="BC14" s="66">
        <v>46206</v>
      </c>
      <c r="BD14" s="66">
        <v>46207</v>
      </c>
      <c r="BE14" s="66">
        <v>46208</v>
      </c>
      <c r="BF14" s="66">
        <v>46209</v>
      </c>
      <c r="BG14" s="66">
        <v>46210</v>
      </c>
      <c r="BH14" s="66">
        <v>46211</v>
      </c>
      <c r="BI14" s="66">
        <v>46212</v>
      </c>
      <c r="BJ14" s="66">
        <v>46213</v>
      </c>
      <c r="BK14" s="66">
        <v>46214</v>
      </c>
      <c r="BL14" s="66">
        <v>46215</v>
      </c>
      <c r="BM14" s="66">
        <v>46216</v>
      </c>
      <c r="BN14" s="66">
        <v>46217</v>
      </c>
      <c r="BO14" s="66">
        <v>46218</v>
      </c>
      <c r="BP14" s="66">
        <v>46219</v>
      </c>
      <c r="BQ14" s="66">
        <v>46220</v>
      </c>
      <c r="BR14" s="66">
        <v>46221</v>
      </c>
      <c r="BS14" s="66">
        <v>46222</v>
      </c>
      <c r="BT14" s="66">
        <v>46223</v>
      </c>
      <c r="BU14" s="66">
        <v>46224</v>
      </c>
      <c r="BV14" s="66">
        <v>46225</v>
      </c>
      <c r="BW14" s="66">
        <v>46226</v>
      </c>
      <c r="BX14" s="66">
        <v>46227</v>
      </c>
      <c r="BY14" s="66">
        <v>46228</v>
      </c>
      <c r="BZ14" s="66">
        <v>46229</v>
      </c>
      <c r="CA14" s="66">
        <v>46230</v>
      </c>
      <c r="CB14" s="66">
        <v>46231</v>
      </c>
      <c r="CC14" s="66">
        <v>46232</v>
      </c>
      <c r="CD14" s="66">
        <v>46233</v>
      </c>
      <c r="CE14" s="66">
        <v>46234</v>
      </c>
      <c r="CF14" s="66">
        <v>46235</v>
      </c>
      <c r="CG14" s="66">
        <v>46236</v>
      </c>
      <c r="CH14" s="66">
        <v>46237</v>
      </c>
      <c r="CI14" s="66">
        <v>46238</v>
      </c>
      <c r="CJ14" s="66">
        <v>46239</v>
      </c>
      <c r="CK14" s="66">
        <v>46240</v>
      </c>
      <c r="CL14" s="66">
        <v>46241</v>
      </c>
      <c r="CM14" s="66">
        <v>46242</v>
      </c>
      <c r="CN14" s="66">
        <v>46243</v>
      </c>
    </row>
    <row r="15" spans="1:92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</row>
    <row r="16" spans="1:92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O16" si="0">SUM(E17:E25)</f>
        <v>0</v>
      </c>
      <c r="F16" s="29">
        <f t="shared" si="0"/>
        <v>7037500</v>
      </c>
      <c r="G16" s="135">
        <f t="shared" si="0"/>
        <v>0</v>
      </c>
      <c r="H16" s="135">
        <f t="shared" si="0"/>
        <v>0</v>
      </c>
      <c r="I16" s="29">
        <f t="shared" si="0"/>
        <v>7882500</v>
      </c>
      <c r="J16" s="29">
        <f t="shared" si="0"/>
        <v>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135">
        <f t="shared" si="0"/>
        <v>0</v>
      </c>
      <c r="O16" s="135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79373.170800000007</v>
      </c>
      <c r="T16" s="29">
        <f t="shared" si="0"/>
        <v>0</v>
      </c>
      <c r="U16" s="135">
        <f t="shared" si="0"/>
        <v>0</v>
      </c>
      <c r="V16" s="135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135">
        <f t="shared" si="0"/>
        <v>0</v>
      </c>
      <c r="AC16" s="135">
        <f t="shared" si="0"/>
        <v>0</v>
      </c>
      <c r="AD16" s="29">
        <f t="shared" si="0"/>
        <v>3006559.5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135">
        <f t="shared" si="0"/>
        <v>0</v>
      </c>
      <c r="AJ16" s="135">
        <f t="shared" si="0"/>
        <v>0</v>
      </c>
      <c r="AK16" s="29">
        <f t="shared" si="0"/>
        <v>0</v>
      </c>
      <c r="AL16" s="29">
        <f t="shared" si="0"/>
        <v>0</v>
      </c>
      <c r="AM16" s="29">
        <f t="shared" si="0"/>
        <v>0</v>
      </c>
      <c r="AN16" s="29">
        <f t="shared" si="0"/>
        <v>8253778.9428000003</v>
      </c>
      <c r="AO16" s="29">
        <f t="shared" si="0"/>
        <v>0</v>
      </c>
      <c r="AP16" s="135">
        <f t="shared" si="0"/>
        <v>0</v>
      </c>
      <c r="AQ16" s="135">
        <f t="shared" si="0"/>
        <v>0</v>
      </c>
      <c r="AR16" s="29">
        <f t="shared" si="0"/>
        <v>0</v>
      </c>
      <c r="AS16" s="29">
        <f t="shared" si="0"/>
        <v>0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135">
        <f t="shared" si="0"/>
        <v>0</v>
      </c>
      <c r="AX16" s="135">
        <f t="shared" si="0"/>
        <v>0</v>
      </c>
      <c r="AY16" s="29">
        <f t="shared" si="0"/>
        <v>3058100.52</v>
      </c>
      <c r="AZ16" s="29">
        <f t="shared" si="0"/>
        <v>0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135">
        <f t="shared" si="0"/>
        <v>0</v>
      </c>
      <c r="BE16" s="135">
        <f t="shared" si="0"/>
        <v>0</v>
      </c>
      <c r="BF16" s="29">
        <f t="shared" si="0"/>
        <v>0</v>
      </c>
      <c r="BG16" s="29">
        <f t="shared" si="0"/>
        <v>3058100.52</v>
      </c>
      <c r="BH16" s="29">
        <f t="shared" si="0"/>
        <v>0</v>
      </c>
      <c r="BI16" s="29">
        <f t="shared" si="0"/>
        <v>0</v>
      </c>
      <c r="BJ16" s="29">
        <f t="shared" si="0"/>
        <v>0</v>
      </c>
      <c r="BK16" s="135">
        <f t="shared" si="0"/>
        <v>0</v>
      </c>
      <c r="BL16" s="135">
        <f t="shared" si="0"/>
        <v>0</v>
      </c>
      <c r="BM16" s="29">
        <f t="shared" si="0"/>
        <v>0</v>
      </c>
      <c r="BN16" s="29">
        <f t="shared" si="0"/>
        <v>0</v>
      </c>
      <c r="BO16" s="29">
        <f t="shared" si="0"/>
        <v>0</v>
      </c>
      <c r="BP16" s="29">
        <f t="shared" ref="BP16:CN16" si="1">SUM(BP17:BP25)</f>
        <v>0</v>
      </c>
      <c r="BQ16" s="29">
        <f t="shared" si="1"/>
        <v>0</v>
      </c>
      <c r="BR16" s="29">
        <f t="shared" si="1"/>
        <v>0</v>
      </c>
      <c r="BS16" s="29">
        <f t="shared" si="1"/>
        <v>0</v>
      </c>
      <c r="BT16" s="29">
        <f t="shared" si="1"/>
        <v>0</v>
      </c>
      <c r="BU16" s="29">
        <f t="shared" si="1"/>
        <v>0</v>
      </c>
      <c r="BV16" s="29">
        <f t="shared" si="1"/>
        <v>0</v>
      </c>
      <c r="BW16" s="29">
        <f t="shared" si="1"/>
        <v>0</v>
      </c>
      <c r="BX16" s="29">
        <f t="shared" si="1"/>
        <v>0</v>
      </c>
      <c r="BY16" s="29">
        <f t="shared" si="1"/>
        <v>0</v>
      </c>
      <c r="BZ16" s="29">
        <f t="shared" si="1"/>
        <v>0</v>
      </c>
      <c r="CA16" s="29">
        <f t="shared" si="1"/>
        <v>0</v>
      </c>
      <c r="CB16" s="29">
        <f t="shared" si="1"/>
        <v>0</v>
      </c>
      <c r="CC16" s="29">
        <f t="shared" si="1"/>
        <v>0</v>
      </c>
      <c r="CD16" s="29">
        <f t="shared" si="1"/>
        <v>0</v>
      </c>
      <c r="CE16" s="29">
        <f t="shared" si="1"/>
        <v>0</v>
      </c>
      <c r="CF16" s="29">
        <f t="shared" si="1"/>
        <v>0</v>
      </c>
      <c r="CG16" s="29">
        <f t="shared" si="1"/>
        <v>0</v>
      </c>
      <c r="CH16" s="29">
        <f t="shared" si="1"/>
        <v>0</v>
      </c>
      <c r="CI16" s="29">
        <f t="shared" si="1"/>
        <v>0</v>
      </c>
      <c r="CJ16" s="29">
        <f t="shared" si="1"/>
        <v>0</v>
      </c>
      <c r="CK16" s="29">
        <f t="shared" si="1"/>
        <v>0</v>
      </c>
      <c r="CL16" s="29">
        <f t="shared" si="1"/>
        <v>0</v>
      </c>
      <c r="CM16" s="29">
        <f t="shared" si="1"/>
        <v>0</v>
      </c>
      <c r="CN16" s="29">
        <f t="shared" si="1"/>
        <v>0</v>
      </c>
    </row>
    <row r="17" spans="1:92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</row>
    <row r="18" spans="1:92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</row>
    <row r="19" spans="1:92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</row>
    <row r="20" spans="1:92" s="80" customFormat="1" x14ac:dyDescent="0.25">
      <c r="A20" s="40" t="s">
        <v>12</v>
      </c>
      <c r="B20" s="21"/>
      <c r="C20" s="32"/>
      <c r="D20" s="30"/>
      <c r="F20" s="30">
        <v>7037500</v>
      </c>
      <c r="G20" s="30"/>
      <c r="H20" s="30"/>
      <c r="I20" s="30">
        <v>7882500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</row>
    <row r="21" spans="1:92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>
        <f>924*A3</f>
        <v>79373.170800000007</v>
      </c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</row>
    <row r="22" spans="1:92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</row>
    <row r="23" spans="1:92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>
        <f>96084*A3</f>
        <v>8253778.9428000003</v>
      </c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</row>
    <row r="24" spans="1:92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U24" s="30"/>
      <c r="V24" s="30"/>
      <c r="W24" s="30"/>
      <c r="X24" s="30"/>
      <c r="Y24" s="30"/>
      <c r="Z24" s="30"/>
      <c r="AA24" s="30"/>
      <c r="AB24" s="30"/>
      <c r="AC24" s="30"/>
      <c r="AD24" s="30">
        <f>35000*A3</f>
        <v>3006559.5</v>
      </c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>
        <f>35600*A3</f>
        <v>3058100.52</v>
      </c>
      <c r="AZ24" s="30"/>
      <c r="BA24" s="30"/>
      <c r="BB24" s="30"/>
      <c r="BC24" s="30"/>
      <c r="BD24" s="30"/>
      <c r="BE24" s="30"/>
      <c r="BF24" s="30"/>
      <c r="BG24" s="30">
        <f>35600*A3</f>
        <v>3058100.52</v>
      </c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</row>
    <row r="25" spans="1:92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</row>
    <row r="26" spans="1:92" s="4" customFormat="1" x14ac:dyDescent="0.2">
      <c r="A26" s="41" t="s">
        <v>1</v>
      </c>
      <c r="B26" s="22"/>
      <c r="C26" s="34">
        <f>SUM(C28:C75)</f>
        <v>8990265.1061200015</v>
      </c>
      <c r="D26" s="34"/>
      <c r="E26" s="34">
        <f t="shared" ref="E26:AJ26" si="2">SUM(E27:E76)</f>
        <v>390024.38</v>
      </c>
      <c r="F26" s="34">
        <f t="shared" si="2"/>
        <v>2494544.8673333335</v>
      </c>
      <c r="G26" s="34">
        <f t="shared" si="2"/>
        <v>0</v>
      </c>
      <c r="H26" s="34">
        <f t="shared" si="2"/>
        <v>0</v>
      </c>
      <c r="I26" s="34">
        <f t="shared" si="2"/>
        <v>5793939.2413593074</v>
      </c>
      <c r="J26" s="34">
        <f t="shared" si="2"/>
        <v>1145516.4566666665</v>
      </c>
      <c r="K26" s="34">
        <f t="shared" si="2"/>
        <v>401341.26733333338</v>
      </c>
      <c r="L26" s="34">
        <f t="shared" si="2"/>
        <v>2015702.8744588746</v>
      </c>
      <c r="M26" s="34">
        <f t="shared" si="2"/>
        <v>3199300.4247956704</v>
      </c>
      <c r="N26" s="34">
        <f t="shared" si="2"/>
        <v>0</v>
      </c>
      <c r="O26" s="34">
        <f t="shared" si="2"/>
        <v>0</v>
      </c>
      <c r="P26" s="34">
        <f t="shared" si="2"/>
        <v>2740745</v>
      </c>
      <c r="Q26" s="34">
        <f t="shared" si="2"/>
        <v>162539.40066666668</v>
      </c>
      <c r="R26" s="34">
        <f t="shared" si="2"/>
        <v>192340.7</v>
      </c>
      <c r="S26" s="34">
        <f t="shared" si="2"/>
        <v>4433590.7340000002</v>
      </c>
      <c r="T26" s="34">
        <f t="shared" si="2"/>
        <v>1626742.35</v>
      </c>
      <c r="U26" s="34">
        <f t="shared" si="2"/>
        <v>12500</v>
      </c>
      <c r="V26" s="34">
        <f t="shared" si="2"/>
        <v>0</v>
      </c>
      <c r="W26" s="34">
        <f t="shared" si="2"/>
        <v>437953.58</v>
      </c>
      <c r="X26" s="34">
        <f t="shared" si="2"/>
        <v>128806</v>
      </c>
      <c r="Y26" s="34">
        <f t="shared" si="2"/>
        <v>3801506</v>
      </c>
      <c r="Z26" s="34">
        <f t="shared" si="2"/>
        <v>183270</v>
      </c>
      <c r="AA26" s="34">
        <f t="shared" si="2"/>
        <v>2150090.7357999999</v>
      </c>
      <c r="AB26" s="34">
        <f t="shared" si="2"/>
        <v>0</v>
      </c>
      <c r="AC26" s="34">
        <f t="shared" si="2"/>
        <v>0</v>
      </c>
      <c r="AD26" s="34">
        <f t="shared" si="2"/>
        <v>486092.32500000001</v>
      </c>
      <c r="AE26" s="34">
        <f t="shared" si="2"/>
        <v>516230</v>
      </c>
      <c r="AF26" s="34">
        <f t="shared" si="2"/>
        <v>0</v>
      </c>
      <c r="AG26" s="34">
        <f t="shared" si="2"/>
        <v>510600</v>
      </c>
      <c r="AH26" s="34">
        <f t="shared" si="2"/>
        <v>2317666.8767999997</v>
      </c>
      <c r="AI26" s="34">
        <f t="shared" si="2"/>
        <v>0</v>
      </c>
      <c r="AJ26" s="34">
        <f t="shared" si="2"/>
        <v>0</v>
      </c>
      <c r="AK26" s="34">
        <f t="shared" ref="AK26:BP26" si="3">SUM(AK27:AK76)</f>
        <v>0</v>
      </c>
      <c r="AL26" s="34">
        <f t="shared" si="3"/>
        <v>0</v>
      </c>
      <c r="AM26" s="34">
        <f t="shared" si="3"/>
        <v>0</v>
      </c>
      <c r="AN26" s="34">
        <f t="shared" si="3"/>
        <v>0</v>
      </c>
      <c r="AO26" s="34">
        <f t="shared" si="3"/>
        <v>0</v>
      </c>
      <c r="AP26" s="34">
        <f t="shared" si="3"/>
        <v>0</v>
      </c>
      <c r="AQ26" s="34">
        <f t="shared" si="3"/>
        <v>0</v>
      </c>
      <c r="AR26" s="34">
        <f t="shared" si="3"/>
        <v>0</v>
      </c>
      <c r="AS26" s="34">
        <f t="shared" si="3"/>
        <v>0</v>
      </c>
      <c r="AT26" s="34">
        <f t="shared" si="3"/>
        <v>0</v>
      </c>
      <c r="AU26" s="34">
        <f t="shared" si="3"/>
        <v>0</v>
      </c>
      <c r="AV26" s="34">
        <f t="shared" si="3"/>
        <v>0</v>
      </c>
      <c r="AW26" s="34">
        <f t="shared" si="3"/>
        <v>0</v>
      </c>
      <c r="AX26" s="34">
        <f t="shared" si="3"/>
        <v>0</v>
      </c>
      <c r="AY26" s="34">
        <f t="shared" si="3"/>
        <v>3228281.3333333335</v>
      </c>
      <c r="AZ26" s="34">
        <f t="shared" si="3"/>
        <v>0</v>
      </c>
      <c r="BA26" s="34">
        <f t="shared" si="3"/>
        <v>0</v>
      </c>
      <c r="BB26" s="34">
        <f t="shared" si="3"/>
        <v>746062.9</v>
      </c>
      <c r="BC26" s="34">
        <f t="shared" si="3"/>
        <v>0</v>
      </c>
      <c r="BD26" s="34">
        <f t="shared" si="3"/>
        <v>0</v>
      </c>
      <c r="BE26" s="34">
        <f t="shared" si="3"/>
        <v>0</v>
      </c>
      <c r="BF26" s="34">
        <f t="shared" si="3"/>
        <v>0</v>
      </c>
      <c r="BG26" s="34">
        <f t="shared" si="3"/>
        <v>0</v>
      </c>
      <c r="BH26" s="34">
        <f t="shared" si="3"/>
        <v>0</v>
      </c>
      <c r="BI26" s="34">
        <f t="shared" si="3"/>
        <v>0</v>
      </c>
      <c r="BJ26" s="34">
        <f t="shared" si="3"/>
        <v>0</v>
      </c>
      <c r="BK26" s="34">
        <f t="shared" si="3"/>
        <v>0</v>
      </c>
      <c r="BL26" s="34">
        <f t="shared" si="3"/>
        <v>0</v>
      </c>
      <c r="BM26" s="34">
        <f t="shared" si="3"/>
        <v>271506</v>
      </c>
      <c r="BN26" s="34">
        <f t="shared" si="3"/>
        <v>0</v>
      </c>
      <c r="BO26" s="34">
        <f t="shared" si="3"/>
        <v>0</v>
      </c>
      <c r="BP26" s="34">
        <f t="shared" si="3"/>
        <v>0</v>
      </c>
      <c r="BQ26" s="34">
        <f t="shared" ref="BQ26:CN26" si="4">SUM(BQ27:BQ76)</f>
        <v>0</v>
      </c>
      <c r="BR26" s="34">
        <f t="shared" si="4"/>
        <v>0</v>
      </c>
      <c r="BS26" s="34">
        <f t="shared" si="4"/>
        <v>0</v>
      </c>
      <c r="BT26" s="34">
        <f t="shared" si="4"/>
        <v>0</v>
      </c>
      <c r="BU26" s="34">
        <f t="shared" si="4"/>
        <v>0</v>
      </c>
      <c r="BV26" s="34">
        <f t="shared" si="4"/>
        <v>0</v>
      </c>
      <c r="BW26" s="34">
        <f t="shared" si="4"/>
        <v>0</v>
      </c>
      <c r="BX26" s="34">
        <f t="shared" si="4"/>
        <v>0</v>
      </c>
      <c r="BY26" s="34">
        <f t="shared" si="4"/>
        <v>0</v>
      </c>
      <c r="BZ26" s="34">
        <f t="shared" si="4"/>
        <v>0</v>
      </c>
      <c r="CA26" s="34">
        <f t="shared" si="4"/>
        <v>0</v>
      </c>
      <c r="CB26" s="34">
        <f t="shared" si="4"/>
        <v>0</v>
      </c>
      <c r="CC26" s="34">
        <f t="shared" si="4"/>
        <v>0</v>
      </c>
      <c r="CD26" s="34">
        <f t="shared" si="4"/>
        <v>0</v>
      </c>
      <c r="CE26" s="34">
        <f t="shared" si="4"/>
        <v>0</v>
      </c>
      <c r="CF26" s="34">
        <f t="shared" si="4"/>
        <v>0</v>
      </c>
      <c r="CG26" s="34">
        <f t="shared" si="4"/>
        <v>0</v>
      </c>
      <c r="CH26" s="34">
        <f t="shared" si="4"/>
        <v>0</v>
      </c>
      <c r="CI26" s="34">
        <f t="shared" si="4"/>
        <v>0</v>
      </c>
      <c r="CJ26" s="34">
        <f t="shared" si="4"/>
        <v>0</v>
      </c>
      <c r="CK26" s="34">
        <f t="shared" si="4"/>
        <v>0</v>
      </c>
      <c r="CL26" s="34">
        <f t="shared" si="4"/>
        <v>0</v>
      </c>
      <c r="CM26" s="34">
        <f t="shared" si="4"/>
        <v>0</v>
      </c>
      <c r="CN26" s="34">
        <f t="shared" si="4"/>
        <v>0</v>
      </c>
    </row>
    <row r="27" spans="1:92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</row>
    <row r="28" spans="1:92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</row>
    <row r="29" spans="1:92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</row>
    <row r="30" spans="1:92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>
        <f>8399365/3</f>
        <v>2799788.3333333335</v>
      </c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>
        <f>8399365/3</f>
        <v>2799788.3333333335</v>
      </c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</row>
    <row r="31" spans="1:92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90">
        <f>291375+137118</f>
        <v>428493</v>
      </c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90">
        <f>291375+137118</f>
        <v>428493</v>
      </c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</row>
    <row r="32" spans="1:92" s="1" customFormat="1" x14ac:dyDescent="0.2">
      <c r="A32" s="36" t="s">
        <v>7</v>
      </c>
      <c r="B32" s="23" t="s">
        <v>8</v>
      </c>
      <c r="C32" s="60"/>
      <c r="D32" s="24"/>
      <c r="E32" s="24"/>
      <c r="F32" s="24">
        <v>420000</v>
      </c>
      <c r="G32" s="24"/>
      <c r="H32" s="24"/>
      <c r="I32" s="24"/>
      <c r="J32" s="24">
        <v>400000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</row>
    <row r="33" spans="1:92" s="1" customFormat="1" x14ac:dyDescent="0.2">
      <c r="A33" s="36" t="s">
        <v>118</v>
      </c>
      <c r="B33" s="23"/>
      <c r="C33" s="60"/>
      <c r="D33" s="24"/>
      <c r="E33" s="24"/>
      <c r="F33" s="114">
        <v>271506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>
        <v>271506</v>
      </c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>
        <v>271506</v>
      </c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</row>
    <row r="34" spans="1:92" s="1" customFormat="1" x14ac:dyDescent="0.2">
      <c r="A34" s="36" t="s">
        <v>54</v>
      </c>
      <c r="B34" s="23"/>
      <c r="C34" s="60"/>
      <c r="D34" s="24"/>
      <c r="E34" s="24"/>
      <c r="F34" s="24">
        <v>100113.9</v>
      </c>
      <c r="H34" s="24"/>
      <c r="I34" s="24"/>
      <c r="J34" s="24"/>
      <c r="K34" s="24">
        <v>50000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</row>
    <row r="35" spans="1:92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>
        <v>200113.9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>
        <v>200113.9</v>
      </c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</row>
    <row r="36" spans="1:92" s="1" customFormat="1" x14ac:dyDescent="0.2">
      <c r="A36" s="36" t="s">
        <v>53</v>
      </c>
      <c r="B36" s="23"/>
      <c r="C36" s="60"/>
      <c r="D36" s="24"/>
      <c r="E36" s="118">
        <v>100000</v>
      </c>
      <c r="F36" s="24">
        <v>100000</v>
      </c>
      <c r="G36" s="24"/>
      <c r="H36" s="24"/>
      <c r="I36" s="24">
        <v>145949</v>
      </c>
      <c r="J36" s="24">
        <v>100000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>
        <v>545949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>
        <v>545949</v>
      </c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</row>
    <row r="37" spans="1:92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</row>
    <row r="38" spans="1:92" s="71" customFormat="1" x14ac:dyDescent="0.2">
      <c r="A38" s="69" t="s">
        <v>14</v>
      </c>
      <c r="B38" s="25" t="s">
        <v>30</v>
      </c>
      <c r="C38" s="70"/>
      <c r="D38" s="24"/>
      <c r="E38" s="118">
        <v>50000</v>
      </c>
      <c r="F38" s="100">
        <f>341779/2-50000</f>
        <v>120889.5</v>
      </c>
      <c r="G38" s="24"/>
      <c r="H38" s="24"/>
      <c r="I38" s="100">
        <f>341779/2</f>
        <v>170889.5</v>
      </c>
      <c r="J38" s="100">
        <v>191379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</row>
    <row r="39" spans="1:92" s="71" customFormat="1" x14ac:dyDescent="0.2">
      <c r="A39" s="69" t="s">
        <v>115</v>
      </c>
      <c r="B39" s="25" t="s">
        <v>116</v>
      </c>
      <c r="C39" s="70"/>
      <c r="D39" s="24"/>
      <c r="E39" s="24"/>
      <c r="F39" s="100">
        <f>156160/6</f>
        <v>26026.666666666668</v>
      </c>
      <c r="G39" s="24"/>
      <c r="H39" s="24"/>
      <c r="I39" s="100">
        <f t="shared" ref="I39:M39" si="5">156160/6</f>
        <v>26026.666666666668</v>
      </c>
      <c r="J39" s="100">
        <f t="shared" si="5"/>
        <v>26026.666666666668</v>
      </c>
      <c r="K39" s="100">
        <f t="shared" si="5"/>
        <v>26026.666666666668</v>
      </c>
      <c r="L39" s="100">
        <f t="shared" si="5"/>
        <v>26026.666666666668</v>
      </c>
      <c r="M39" s="100">
        <f t="shared" si="5"/>
        <v>26026.666666666668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</row>
    <row r="40" spans="1:92" s="71" customFormat="1" x14ac:dyDescent="0.2">
      <c r="A40" s="69" t="s">
        <v>117</v>
      </c>
      <c r="B40" s="25" t="s">
        <v>119</v>
      </c>
      <c r="C40" s="70"/>
      <c r="D40" s="24"/>
      <c r="E40" s="24"/>
      <c r="F40" s="28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100">
        <v>691000</v>
      </c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</row>
    <row r="41" spans="1:92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100">
        <v>235200</v>
      </c>
      <c r="AB41" s="24"/>
      <c r="AC41" s="24"/>
      <c r="AD41" s="24"/>
      <c r="AE41" s="24"/>
      <c r="AF41" s="24"/>
      <c r="AG41" s="100">
        <v>510600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</row>
    <row r="42" spans="1:92" s="71" customFormat="1" x14ac:dyDescent="0.2">
      <c r="A42" s="69" t="s">
        <v>17</v>
      </c>
      <c r="B42" s="25" t="s">
        <v>41</v>
      </c>
      <c r="C42" s="70">
        <f>1375000-500000-175000-50000-25000-25000-25000-50000-25000</f>
        <v>500000</v>
      </c>
      <c r="D42" s="24"/>
      <c r="F42" s="129">
        <v>65000</v>
      </c>
      <c r="G42" s="24"/>
      <c r="H42" s="24"/>
      <c r="J42" s="142">
        <v>145000</v>
      </c>
      <c r="K42" s="129">
        <v>25000</v>
      </c>
      <c r="L42" s="129">
        <v>50000</v>
      </c>
      <c r="M42" s="129">
        <v>65000</v>
      </c>
      <c r="N42" s="24"/>
      <c r="O42" s="24"/>
      <c r="P42" s="24"/>
      <c r="Q42" s="24"/>
      <c r="R42" s="24"/>
      <c r="S42" s="24"/>
      <c r="T42" s="129">
        <v>170000</v>
      </c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</row>
    <row r="43" spans="1:92" s="71" customFormat="1" x14ac:dyDescent="0.2">
      <c r="A43" s="69" t="s">
        <v>15</v>
      </c>
      <c r="B43" s="25" t="s">
        <v>31</v>
      </c>
      <c r="C43" s="70">
        <f>1205448-25000-25000-25000-50000-50000</f>
        <v>1030448</v>
      </c>
      <c r="D43" s="24"/>
      <c r="E43" s="118">
        <v>50000</v>
      </c>
      <c r="G43" s="24"/>
      <c r="H43" s="24"/>
      <c r="I43" s="140">
        <f>195080/4</f>
        <v>48770</v>
      </c>
      <c r="K43" s="140">
        <f t="shared" ref="K43:AA43" si="6">195080/4</f>
        <v>48770</v>
      </c>
      <c r="M43" s="108">
        <v>65224</v>
      </c>
      <c r="N43" s="24"/>
      <c r="O43" s="24"/>
      <c r="P43" s="108">
        <f>45000+65224</f>
        <v>110224</v>
      </c>
      <c r="Q43" s="108">
        <v>50000</v>
      </c>
      <c r="R43" s="24"/>
      <c r="S43" s="140">
        <f t="shared" si="6"/>
        <v>48770</v>
      </c>
      <c r="T43" s="100">
        <v>516230</v>
      </c>
      <c r="U43" s="24"/>
      <c r="V43" s="24"/>
      <c r="W43" s="98">
        <f>515224/4</f>
        <v>128806</v>
      </c>
      <c r="X43" s="98">
        <f>515224/4</f>
        <v>128806</v>
      </c>
      <c r="Y43" s="98">
        <f>515224/4</f>
        <v>128806</v>
      </c>
      <c r="Z43" s="98">
        <f>515224/4+54464</f>
        <v>183270</v>
      </c>
      <c r="AA43" s="140">
        <f t="shared" si="6"/>
        <v>48770</v>
      </c>
      <c r="AB43" s="24"/>
      <c r="AC43" s="24"/>
      <c r="AD43" s="24"/>
      <c r="AE43" s="100">
        <v>516230</v>
      </c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</row>
    <row r="44" spans="1:92" s="71" customFormat="1" x14ac:dyDescent="0.2">
      <c r="A44" s="69" t="s">
        <v>16</v>
      </c>
      <c r="B44" s="25" t="s">
        <v>32</v>
      </c>
      <c r="C44" s="70">
        <f>1122350-25000-25000-100000-50000</f>
        <v>922350</v>
      </c>
      <c r="D44" s="24"/>
      <c r="E44" s="118">
        <v>90000</v>
      </c>
      <c r="F44" s="108">
        <f>100000+50000</f>
        <v>150000</v>
      </c>
      <c r="G44" s="24"/>
      <c r="H44" s="24"/>
      <c r="I44" s="108">
        <v>100000</v>
      </c>
      <c r="J44" s="153">
        <v>100000</v>
      </c>
      <c r="K44" s="153">
        <v>100000</v>
      </c>
      <c r="L44" s="108">
        <v>100000</v>
      </c>
      <c r="M44" s="108">
        <v>100000</v>
      </c>
      <c r="N44" s="24"/>
      <c r="O44" s="24"/>
      <c r="P44" s="108">
        <f>172350+10000</f>
        <v>182350</v>
      </c>
      <c r="Q44" s="28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</row>
    <row r="45" spans="1:92" s="71" customFormat="1" x14ac:dyDescent="0.2">
      <c r="A45" s="69" t="s">
        <v>85</v>
      </c>
      <c r="B45" s="25" t="s">
        <v>47</v>
      </c>
      <c r="C45" s="70">
        <f>1980*A6</f>
        <v>145217.16</v>
      </c>
      <c r="D45" s="24"/>
      <c r="E45" s="118">
        <f>445*$A$6</f>
        <v>32637.19</v>
      </c>
      <c r="F45" s="108">
        <f>645*$A$6</f>
        <v>47305.59</v>
      </c>
      <c r="G45" s="24"/>
      <c r="H45" s="24"/>
      <c r="I45" s="108">
        <f>250*$A$6</f>
        <v>18335.5</v>
      </c>
      <c r="J45" s="108">
        <f>645*$A$6</f>
        <v>47305.59</v>
      </c>
      <c r="K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</row>
    <row r="46" spans="1:92" s="71" customFormat="1" x14ac:dyDescent="0.2">
      <c r="A46" s="69" t="s">
        <v>143</v>
      </c>
      <c r="B46" s="25" t="s">
        <v>45</v>
      </c>
      <c r="C46" s="24"/>
      <c r="D46" s="24"/>
      <c r="E46" s="28"/>
      <c r="F46" s="28"/>
      <c r="G46" s="28"/>
      <c r="H46" s="28"/>
      <c r="I46" s="28"/>
      <c r="J46" s="28"/>
      <c r="K46" s="28"/>
      <c r="L46" s="28"/>
      <c r="M46" s="28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118">
        <f>188496*A9</f>
        <v>2034493.8768</v>
      </c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</row>
    <row r="47" spans="1:92" s="71" customFormat="1" x14ac:dyDescent="0.2">
      <c r="A47" s="69" t="s">
        <v>120</v>
      </c>
      <c r="B47" s="25" t="s">
        <v>121</v>
      </c>
      <c r="C47" s="120"/>
      <c r="D47" s="24"/>
      <c r="E47" s="24"/>
      <c r="F47" s="24"/>
      <c r="G47" s="24"/>
      <c r="H47" s="24"/>
      <c r="I47" s="24"/>
      <c r="J47" s="24"/>
      <c r="K47" s="24"/>
      <c r="L47" s="24"/>
      <c r="N47" s="24"/>
      <c r="O47" s="24"/>
      <c r="P47" s="100">
        <v>507000</v>
      </c>
      <c r="Q47" s="24"/>
      <c r="R47" s="24"/>
      <c r="S47" s="100">
        <v>1014000</v>
      </c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</row>
    <row r="48" spans="1:92" s="73" customFormat="1" x14ac:dyDescent="0.2">
      <c r="A48" s="69" t="s">
        <v>22</v>
      </c>
      <c r="B48" s="25" t="s">
        <v>48</v>
      </c>
      <c r="C48" s="137"/>
      <c r="D48" s="72"/>
      <c r="E48" s="72"/>
      <c r="F48" s="72"/>
      <c r="G48" s="72"/>
      <c r="H48" s="72"/>
      <c r="I48" s="72"/>
      <c r="J48" s="72"/>
      <c r="K48" s="72"/>
      <c r="L48" s="72"/>
      <c r="M48" s="138">
        <f>52206*A9</f>
        <v>563475.01980000001</v>
      </c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138">
        <f>52206*A9+2988*A6</f>
        <v>782620.91580000008</v>
      </c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</row>
    <row r="49" spans="1:92" s="73" customFormat="1" x14ac:dyDescent="0.2">
      <c r="A49" s="69" t="s">
        <v>108</v>
      </c>
      <c r="B49" s="25" t="s">
        <v>109</v>
      </c>
      <c r="C49" s="120"/>
      <c r="D49" s="72"/>
      <c r="E49" s="72"/>
      <c r="F49" s="138">
        <v>33610.5</v>
      </c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  <c r="CN49" s="72"/>
    </row>
    <row r="50" spans="1:92" s="71" customFormat="1" x14ac:dyDescent="0.2">
      <c r="A50" s="69" t="s">
        <v>36</v>
      </c>
      <c r="B50" s="25" t="s">
        <v>37</v>
      </c>
      <c r="C50" s="130"/>
      <c r="D50" s="24"/>
      <c r="E50" s="24"/>
      <c r="F50" s="100">
        <f>(2662*A6)/6</f>
        <v>32539.400666666668</v>
      </c>
      <c r="G50" s="24"/>
      <c r="H50" s="24"/>
      <c r="I50" s="100">
        <f>(2662*$A$6)/6</f>
        <v>32539.400666666668</v>
      </c>
      <c r="K50" s="100">
        <f t="shared" ref="K50:S50" si="7">(2662*$A$6)/6</f>
        <v>32539.400666666668</v>
      </c>
      <c r="M50" s="100">
        <f t="shared" si="7"/>
        <v>32539.400666666668</v>
      </c>
      <c r="N50" s="24"/>
      <c r="O50" s="24"/>
      <c r="P50" s="24"/>
      <c r="Q50" s="100">
        <f t="shared" si="7"/>
        <v>32539.400666666668</v>
      </c>
      <c r="R50" s="24"/>
      <c r="S50" s="100">
        <f t="shared" si="7"/>
        <v>32539.400666666668</v>
      </c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100">
        <f>1037.5*A6</f>
        <v>76092.324999999997</v>
      </c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</row>
    <row r="51" spans="1:92" s="71" customFormat="1" x14ac:dyDescent="0.2">
      <c r="A51" s="69" t="s">
        <v>86</v>
      </c>
      <c r="B51" s="25" t="s">
        <v>35</v>
      </c>
      <c r="C51" s="70">
        <f>1700*A6+4050*A6-250*A6</f>
        <v>403381</v>
      </c>
      <c r="D51" s="77"/>
      <c r="E51" s="118">
        <f>445*$A$6</f>
        <v>32637.19</v>
      </c>
      <c r="G51" s="24"/>
      <c r="H51" s="24"/>
      <c r="I51" s="108">
        <f>600*$A$6</f>
        <v>44005.2</v>
      </c>
      <c r="J51" s="108">
        <f>600*$A$6</f>
        <v>44005.2</v>
      </c>
      <c r="K51" s="108">
        <f>600*$A$6</f>
        <v>44005.2</v>
      </c>
      <c r="L51" s="108">
        <f>500*$A$6</f>
        <v>36671</v>
      </c>
      <c r="N51" s="24"/>
      <c r="O51" s="24"/>
      <c r="P51" s="108">
        <f>500*$A$6</f>
        <v>36671</v>
      </c>
      <c r="Q51" s="24"/>
      <c r="R51" s="108">
        <f>850*$A$6</f>
        <v>62340.7</v>
      </c>
      <c r="S51" s="24"/>
      <c r="T51" s="108">
        <f>900*$A$6+525*A6</f>
        <v>104512.35</v>
      </c>
      <c r="U51" s="24"/>
      <c r="V51" s="24"/>
      <c r="W51" s="100">
        <f>490*A6</f>
        <v>35937.58</v>
      </c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</row>
    <row r="52" spans="1:92" s="71" customFormat="1" x14ac:dyDescent="0.2">
      <c r="A52" s="69" t="s">
        <v>29</v>
      </c>
      <c r="B52" s="25" t="s">
        <v>43</v>
      </c>
      <c r="C52" s="70">
        <v>439750</v>
      </c>
      <c r="D52" s="24"/>
      <c r="E52" s="156">
        <v>19750</v>
      </c>
      <c r="F52" s="95">
        <f>50000+14750</f>
        <v>64750</v>
      </c>
      <c r="G52" s="24"/>
      <c r="H52" s="24"/>
      <c r="I52" s="95">
        <v>50000</v>
      </c>
      <c r="K52" s="95">
        <v>50000</v>
      </c>
      <c r="M52" s="95">
        <v>50000</v>
      </c>
      <c r="N52" s="24"/>
      <c r="O52" s="24"/>
      <c r="P52" s="95">
        <v>50000</v>
      </c>
      <c r="R52" s="95">
        <v>50000</v>
      </c>
      <c r="S52" s="24"/>
      <c r="T52" s="95">
        <v>25000</v>
      </c>
      <c r="U52" s="24"/>
      <c r="V52" s="24"/>
      <c r="W52" s="95">
        <v>50000</v>
      </c>
      <c r="X52" s="24"/>
      <c r="Y52" s="95">
        <v>25000</v>
      </c>
      <c r="Z52" s="24"/>
      <c r="AA52" s="95">
        <v>25000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</row>
    <row r="53" spans="1:92" s="71" customFormat="1" x14ac:dyDescent="0.2">
      <c r="A53" s="69" t="s">
        <v>141</v>
      </c>
      <c r="B53" s="25" t="s">
        <v>142</v>
      </c>
      <c r="C53" s="70"/>
      <c r="D53" s="24"/>
      <c r="E53" s="28"/>
      <c r="F53" s="100">
        <v>37405.199999999997</v>
      </c>
      <c r="G53" s="28"/>
      <c r="H53" s="28"/>
      <c r="I53" s="28"/>
      <c r="J53" s="28"/>
      <c r="K53" s="28"/>
      <c r="L53" s="28"/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</row>
    <row r="54" spans="1:92" s="71" customFormat="1" x14ac:dyDescent="0.2">
      <c r="A54" s="69" t="s">
        <v>124</v>
      </c>
      <c r="B54" s="25" t="s">
        <v>125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100">
        <v>203210</v>
      </c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</row>
    <row r="55" spans="1:92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</row>
    <row r="56" spans="1:92" s="71" customFormat="1" x14ac:dyDescent="0.2">
      <c r="A56" s="69" t="s">
        <v>90</v>
      </c>
      <c r="B56" s="25" t="s">
        <v>91</v>
      </c>
      <c r="C56" s="70">
        <f>1012000-100000</f>
        <v>912000</v>
      </c>
      <c r="D56" s="77"/>
      <c r="E56" s="28"/>
      <c r="F56" s="129">
        <f>1012000-100000</f>
        <v>912000</v>
      </c>
      <c r="G56" s="28"/>
      <c r="H56" s="28"/>
      <c r="I56" s="129">
        <v>1012000</v>
      </c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</row>
    <row r="57" spans="1:92" s="71" customFormat="1" x14ac:dyDescent="0.2">
      <c r="A57" s="69" t="s">
        <v>138</v>
      </c>
      <c r="B57" s="25" t="s">
        <v>136</v>
      </c>
      <c r="C57" s="70"/>
      <c r="D57" s="7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4"/>
      <c r="V57" s="24"/>
      <c r="W57" s="24"/>
      <c r="X57" s="24"/>
      <c r="Y57" s="24"/>
      <c r="Z57" s="24"/>
      <c r="AA57" s="100">
        <f>4260*A6</f>
        <v>312436.92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</row>
    <row r="58" spans="1:92" s="71" customFormat="1" x14ac:dyDescent="0.2">
      <c r="A58" s="69" t="s">
        <v>102</v>
      </c>
      <c r="B58" s="25" t="s">
        <v>103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</row>
    <row r="59" spans="1:92" s="71" customFormat="1" x14ac:dyDescent="0.2">
      <c r="A59" s="151" t="s">
        <v>139</v>
      </c>
      <c r="B59" s="152" t="s">
        <v>114</v>
      </c>
      <c r="C59" s="70"/>
      <c r="D59" s="77"/>
      <c r="E59" s="28"/>
      <c r="F59" s="24"/>
      <c r="G59" s="24"/>
      <c r="H59" s="24"/>
      <c r="I59" s="24"/>
      <c r="J59" s="28"/>
      <c r="K59" s="28"/>
      <c r="L59" s="28"/>
      <c r="M59" s="24"/>
      <c r="N59" s="28"/>
      <c r="O59" s="28"/>
      <c r="P59" s="100">
        <v>1732500</v>
      </c>
      <c r="Q59" s="28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</row>
    <row r="60" spans="1:92" s="71" customFormat="1" x14ac:dyDescent="0.2">
      <c r="A60" s="69" t="s">
        <v>34</v>
      </c>
      <c r="B60" s="25" t="s">
        <v>45</v>
      </c>
      <c r="C60" s="70">
        <f>1014000-100000-100000+400-50000-25000-25000-25000-50000</f>
        <v>639400</v>
      </c>
      <c r="D60" s="77"/>
      <c r="F60" s="108">
        <v>53800</v>
      </c>
      <c r="G60" s="24"/>
      <c r="H60" s="24"/>
      <c r="I60" s="108">
        <v>85600</v>
      </c>
      <c r="J60" s="106">
        <v>75000</v>
      </c>
      <c r="L60" s="108">
        <v>25000</v>
      </c>
      <c r="M60" s="24"/>
      <c r="N60" s="24"/>
      <c r="O60" s="24"/>
      <c r="P60" s="108">
        <f>400000/5</f>
        <v>80000</v>
      </c>
      <c r="Q60" s="108">
        <f t="shared" ref="Q60:T60" si="8">400000/5</f>
        <v>80000</v>
      </c>
      <c r="R60" s="108">
        <f t="shared" si="8"/>
        <v>80000</v>
      </c>
      <c r="S60" s="108">
        <f t="shared" si="8"/>
        <v>80000</v>
      </c>
      <c r="T60" s="108">
        <f t="shared" si="8"/>
        <v>80000</v>
      </c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</row>
    <row r="61" spans="1:92" s="71" customFormat="1" x14ac:dyDescent="0.2">
      <c r="A61" s="69" t="s">
        <v>128</v>
      </c>
      <c r="B61" s="25" t="s">
        <v>129</v>
      </c>
      <c r="C61" s="70"/>
      <c r="D61" s="77"/>
      <c r="E61" s="28"/>
      <c r="F61" s="100">
        <v>17798.11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</row>
    <row r="62" spans="1:92" s="71" customFormat="1" x14ac:dyDescent="0.2">
      <c r="A62" s="69" t="s">
        <v>101</v>
      </c>
      <c r="B62" s="25" t="s">
        <v>130</v>
      </c>
      <c r="C62" s="70"/>
      <c r="D62" s="77"/>
      <c r="F62" s="108">
        <f>100000/4</f>
        <v>25000</v>
      </c>
      <c r="G62" s="24"/>
      <c r="H62" s="24"/>
      <c r="I62" s="108">
        <v>10000</v>
      </c>
      <c r="K62" s="108">
        <f t="shared" ref="K62:M62" si="9">100000/4</f>
        <v>25000</v>
      </c>
      <c r="M62" s="108">
        <f t="shared" si="9"/>
        <v>25000</v>
      </c>
      <c r="N62" s="24"/>
      <c r="O62" s="24"/>
      <c r="P62" s="108">
        <v>20000</v>
      </c>
      <c r="Q62" s="24"/>
      <c r="R62" s="24"/>
      <c r="S62" s="108">
        <v>15000</v>
      </c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</row>
    <row r="63" spans="1:92" s="71" customFormat="1" x14ac:dyDescent="0.2">
      <c r="A63" s="69" t="s">
        <v>134</v>
      </c>
      <c r="B63" s="25" t="s">
        <v>135</v>
      </c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</row>
    <row r="64" spans="1:92" s="71" customFormat="1" x14ac:dyDescent="0.2">
      <c r="A64" s="69" t="s">
        <v>38</v>
      </c>
      <c r="B64" s="25" t="s">
        <v>39</v>
      </c>
      <c r="C64" s="70"/>
      <c r="D64" s="24"/>
      <c r="E64" s="100">
        <v>15000</v>
      </c>
      <c r="F64" s="100">
        <v>16800</v>
      </c>
      <c r="G64" s="24"/>
      <c r="H64" s="24"/>
      <c r="I64" s="24"/>
      <c r="J64" s="100">
        <v>16800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</row>
    <row r="65" spans="1:92" s="71" customFormat="1" x14ac:dyDescent="0.2">
      <c r="A65" s="69" t="s">
        <v>74</v>
      </c>
      <c r="B65" s="25" t="s">
        <v>131</v>
      </c>
      <c r="C65" s="70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100">
        <v>22000</v>
      </c>
      <c r="Q65" s="24"/>
      <c r="R65" s="24"/>
      <c r="S65" s="100">
        <v>15000</v>
      </c>
      <c r="T65" s="143">
        <v>40000</v>
      </c>
      <c r="U65" s="100">
        <v>12500</v>
      </c>
      <c r="V65" s="24"/>
      <c r="W65" s="100">
        <v>20000</v>
      </c>
      <c r="X65" s="24"/>
      <c r="Y65" s="100">
        <v>80000</v>
      </c>
      <c r="Z65" s="24"/>
      <c r="AA65" s="24"/>
      <c r="AB65" s="24"/>
      <c r="AC65" s="24"/>
      <c r="AD65" s="100">
        <v>20000</v>
      </c>
      <c r="AE65" s="24"/>
      <c r="AF65" s="24"/>
      <c r="AG65" s="24"/>
      <c r="AH65" s="100">
        <v>11667</v>
      </c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</row>
    <row r="66" spans="1:92" s="71" customFormat="1" x14ac:dyDescent="0.2">
      <c r="A66" s="69" t="s">
        <v>74</v>
      </c>
      <c r="B66" s="25" t="s">
        <v>83</v>
      </c>
      <c r="C66" s="70"/>
      <c r="D66" s="24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4"/>
      <c r="U66" s="24"/>
      <c r="V66" s="24"/>
      <c r="W66" s="24"/>
      <c r="X66" s="24"/>
      <c r="Y66" s="114">
        <v>3567700</v>
      </c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</row>
    <row r="67" spans="1:92" s="73" customForma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  <c r="CI67" s="72"/>
      <c r="CJ67" s="72"/>
      <c r="CK67" s="72"/>
      <c r="CL67" s="72"/>
      <c r="CM67" s="72"/>
      <c r="CN67" s="72"/>
    </row>
    <row r="68" spans="1:92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/>
      <c r="BI68" s="93"/>
      <c r="BJ68" s="93"/>
      <c r="BK68" s="93"/>
      <c r="BL68" s="93"/>
      <c r="BM68" s="93"/>
      <c r="BN68" s="93"/>
      <c r="BO68" s="93"/>
      <c r="BP68" s="93"/>
      <c r="BQ68" s="93"/>
      <c r="BR68" s="93"/>
      <c r="BS68" s="93"/>
      <c r="BT68" s="93"/>
      <c r="BU68" s="93"/>
      <c r="BV68" s="93"/>
      <c r="BW68" s="93"/>
      <c r="BX68" s="93"/>
      <c r="BY68" s="93"/>
      <c r="BZ68" s="93"/>
      <c r="CA68" s="93"/>
      <c r="CB68" s="93"/>
      <c r="CC68" s="93"/>
      <c r="CD68" s="93"/>
      <c r="CE68" s="93"/>
      <c r="CF68" s="93"/>
      <c r="CG68" s="93"/>
      <c r="CH68" s="93"/>
      <c r="CI68" s="93"/>
      <c r="CJ68" s="93"/>
      <c r="CK68" s="93"/>
      <c r="CL68" s="93"/>
      <c r="CM68" s="93"/>
      <c r="CN68" s="93"/>
    </row>
    <row r="69" spans="1:92" s="94" customFormat="1" ht="33.75" x14ac:dyDescent="0.2">
      <c r="A69" s="91" t="s">
        <v>60</v>
      </c>
      <c r="B69" s="92" t="s">
        <v>59</v>
      </c>
      <c r="C69" s="93">
        <v>0</v>
      </c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3"/>
      <c r="BI69" s="93"/>
      <c r="BJ69" s="93"/>
      <c r="BK69" s="93"/>
      <c r="BL69" s="93"/>
      <c r="BM69" s="93"/>
      <c r="BN69" s="93"/>
      <c r="BO69" s="93"/>
      <c r="BP69" s="93"/>
      <c r="BQ69" s="93"/>
      <c r="BR69" s="93"/>
      <c r="BS69" s="93"/>
      <c r="BT69" s="93"/>
      <c r="BU69" s="93"/>
      <c r="BV69" s="93"/>
      <c r="BW69" s="93"/>
      <c r="BX69" s="93"/>
      <c r="BY69" s="93"/>
      <c r="BZ69" s="93"/>
      <c r="CA69" s="93"/>
      <c r="CB69" s="93"/>
      <c r="CC69" s="93"/>
      <c r="CD69" s="93"/>
      <c r="CE69" s="93"/>
      <c r="CF69" s="93"/>
      <c r="CG69" s="93"/>
      <c r="CH69" s="93"/>
      <c r="CI69" s="93"/>
      <c r="CJ69" s="93"/>
      <c r="CK69" s="93"/>
      <c r="CL69" s="93"/>
      <c r="CM69" s="93"/>
      <c r="CN69" s="93"/>
    </row>
    <row r="70" spans="1:92" s="5" customForma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</row>
    <row r="71" spans="1:92" s="5" customFormat="1" x14ac:dyDescent="0.2">
      <c r="A71" s="36" t="s">
        <v>49</v>
      </c>
      <c r="B71" s="12"/>
      <c r="C71" s="13"/>
      <c r="D71" s="26"/>
      <c r="E71" s="13"/>
      <c r="F71" s="13"/>
      <c r="G71" s="13"/>
      <c r="H71" s="13"/>
      <c r="I71" s="126">
        <f>1184471.02/0.77</f>
        <v>1538274.0519480519</v>
      </c>
      <c r="J71" s="13"/>
      <c r="K71" s="13"/>
      <c r="L71" s="126">
        <f>(1369064.01)/0.77</f>
        <v>1778005.2077922078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</row>
    <row r="72" spans="1:92" s="5" customFormat="1" x14ac:dyDescent="0.2">
      <c r="A72" s="36" t="s">
        <v>57</v>
      </c>
      <c r="B72" s="12"/>
      <c r="C72" s="68"/>
      <c r="D72" s="26"/>
      <c r="E72" s="13"/>
      <c r="G72" s="13"/>
      <c r="H72" s="13"/>
      <c r="I72" s="139">
        <f>1933893.44/0.77</f>
        <v>2511549.9220779222</v>
      </c>
      <c r="J72" s="13"/>
      <c r="K72" s="13"/>
      <c r="L72" s="13"/>
      <c r="M72" s="139">
        <f>1749467.21/0.77</f>
        <v>2272035.3376623373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</row>
    <row r="73" spans="1:92" s="5" customFormat="1" x14ac:dyDescent="0.2">
      <c r="A73" s="36" t="s">
        <v>61</v>
      </c>
      <c r="B73" s="12"/>
      <c r="C73" s="13">
        <v>112000</v>
      </c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9">
        <v>390000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</row>
    <row r="74" spans="1:92" s="5" customFormat="1" x14ac:dyDescent="0.2">
      <c r="A74" s="42"/>
      <c r="B74" s="12"/>
      <c r="C74" s="68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</row>
    <row r="75" spans="1:92" s="5" customFormat="1" x14ac:dyDescent="0.2">
      <c r="A75" s="36" t="s">
        <v>72</v>
      </c>
      <c r="B75" s="27" t="s">
        <v>73</v>
      </c>
      <c r="C75" s="62">
        <v>3637079.2460000003</v>
      </c>
      <c r="D75" s="35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</row>
    <row r="76" spans="1:92" s="5" customFormat="1" x14ac:dyDescent="0.2">
      <c r="A76" s="42"/>
      <c r="B76" s="12"/>
      <c r="C76" s="61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</row>
    <row r="77" spans="1:92" s="84" customFormat="1" x14ac:dyDescent="0.2">
      <c r="A77" s="81" t="s">
        <v>66</v>
      </c>
      <c r="B77" s="82"/>
      <c r="C77" s="63"/>
      <c r="D77" s="83"/>
      <c r="E77" s="83">
        <f>$C$5+E16-E26</f>
        <v>410039.68999999994</v>
      </c>
      <c r="F77" s="83">
        <f t="shared" ref="F77:AK77" si="10">E77+F16-F26</f>
        <v>4952994.8226666655</v>
      </c>
      <c r="G77" s="83">
        <f t="shared" si="10"/>
        <v>4952994.8226666655</v>
      </c>
      <c r="H77" s="83">
        <f t="shared" si="10"/>
        <v>4952994.8226666655</v>
      </c>
      <c r="I77" s="83">
        <f t="shared" si="10"/>
        <v>7041555.5813073581</v>
      </c>
      <c r="J77" s="83">
        <f t="shared" si="10"/>
        <v>5896039.124640692</v>
      </c>
      <c r="K77" s="83">
        <f t="shared" si="10"/>
        <v>5494697.8573073586</v>
      </c>
      <c r="L77" s="83">
        <f t="shared" si="10"/>
        <v>3478994.9828484841</v>
      </c>
      <c r="M77" s="83">
        <f t="shared" si="10"/>
        <v>279694.55805281363</v>
      </c>
      <c r="N77" s="83">
        <f t="shared" si="10"/>
        <v>279694.55805281363</v>
      </c>
      <c r="O77" s="83">
        <f t="shared" si="10"/>
        <v>279694.55805281363</v>
      </c>
      <c r="P77" s="83">
        <f t="shared" si="10"/>
        <v>-2461050.4419471864</v>
      </c>
      <c r="Q77" s="83">
        <f t="shared" si="10"/>
        <v>-2623589.842613853</v>
      </c>
      <c r="R77" s="83">
        <f t="shared" si="10"/>
        <v>-2815930.5426138532</v>
      </c>
      <c r="S77" s="83">
        <f t="shared" si="10"/>
        <v>-7170148.1058138534</v>
      </c>
      <c r="T77" s="83">
        <f t="shared" si="10"/>
        <v>-8796890.4558138531</v>
      </c>
      <c r="U77" s="83">
        <f t="shared" si="10"/>
        <v>-8809390.4558138531</v>
      </c>
      <c r="V77" s="83">
        <f t="shared" si="10"/>
        <v>-8809390.4558138531</v>
      </c>
      <c r="W77" s="83">
        <f t="shared" si="10"/>
        <v>-9247344.0358138531</v>
      </c>
      <c r="X77" s="83">
        <f t="shared" si="10"/>
        <v>-9376150.0358138531</v>
      </c>
      <c r="Y77" s="83">
        <f t="shared" si="10"/>
        <v>-13177656.035813853</v>
      </c>
      <c r="Z77" s="83">
        <f t="shared" si="10"/>
        <v>-13360926.035813853</v>
      </c>
      <c r="AA77" s="83">
        <f t="shared" si="10"/>
        <v>-15511016.771613853</v>
      </c>
      <c r="AB77" s="83">
        <f t="shared" si="10"/>
        <v>-15511016.771613853</v>
      </c>
      <c r="AC77" s="83">
        <f t="shared" si="10"/>
        <v>-15511016.771613853</v>
      </c>
      <c r="AD77" s="83">
        <f t="shared" si="10"/>
        <v>-12990549.596613852</v>
      </c>
      <c r="AE77" s="83">
        <f t="shared" si="10"/>
        <v>-13506779.596613852</v>
      </c>
      <c r="AF77" s="83">
        <f t="shared" si="10"/>
        <v>-13506779.596613852</v>
      </c>
      <c r="AG77" s="83">
        <f t="shared" si="10"/>
        <v>-14017379.596613852</v>
      </c>
      <c r="AH77" s="83">
        <f t="shared" si="10"/>
        <v>-16335046.473413851</v>
      </c>
      <c r="AI77" s="83">
        <f t="shared" si="10"/>
        <v>-16335046.473413851</v>
      </c>
      <c r="AJ77" s="83">
        <f t="shared" si="10"/>
        <v>-16335046.473413851</v>
      </c>
      <c r="AK77" s="83">
        <f t="shared" si="10"/>
        <v>-16335046.473413851</v>
      </c>
      <c r="AL77" s="83">
        <f t="shared" ref="AL77:BQ77" si="11">AK77+AL16-AL26</f>
        <v>-16335046.473413851</v>
      </c>
      <c r="AM77" s="83">
        <f t="shared" si="11"/>
        <v>-16335046.473413851</v>
      </c>
      <c r="AN77" s="83">
        <f t="shared" si="11"/>
        <v>-8081267.5306138508</v>
      </c>
      <c r="AO77" s="83">
        <f t="shared" si="11"/>
        <v>-8081267.5306138508</v>
      </c>
      <c r="AP77" s="83">
        <f t="shared" si="11"/>
        <v>-8081267.5306138508</v>
      </c>
      <c r="AQ77" s="83">
        <f t="shared" si="11"/>
        <v>-8081267.5306138508</v>
      </c>
      <c r="AR77" s="83">
        <f t="shared" si="11"/>
        <v>-8081267.5306138508</v>
      </c>
      <c r="AS77" s="83">
        <f t="shared" si="11"/>
        <v>-8081267.5306138508</v>
      </c>
      <c r="AT77" s="83">
        <f t="shared" si="11"/>
        <v>-8081267.5306138508</v>
      </c>
      <c r="AU77" s="83">
        <f t="shared" si="11"/>
        <v>-8081267.5306138508</v>
      </c>
      <c r="AV77" s="83">
        <f t="shared" si="11"/>
        <v>-8081267.5306138508</v>
      </c>
      <c r="AW77" s="83">
        <f t="shared" si="11"/>
        <v>-8081267.5306138508</v>
      </c>
      <c r="AX77" s="83">
        <f t="shared" si="11"/>
        <v>-8081267.5306138508</v>
      </c>
      <c r="AY77" s="83">
        <f t="shared" si="11"/>
        <v>-8251448.3439471852</v>
      </c>
      <c r="AZ77" s="83">
        <f t="shared" si="11"/>
        <v>-8251448.3439471852</v>
      </c>
      <c r="BA77" s="83">
        <f t="shared" si="11"/>
        <v>-8251448.3439471852</v>
      </c>
      <c r="BB77" s="83">
        <f t="shared" si="11"/>
        <v>-8997511.2439471856</v>
      </c>
      <c r="BC77" s="83">
        <f t="shared" si="11"/>
        <v>-8997511.2439471856</v>
      </c>
      <c r="BD77" s="83">
        <f t="shared" si="11"/>
        <v>-8997511.2439471856</v>
      </c>
      <c r="BE77" s="83">
        <f t="shared" si="11"/>
        <v>-8997511.2439471856</v>
      </c>
      <c r="BF77" s="83">
        <f t="shared" si="11"/>
        <v>-8997511.2439471856</v>
      </c>
      <c r="BG77" s="83">
        <f t="shared" si="11"/>
        <v>-5939410.723947186</v>
      </c>
      <c r="BH77" s="83">
        <f t="shared" si="11"/>
        <v>-5939410.723947186</v>
      </c>
      <c r="BI77" s="83">
        <f t="shared" si="11"/>
        <v>-5939410.723947186</v>
      </c>
      <c r="BJ77" s="83">
        <f t="shared" si="11"/>
        <v>-5939410.723947186</v>
      </c>
      <c r="BK77" s="83">
        <f t="shared" si="11"/>
        <v>-5939410.723947186</v>
      </c>
      <c r="BL77" s="83">
        <f t="shared" si="11"/>
        <v>-5939410.723947186</v>
      </c>
      <c r="BM77" s="83">
        <f t="shared" si="11"/>
        <v>-6210916.723947186</v>
      </c>
      <c r="BN77" s="83">
        <f t="shared" si="11"/>
        <v>-6210916.723947186</v>
      </c>
      <c r="BO77" s="83">
        <f t="shared" si="11"/>
        <v>-6210916.723947186</v>
      </c>
      <c r="BP77" s="83">
        <f t="shared" si="11"/>
        <v>-6210916.723947186</v>
      </c>
      <c r="BQ77" s="83">
        <f t="shared" si="11"/>
        <v>-6210916.723947186</v>
      </c>
      <c r="BR77" s="83">
        <f t="shared" ref="BR77:CN77" si="12">BQ77+BR16-BR26</f>
        <v>-6210916.723947186</v>
      </c>
      <c r="BS77" s="83">
        <f t="shared" si="12"/>
        <v>-6210916.723947186</v>
      </c>
      <c r="BT77" s="83">
        <f t="shared" si="12"/>
        <v>-6210916.723947186</v>
      </c>
      <c r="BU77" s="83">
        <f t="shared" si="12"/>
        <v>-6210916.723947186</v>
      </c>
      <c r="BV77" s="83">
        <f t="shared" si="12"/>
        <v>-6210916.723947186</v>
      </c>
      <c r="BW77" s="83">
        <f t="shared" si="12"/>
        <v>-6210916.723947186</v>
      </c>
      <c r="BX77" s="83">
        <f t="shared" si="12"/>
        <v>-6210916.723947186</v>
      </c>
      <c r="BY77" s="83">
        <f t="shared" si="12"/>
        <v>-6210916.723947186</v>
      </c>
      <c r="BZ77" s="83">
        <f t="shared" si="12"/>
        <v>-6210916.723947186</v>
      </c>
      <c r="CA77" s="83">
        <f t="shared" si="12"/>
        <v>-6210916.723947186</v>
      </c>
      <c r="CB77" s="83">
        <f t="shared" si="12"/>
        <v>-6210916.723947186</v>
      </c>
      <c r="CC77" s="83">
        <f t="shared" si="12"/>
        <v>-6210916.723947186</v>
      </c>
      <c r="CD77" s="83">
        <f t="shared" si="12"/>
        <v>-6210916.723947186</v>
      </c>
      <c r="CE77" s="83">
        <f t="shared" si="12"/>
        <v>-6210916.723947186</v>
      </c>
      <c r="CF77" s="83">
        <f t="shared" si="12"/>
        <v>-6210916.723947186</v>
      </c>
      <c r="CG77" s="83">
        <f t="shared" si="12"/>
        <v>-6210916.723947186</v>
      </c>
      <c r="CH77" s="83">
        <f t="shared" si="12"/>
        <v>-6210916.723947186</v>
      </c>
      <c r="CI77" s="83">
        <f t="shared" si="12"/>
        <v>-6210916.723947186</v>
      </c>
      <c r="CJ77" s="83">
        <f t="shared" si="12"/>
        <v>-6210916.723947186</v>
      </c>
      <c r="CK77" s="83">
        <f t="shared" si="12"/>
        <v>-6210916.723947186</v>
      </c>
      <c r="CL77" s="83">
        <f t="shared" si="12"/>
        <v>-6210916.723947186</v>
      </c>
      <c r="CM77" s="83">
        <f t="shared" si="12"/>
        <v>-6210916.723947186</v>
      </c>
      <c r="CN77" s="83">
        <f t="shared" si="12"/>
        <v>-6210916.723947186</v>
      </c>
    </row>
    <row r="79" spans="1:92" s="5" customFormat="1" x14ac:dyDescent="0.2">
      <c r="A79" s="42"/>
      <c r="B79" s="12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</row>
    <row r="80" spans="1:92" s="89" customFormat="1" x14ac:dyDescent="0.2">
      <c r="A80" s="85" t="s">
        <v>65</v>
      </c>
      <c r="B80" s="86"/>
      <c r="C80" s="87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</row>
    <row r="81" spans="1:92" s="5" customFormat="1" ht="22.5" x14ac:dyDescent="0.2">
      <c r="A81" s="36" t="s">
        <v>67</v>
      </c>
      <c r="B81" s="27" t="s">
        <v>68</v>
      </c>
      <c r="C81" s="68">
        <v>3221210.79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</row>
    <row r="82" spans="1:92" s="5" customFormat="1" x14ac:dyDescent="0.2">
      <c r="A82" s="36" t="s">
        <v>69</v>
      </c>
      <c r="B82" s="27" t="s">
        <v>70</v>
      </c>
      <c r="C82" s="68">
        <v>9814338.4000000004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</row>
    <row r="83" spans="1:92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</row>
    <row r="84" spans="1:92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</row>
    <row r="86" spans="1:92" x14ac:dyDescent="0.25">
      <c r="B86" s="14"/>
    </row>
  </sheetData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O88"/>
  <sheetViews>
    <sheetView topLeftCell="A36" workbookViewId="0">
      <selection activeCell="E36" sqref="E36:E67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0.85546875" style="3" bestFit="1" customWidth="1"/>
    <col min="6" max="6" width="11.7109375" style="3" bestFit="1" customWidth="1"/>
    <col min="7" max="13" width="10.85546875" style="3" bestFit="1" customWidth="1"/>
    <col min="14" max="14" width="11.7109375" style="3" bestFit="1" customWidth="1"/>
    <col min="15" max="20" width="10.85546875" style="3" bestFit="1" customWidth="1"/>
    <col min="21" max="21" width="14" style="3" customWidth="1"/>
    <col min="22" max="22" width="12.85546875" style="3" customWidth="1"/>
    <col min="23" max="23" width="14.28515625" style="3" customWidth="1"/>
    <col min="24" max="24" width="12" style="3" customWidth="1"/>
    <col min="25" max="25" width="11" style="3" customWidth="1"/>
    <col min="26" max="26" width="11.85546875" style="3" customWidth="1"/>
    <col min="27" max="27" width="12.42578125" style="3" customWidth="1"/>
    <col min="28" max="28" width="14.85546875" style="3" customWidth="1"/>
    <col min="29" max="29" width="13" style="3" customWidth="1"/>
    <col min="30" max="30" width="12.7109375" style="3" customWidth="1"/>
    <col min="31" max="31" width="11.85546875" style="3" customWidth="1"/>
    <col min="32" max="32" width="13.140625" style="3" customWidth="1"/>
    <col min="33" max="33" width="11.7109375" style="3" customWidth="1"/>
    <col min="34" max="34" width="12.5703125" style="3" customWidth="1"/>
    <col min="35" max="35" width="15.7109375" style="3" customWidth="1"/>
    <col min="36" max="36" width="12.7109375" style="3" customWidth="1"/>
    <col min="37" max="38" width="12.85546875" style="3" customWidth="1"/>
    <col min="39" max="40" width="11.85546875" style="3" customWidth="1"/>
    <col min="41" max="41" width="13" style="3" customWidth="1"/>
    <col min="42" max="42" width="12.28515625" style="3" customWidth="1"/>
    <col min="43" max="43" width="12.140625" style="3" customWidth="1"/>
    <col min="44" max="44" width="11.140625" style="3" customWidth="1"/>
    <col min="45" max="45" width="12.7109375" style="3" customWidth="1"/>
    <col min="46" max="51" width="9" style="3"/>
    <col min="52" max="52" width="12" style="3" customWidth="1"/>
    <col min="53" max="53" width="11.140625" style="3" customWidth="1"/>
    <col min="54" max="54" width="10.28515625" style="3" customWidth="1"/>
    <col min="55" max="55" width="11.42578125" style="3" customWidth="1"/>
    <col min="56" max="59" width="9" style="3"/>
    <col min="60" max="60" width="10.42578125" style="3" customWidth="1"/>
    <col min="61" max="61" width="10.28515625" style="3" bestFit="1" customWidth="1"/>
    <col min="62" max="65" width="9" style="3"/>
    <col min="66" max="66" width="12.42578125" style="3" customWidth="1"/>
    <col min="67" max="16384" width="9" style="3"/>
  </cols>
  <sheetData>
    <row r="1" spans="1:93" ht="12" thickBot="1" x14ac:dyDescent="0.3"/>
    <row r="2" spans="1:93" s="1" customFormat="1" x14ac:dyDescent="0.2">
      <c r="A2" s="43" t="s">
        <v>50</v>
      </c>
      <c r="B2" s="15" t="s">
        <v>27</v>
      </c>
      <c r="C2" s="50">
        <v>1429888.76</v>
      </c>
    </row>
    <row r="3" spans="1:93" s="1" customFormat="1" ht="12" thickBot="1" x14ac:dyDescent="0.25">
      <c r="A3" s="44">
        <v>87.379099999999994</v>
      </c>
      <c r="B3" s="15" t="s">
        <v>28</v>
      </c>
      <c r="C3" s="50">
        <v>10778.95</v>
      </c>
    </row>
    <row r="4" spans="1:93" s="8" customFormat="1" ht="12" thickBot="1" x14ac:dyDescent="0.25">
      <c r="A4" s="45"/>
      <c r="B4" s="15" t="s">
        <v>25</v>
      </c>
      <c r="C4" s="51">
        <v>0</v>
      </c>
    </row>
    <row r="5" spans="1:93" s="6" customFormat="1" x14ac:dyDescent="0.2">
      <c r="A5" s="43" t="s">
        <v>51</v>
      </c>
      <c r="B5" s="49" t="s">
        <v>26</v>
      </c>
      <c r="C5" s="52">
        <f>SUM(C2:C4)</f>
        <v>1440667.71</v>
      </c>
    </row>
    <row r="6" spans="1:93" s="6" customFormat="1" ht="12" thickBot="1" x14ac:dyDescent="0.25">
      <c r="A6" s="44">
        <v>73.787800000000004</v>
      </c>
      <c r="B6" s="16"/>
      <c r="C6" s="53"/>
      <c r="D6" s="17"/>
    </row>
    <row r="7" spans="1:93" s="6" customFormat="1" ht="12" thickBot="1" x14ac:dyDescent="0.25">
      <c r="A7" s="105" t="s">
        <v>51</v>
      </c>
      <c r="B7" s="18" t="s">
        <v>127</v>
      </c>
      <c r="C7" s="54">
        <f>SUM(E16:W16)</f>
        <v>15000738.2884</v>
      </c>
    </row>
    <row r="8" spans="1:93" x14ac:dyDescent="0.25">
      <c r="A8" s="43" t="s">
        <v>52</v>
      </c>
      <c r="B8" s="18" t="s">
        <v>126</v>
      </c>
      <c r="C8" s="54">
        <f>SUM(E25:W26)</f>
        <v>25387957.047613848</v>
      </c>
    </row>
    <row r="9" spans="1:93" ht="12" thickBot="1" x14ac:dyDescent="0.3">
      <c r="A9" s="44">
        <v>10.8522</v>
      </c>
      <c r="B9" s="19" t="s">
        <v>64</v>
      </c>
      <c r="C9" s="55">
        <f>C5+C7-C8-C11</f>
        <v>-18253597.689333849</v>
      </c>
    </row>
    <row r="10" spans="1:93" x14ac:dyDescent="0.25">
      <c r="A10" s="99" t="s">
        <v>80</v>
      </c>
      <c r="B10" s="18" t="s">
        <v>23</v>
      </c>
      <c r="C10" s="56">
        <f>C16</f>
        <v>0</v>
      </c>
    </row>
    <row r="11" spans="1:93" x14ac:dyDescent="0.25">
      <c r="A11" s="101" t="s">
        <v>87</v>
      </c>
      <c r="B11" s="18" t="s">
        <v>24</v>
      </c>
      <c r="C11" s="54">
        <f>C26</f>
        <v>9307046.6401199996</v>
      </c>
    </row>
    <row r="12" spans="1:93" x14ac:dyDescent="0.25">
      <c r="A12" s="107" t="s">
        <v>88</v>
      </c>
    </row>
    <row r="13" spans="1:93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93" s="2" customFormat="1" x14ac:dyDescent="0.25">
      <c r="A14" s="64"/>
      <c r="B14" s="65"/>
      <c r="C14" s="58" t="s">
        <v>56</v>
      </c>
      <c r="D14" s="66"/>
      <c r="E14" s="66">
        <v>46155</v>
      </c>
      <c r="F14" s="66">
        <v>46156</v>
      </c>
      <c r="G14" s="66">
        <v>46157</v>
      </c>
      <c r="H14" s="66">
        <v>46158</v>
      </c>
      <c r="I14" s="66">
        <v>46159</v>
      </c>
      <c r="J14" s="66">
        <v>46160</v>
      </c>
      <c r="K14" s="66">
        <v>46161</v>
      </c>
      <c r="L14" s="66">
        <v>46162</v>
      </c>
      <c r="M14" s="66">
        <v>46163</v>
      </c>
      <c r="N14" s="66">
        <v>46164</v>
      </c>
      <c r="O14" s="66">
        <v>46165</v>
      </c>
      <c r="P14" s="66">
        <v>46166</v>
      </c>
      <c r="Q14" s="66">
        <v>46167</v>
      </c>
      <c r="R14" s="66">
        <v>46168</v>
      </c>
      <c r="S14" s="66">
        <v>46169</v>
      </c>
      <c r="T14" s="66">
        <v>46170</v>
      </c>
      <c r="U14" s="66">
        <v>46171</v>
      </c>
      <c r="V14" s="66">
        <v>46172</v>
      </c>
      <c r="W14" s="66">
        <v>46173</v>
      </c>
      <c r="X14" s="66">
        <v>46174</v>
      </c>
      <c r="Y14" s="66">
        <v>46175</v>
      </c>
      <c r="Z14" s="66">
        <v>46176</v>
      </c>
      <c r="AA14" s="66">
        <v>46177</v>
      </c>
      <c r="AB14" s="66">
        <v>46178</v>
      </c>
      <c r="AC14" s="66">
        <v>46179</v>
      </c>
      <c r="AD14" s="66">
        <v>46180</v>
      </c>
      <c r="AE14" s="66">
        <v>46181</v>
      </c>
      <c r="AF14" s="66">
        <v>46182</v>
      </c>
      <c r="AG14" s="66">
        <v>46183</v>
      </c>
      <c r="AH14" s="66">
        <v>46184</v>
      </c>
      <c r="AI14" s="66">
        <v>46185</v>
      </c>
      <c r="AJ14" s="66">
        <v>46186</v>
      </c>
      <c r="AK14" s="66">
        <v>46187</v>
      </c>
      <c r="AL14" s="66">
        <v>46188</v>
      </c>
      <c r="AM14" s="66">
        <v>46189</v>
      </c>
      <c r="AN14" s="66">
        <v>46190</v>
      </c>
      <c r="AO14" s="66">
        <v>46191</v>
      </c>
      <c r="AP14" s="66">
        <v>46192</v>
      </c>
      <c r="AQ14" s="66">
        <v>46193</v>
      </c>
      <c r="AR14" s="66">
        <v>46194</v>
      </c>
      <c r="AS14" s="66">
        <v>46195</v>
      </c>
      <c r="AT14" s="66">
        <v>46196</v>
      </c>
      <c r="AU14" s="66">
        <v>46197</v>
      </c>
      <c r="AV14" s="66">
        <v>46198</v>
      </c>
      <c r="AW14" s="66">
        <v>46199</v>
      </c>
      <c r="AX14" s="66">
        <v>46200</v>
      </c>
      <c r="AY14" s="66">
        <v>46201</v>
      </c>
      <c r="AZ14" s="66">
        <v>46202</v>
      </c>
      <c r="BA14" s="66">
        <v>46203</v>
      </c>
      <c r="BB14" s="66">
        <v>46204</v>
      </c>
      <c r="BC14" s="66">
        <v>46205</v>
      </c>
      <c r="BD14" s="66">
        <v>46206</v>
      </c>
      <c r="BE14" s="66">
        <v>46207</v>
      </c>
      <c r="BF14" s="66">
        <v>46208</v>
      </c>
      <c r="BG14" s="66">
        <v>46209</v>
      </c>
      <c r="BH14" s="66">
        <v>46210</v>
      </c>
      <c r="BI14" s="66">
        <v>46211</v>
      </c>
      <c r="BJ14" s="66">
        <v>46212</v>
      </c>
      <c r="BK14" s="66">
        <v>46213</v>
      </c>
      <c r="BL14" s="66">
        <v>46214</v>
      </c>
      <c r="BM14" s="66">
        <v>46215</v>
      </c>
      <c r="BN14" s="66">
        <v>46216</v>
      </c>
      <c r="BO14" s="66">
        <v>46217</v>
      </c>
      <c r="BP14" s="66">
        <v>46218</v>
      </c>
      <c r="BQ14" s="66">
        <v>46219</v>
      </c>
      <c r="BR14" s="66">
        <v>46220</v>
      </c>
      <c r="BS14" s="66">
        <v>46221</v>
      </c>
      <c r="BT14" s="66">
        <v>46222</v>
      </c>
      <c r="BU14" s="66">
        <v>46223</v>
      </c>
      <c r="BV14" s="66">
        <v>46224</v>
      </c>
      <c r="BW14" s="66">
        <v>46225</v>
      </c>
      <c r="BX14" s="66">
        <v>46226</v>
      </c>
      <c r="BY14" s="66">
        <v>46227</v>
      </c>
      <c r="BZ14" s="66">
        <v>46228</v>
      </c>
      <c r="CA14" s="66">
        <v>46229</v>
      </c>
      <c r="CB14" s="66">
        <v>46230</v>
      </c>
      <c r="CC14" s="66">
        <v>46231</v>
      </c>
      <c r="CD14" s="66">
        <v>46232</v>
      </c>
      <c r="CE14" s="66">
        <v>46233</v>
      </c>
      <c r="CF14" s="66">
        <v>46234</v>
      </c>
      <c r="CG14" s="66">
        <v>46235</v>
      </c>
      <c r="CH14" s="66">
        <v>46236</v>
      </c>
      <c r="CI14" s="66">
        <v>46237</v>
      </c>
      <c r="CJ14" s="66">
        <v>46238</v>
      </c>
      <c r="CK14" s="66">
        <v>46239</v>
      </c>
      <c r="CL14" s="66">
        <v>46240</v>
      </c>
      <c r="CM14" s="66">
        <v>46241</v>
      </c>
      <c r="CN14" s="66">
        <v>46242</v>
      </c>
      <c r="CO14" s="66">
        <v>46243</v>
      </c>
    </row>
    <row r="15" spans="1:93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</row>
    <row r="16" spans="1:93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O16" si="0">SUM(E17:E25)</f>
        <v>0</v>
      </c>
      <c r="F16" s="29">
        <f t="shared" si="0"/>
        <v>0</v>
      </c>
      <c r="G16" s="29">
        <f t="shared" si="0"/>
        <v>7037500</v>
      </c>
      <c r="H16" s="135">
        <f t="shared" si="0"/>
        <v>0</v>
      </c>
      <c r="I16" s="135">
        <f t="shared" si="0"/>
        <v>0</v>
      </c>
      <c r="J16" s="29">
        <f t="shared" si="0"/>
        <v>7882500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135">
        <f t="shared" si="0"/>
        <v>0</v>
      </c>
      <c r="P16" s="135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80738.28839999999</v>
      </c>
      <c r="U16" s="29">
        <f t="shared" si="0"/>
        <v>0</v>
      </c>
      <c r="V16" s="135">
        <f t="shared" si="0"/>
        <v>0</v>
      </c>
      <c r="W16" s="135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135">
        <f t="shared" si="0"/>
        <v>0</v>
      </c>
      <c r="AD16" s="135">
        <f t="shared" si="0"/>
        <v>0</v>
      </c>
      <c r="AE16" s="29">
        <f t="shared" si="0"/>
        <v>3058268.5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135">
        <f t="shared" si="0"/>
        <v>0</v>
      </c>
      <c r="AK16" s="135">
        <f t="shared" si="0"/>
        <v>0</v>
      </c>
      <c r="AL16" s="29">
        <f t="shared" si="0"/>
        <v>0</v>
      </c>
      <c r="AM16" s="29">
        <f t="shared" si="0"/>
        <v>0</v>
      </c>
      <c r="AN16" s="29">
        <f t="shared" si="0"/>
        <v>0</v>
      </c>
      <c r="AO16" s="29">
        <f t="shared" si="0"/>
        <v>8395733.4443999995</v>
      </c>
      <c r="AP16" s="29">
        <f t="shared" si="0"/>
        <v>0</v>
      </c>
      <c r="AQ16" s="135">
        <f t="shared" si="0"/>
        <v>0</v>
      </c>
      <c r="AR16" s="135">
        <f t="shared" si="0"/>
        <v>0</v>
      </c>
      <c r="AS16" s="29">
        <f t="shared" si="0"/>
        <v>0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135">
        <f t="shared" si="0"/>
        <v>0</v>
      </c>
      <c r="AY16" s="135">
        <f t="shared" si="0"/>
        <v>0</v>
      </c>
      <c r="AZ16" s="29">
        <f t="shared" si="0"/>
        <v>3110695.96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135">
        <f t="shared" si="0"/>
        <v>0</v>
      </c>
      <c r="BF16" s="135">
        <f t="shared" si="0"/>
        <v>0</v>
      </c>
      <c r="BG16" s="29">
        <f t="shared" si="0"/>
        <v>0</v>
      </c>
      <c r="BH16" s="29">
        <f t="shared" si="0"/>
        <v>3110695.96</v>
      </c>
      <c r="BI16" s="29">
        <f t="shared" si="0"/>
        <v>0</v>
      </c>
      <c r="BJ16" s="29">
        <f t="shared" si="0"/>
        <v>0</v>
      </c>
      <c r="BK16" s="29">
        <f t="shared" si="0"/>
        <v>0</v>
      </c>
      <c r="BL16" s="135">
        <f t="shared" si="0"/>
        <v>0</v>
      </c>
      <c r="BM16" s="135">
        <f t="shared" si="0"/>
        <v>0</v>
      </c>
      <c r="BN16" s="29">
        <f t="shared" si="0"/>
        <v>0</v>
      </c>
      <c r="BO16" s="29">
        <f t="shared" si="0"/>
        <v>0</v>
      </c>
      <c r="BP16" s="29">
        <f t="shared" ref="BP16:CO16" si="1">SUM(BP17:BP25)</f>
        <v>0</v>
      </c>
      <c r="BQ16" s="29">
        <f t="shared" si="1"/>
        <v>0</v>
      </c>
      <c r="BR16" s="29">
        <f t="shared" si="1"/>
        <v>0</v>
      </c>
      <c r="BS16" s="29">
        <f t="shared" si="1"/>
        <v>0</v>
      </c>
      <c r="BT16" s="29">
        <f t="shared" si="1"/>
        <v>0</v>
      </c>
      <c r="BU16" s="29">
        <f t="shared" si="1"/>
        <v>0</v>
      </c>
      <c r="BV16" s="29">
        <f t="shared" si="1"/>
        <v>0</v>
      </c>
      <c r="BW16" s="29">
        <f t="shared" si="1"/>
        <v>0</v>
      </c>
      <c r="BX16" s="29">
        <f t="shared" si="1"/>
        <v>0</v>
      </c>
      <c r="BY16" s="29">
        <f t="shared" si="1"/>
        <v>0</v>
      </c>
      <c r="BZ16" s="29">
        <f t="shared" si="1"/>
        <v>0</v>
      </c>
      <c r="CA16" s="29">
        <f t="shared" si="1"/>
        <v>0</v>
      </c>
      <c r="CB16" s="29">
        <f t="shared" si="1"/>
        <v>0</v>
      </c>
      <c r="CC16" s="29">
        <f t="shared" si="1"/>
        <v>0</v>
      </c>
      <c r="CD16" s="29">
        <f t="shared" si="1"/>
        <v>0</v>
      </c>
      <c r="CE16" s="29">
        <f t="shared" si="1"/>
        <v>0</v>
      </c>
      <c r="CF16" s="29">
        <f t="shared" si="1"/>
        <v>0</v>
      </c>
      <c r="CG16" s="29">
        <f t="shared" si="1"/>
        <v>0</v>
      </c>
      <c r="CH16" s="29">
        <f t="shared" si="1"/>
        <v>0</v>
      </c>
      <c r="CI16" s="29">
        <f t="shared" si="1"/>
        <v>0</v>
      </c>
      <c r="CJ16" s="29">
        <f t="shared" si="1"/>
        <v>0</v>
      </c>
      <c r="CK16" s="29">
        <f t="shared" si="1"/>
        <v>0</v>
      </c>
      <c r="CL16" s="29">
        <f t="shared" si="1"/>
        <v>0</v>
      </c>
      <c r="CM16" s="29">
        <f t="shared" si="1"/>
        <v>0</v>
      </c>
      <c r="CN16" s="29">
        <f t="shared" si="1"/>
        <v>0</v>
      </c>
      <c r="CO16" s="29">
        <f t="shared" si="1"/>
        <v>0</v>
      </c>
    </row>
    <row r="17" spans="1:93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1"/>
    </row>
    <row r="18" spans="1:93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</row>
    <row r="19" spans="1:93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</row>
    <row r="20" spans="1:93" s="80" customFormat="1" x14ac:dyDescent="0.25">
      <c r="A20" s="40" t="s">
        <v>12</v>
      </c>
      <c r="B20" s="21"/>
      <c r="C20" s="32"/>
      <c r="D20" s="30"/>
      <c r="E20" s="30"/>
      <c r="G20" s="30">
        <v>7037500</v>
      </c>
      <c r="H20" s="30"/>
      <c r="I20" s="30"/>
      <c r="J20" s="30">
        <v>7882500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</row>
    <row r="21" spans="1:93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>
        <f>924*A3</f>
        <v>80738.28839999999</v>
      </c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</row>
    <row r="22" spans="1:93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</row>
    <row r="23" spans="1:93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>
        <f>96084*A3</f>
        <v>8395733.4443999995</v>
      </c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</row>
    <row r="24" spans="1:93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V24" s="30"/>
      <c r="W24" s="30"/>
      <c r="X24" s="30"/>
      <c r="Y24" s="30"/>
      <c r="Z24" s="30"/>
      <c r="AA24" s="30"/>
      <c r="AB24" s="30"/>
      <c r="AC24" s="30"/>
      <c r="AD24" s="30"/>
      <c r="AE24" s="30">
        <f>35000*A3</f>
        <v>3058268.5</v>
      </c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>
        <f>35600*A3</f>
        <v>3110695.96</v>
      </c>
      <c r="BA24" s="30"/>
      <c r="BB24" s="30"/>
      <c r="BC24" s="30"/>
      <c r="BD24" s="30"/>
      <c r="BE24" s="30"/>
      <c r="BF24" s="30"/>
      <c r="BG24" s="30"/>
      <c r="BH24" s="30">
        <f>35600*A3</f>
        <v>3110695.96</v>
      </c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</row>
    <row r="25" spans="1:93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</row>
    <row r="26" spans="1:93" s="4" customFormat="1" x14ac:dyDescent="0.2">
      <c r="A26" s="41" t="s">
        <v>1</v>
      </c>
      <c r="B26" s="22"/>
      <c r="C26" s="34">
        <f>SUM(C28:C77)</f>
        <v>9307046.6401199996</v>
      </c>
      <c r="D26" s="34"/>
      <c r="E26" s="34">
        <f t="shared" ref="E26:BO26" si="2">SUM(E27:E78)</f>
        <v>637193.64</v>
      </c>
      <c r="F26" s="34">
        <f t="shared" si="2"/>
        <v>404579.47100000002</v>
      </c>
      <c r="G26" s="34">
        <f t="shared" si="2"/>
        <v>2897049.4646000001</v>
      </c>
      <c r="H26" s="34">
        <f t="shared" si="2"/>
        <v>0</v>
      </c>
      <c r="I26" s="34">
        <f t="shared" si="2"/>
        <v>0</v>
      </c>
      <c r="J26" s="34">
        <f t="shared" si="2"/>
        <v>5792305.1540259738</v>
      </c>
      <c r="K26" s="34">
        <f t="shared" si="2"/>
        <v>1154421.6800000002</v>
      </c>
      <c r="L26" s="34">
        <f t="shared" si="2"/>
        <v>318042.68</v>
      </c>
      <c r="M26" s="34">
        <f t="shared" si="2"/>
        <v>2082116.0577922077</v>
      </c>
      <c r="N26" s="34">
        <f t="shared" si="2"/>
        <v>5405902.4218623377</v>
      </c>
      <c r="O26" s="34">
        <f t="shared" si="2"/>
        <v>0</v>
      </c>
      <c r="P26" s="34">
        <f t="shared" si="2"/>
        <v>0</v>
      </c>
      <c r="Q26" s="34">
        <f t="shared" si="2"/>
        <v>471467.9</v>
      </c>
      <c r="R26" s="34">
        <f t="shared" si="2"/>
        <v>130000</v>
      </c>
      <c r="S26" s="34">
        <f t="shared" si="2"/>
        <v>142719.63</v>
      </c>
      <c r="T26" s="34">
        <f t="shared" si="2"/>
        <v>4337281.333333334</v>
      </c>
      <c r="U26" s="34">
        <f t="shared" si="2"/>
        <v>1602377.615</v>
      </c>
      <c r="V26" s="34">
        <f t="shared" si="2"/>
        <v>12500</v>
      </c>
      <c r="W26" s="34">
        <f t="shared" si="2"/>
        <v>0</v>
      </c>
      <c r="X26" s="34">
        <f t="shared" si="2"/>
        <v>388172.022</v>
      </c>
      <c r="Y26" s="34">
        <f t="shared" si="2"/>
        <v>128806</v>
      </c>
      <c r="Z26" s="34">
        <f t="shared" si="2"/>
        <v>3776506</v>
      </c>
      <c r="AA26" s="34">
        <f t="shared" si="2"/>
        <v>183270</v>
      </c>
      <c r="AB26" s="34">
        <f t="shared" si="2"/>
        <v>2082626.8276</v>
      </c>
      <c r="AC26" s="34">
        <f t="shared" si="2"/>
        <v>0</v>
      </c>
      <c r="AD26" s="34">
        <f t="shared" si="2"/>
        <v>0</v>
      </c>
      <c r="AE26" s="34">
        <f t="shared" si="2"/>
        <v>486554.84250000003</v>
      </c>
      <c r="AF26" s="34">
        <f t="shared" si="2"/>
        <v>516230</v>
      </c>
      <c r="AG26" s="34">
        <f t="shared" si="2"/>
        <v>0</v>
      </c>
      <c r="AH26" s="34">
        <f t="shared" si="2"/>
        <v>0</v>
      </c>
      <c r="AI26" s="34">
        <f t="shared" si="2"/>
        <v>2328769.2911999999</v>
      </c>
      <c r="AJ26" s="34">
        <f t="shared" si="2"/>
        <v>0</v>
      </c>
      <c r="AK26" s="34">
        <f t="shared" si="2"/>
        <v>0</v>
      </c>
      <c r="AL26" s="34">
        <f t="shared" si="2"/>
        <v>0</v>
      </c>
      <c r="AM26" s="34">
        <f t="shared" si="2"/>
        <v>0</v>
      </c>
      <c r="AN26" s="34">
        <f t="shared" si="2"/>
        <v>0</v>
      </c>
      <c r="AO26" s="34">
        <f t="shared" si="2"/>
        <v>0</v>
      </c>
      <c r="AP26" s="34">
        <f t="shared" si="2"/>
        <v>0</v>
      </c>
      <c r="AQ26" s="34">
        <f t="shared" si="2"/>
        <v>0</v>
      </c>
      <c r="AR26" s="34">
        <f t="shared" si="2"/>
        <v>0</v>
      </c>
      <c r="AS26" s="34">
        <f t="shared" si="2"/>
        <v>0</v>
      </c>
      <c r="AT26" s="34">
        <f t="shared" si="2"/>
        <v>0</v>
      </c>
      <c r="AU26" s="34">
        <f t="shared" si="2"/>
        <v>0</v>
      </c>
      <c r="AV26" s="34">
        <f t="shared" si="2"/>
        <v>0</v>
      </c>
      <c r="AW26" s="34">
        <f t="shared" si="2"/>
        <v>0</v>
      </c>
      <c r="AX26" s="34">
        <f t="shared" si="2"/>
        <v>0</v>
      </c>
      <c r="AY26" s="34">
        <f t="shared" si="2"/>
        <v>0</v>
      </c>
      <c r="AZ26" s="34">
        <f t="shared" si="2"/>
        <v>3228281.3333333335</v>
      </c>
      <c r="BA26" s="34">
        <f t="shared" si="2"/>
        <v>0</v>
      </c>
      <c r="BB26" s="34">
        <f t="shared" si="2"/>
        <v>0</v>
      </c>
      <c r="BC26" s="34">
        <f t="shared" si="2"/>
        <v>746062.9</v>
      </c>
      <c r="BD26" s="34">
        <f t="shared" si="2"/>
        <v>0</v>
      </c>
      <c r="BE26" s="34">
        <f t="shared" si="2"/>
        <v>0</v>
      </c>
      <c r="BF26" s="34">
        <f t="shared" si="2"/>
        <v>0</v>
      </c>
      <c r="BG26" s="34">
        <f t="shared" si="2"/>
        <v>0</v>
      </c>
      <c r="BH26" s="34">
        <f t="shared" si="2"/>
        <v>0</v>
      </c>
      <c r="BI26" s="34">
        <f t="shared" si="2"/>
        <v>0</v>
      </c>
      <c r="BJ26" s="34">
        <f t="shared" si="2"/>
        <v>0</v>
      </c>
      <c r="BK26" s="34">
        <f t="shared" si="2"/>
        <v>0</v>
      </c>
      <c r="BL26" s="34">
        <f t="shared" si="2"/>
        <v>0</v>
      </c>
      <c r="BM26" s="34">
        <f t="shared" si="2"/>
        <v>0</v>
      </c>
      <c r="BN26" s="34">
        <f t="shared" si="2"/>
        <v>271506</v>
      </c>
      <c r="BO26" s="34">
        <f t="shared" si="2"/>
        <v>0</v>
      </c>
      <c r="BP26" s="34">
        <f t="shared" ref="BP26:CO26" si="3">SUM(BP27:BP78)</f>
        <v>0</v>
      </c>
      <c r="BQ26" s="34">
        <f t="shared" si="3"/>
        <v>0</v>
      </c>
      <c r="BR26" s="34">
        <f t="shared" si="3"/>
        <v>0</v>
      </c>
      <c r="BS26" s="34">
        <f t="shared" si="3"/>
        <v>0</v>
      </c>
      <c r="BT26" s="34">
        <f t="shared" si="3"/>
        <v>0</v>
      </c>
      <c r="BU26" s="34">
        <f t="shared" si="3"/>
        <v>0</v>
      </c>
      <c r="BV26" s="34">
        <f t="shared" si="3"/>
        <v>0</v>
      </c>
      <c r="BW26" s="34">
        <f t="shared" si="3"/>
        <v>0</v>
      </c>
      <c r="BX26" s="34">
        <f t="shared" si="3"/>
        <v>0</v>
      </c>
      <c r="BY26" s="34">
        <f t="shared" si="3"/>
        <v>0</v>
      </c>
      <c r="BZ26" s="34">
        <f t="shared" si="3"/>
        <v>0</v>
      </c>
      <c r="CA26" s="34">
        <f t="shared" si="3"/>
        <v>0</v>
      </c>
      <c r="CB26" s="34">
        <f t="shared" si="3"/>
        <v>0</v>
      </c>
      <c r="CC26" s="34">
        <f t="shared" si="3"/>
        <v>0</v>
      </c>
      <c r="CD26" s="34">
        <f t="shared" si="3"/>
        <v>0</v>
      </c>
      <c r="CE26" s="34">
        <f t="shared" si="3"/>
        <v>0</v>
      </c>
      <c r="CF26" s="34">
        <f t="shared" si="3"/>
        <v>0</v>
      </c>
      <c r="CG26" s="34">
        <f t="shared" si="3"/>
        <v>0</v>
      </c>
      <c r="CH26" s="34">
        <f t="shared" si="3"/>
        <v>0</v>
      </c>
      <c r="CI26" s="34">
        <f t="shared" si="3"/>
        <v>0</v>
      </c>
      <c r="CJ26" s="34">
        <f t="shared" si="3"/>
        <v>0</v>
      </c>
      <c r="CK26" s="34">
        <f t="shared" si="3"/>
        <v>0</v>
      </c>
      <c r="CL26" s="34">
        <f t="shared" si="3"/>
        <v>0</v>
      </c>
      <c r="CM26" s="34">
        <f t="shared" si="3"/>
        <v>0</v>
      </c>
      <c r="CN26" s="34">
        <f t="shared" si="3"/>
        <v>0</v>
      </c>
      <c r="CO26" s="34">
        <f t="shared" si="3"/>
        <v>0</v>
      </c>
    </row>
    <row r="27" spans="1:93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</row>
    <row r="28" spans="1:93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</row>
    <row r="29" spans="1:93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</row>
    <row r="30" spans="1:93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>
        <f>8399365/3</f>
        <v>2799788.3333333335</v>
      </c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>
        <f>8399365/3</f>
        <v>2799788.3333333335</v>
      </c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</row>
    <row r="31" spans="1:93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90">
        <f>291375+137118</f>
        <v>428493</v>
      </c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90">
        <f>291375+137118</f>
        <v>428493</v>
      </c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</row>
    <row r="32" spans="1:93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>
        <v>420000</v>
      </c>
      <c r="H32" s="24"/>
      <c r="I32" s="24"/>
      <c r="J32" s="24"/>
      <c r="K32" s="24">
        <v>400000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</row>
    <row r="33" spans="1:93" s="1" customFormat="1" x14ac:dyDescent="0.2">
      <c r="A33" s="36" t="s">
        <v>118</v>
      </c>
      <c r="B33" s="23"/>
      <c r="C33" s="60"/>
      <c r="D33" s="24"/>
      <c r="E33" s="24"/>
      <c r="F33" s="24"/>
      <c r="G33" s="114">
        <v>271506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>
        <v>271506</v>
      </c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>
        <v>271506</v>
      </c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</row>
    <row r="34" spans="1:93" s="1" customFormat="1" x14ac:dyDescent="0.2">
      <c r="A34" s="36" t="s">
        <v>54</v>
      </c>
      <c r="B34" s="23"/>
      <c r="C34" s="60"/>
      <c r="D34" s="24"/>
      <c r="F34" s="24"/>
      <c r="G34" s="24">
        <v>100113.9</v>
      </c>
      <c r="I34" s="24"/>
      <c r="J34" s="24"/>
      <c r="K34" s="24"/>
      <c r="L34" s="24">
        <v>50000</v>
      </c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</row>
    <row r="35" spans="1:93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>
        <v>200113.9</v>
      </c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>
        <v>200113.9</v>
      </c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</row>
    <row r="36" spans="1:93" s="1" customFormat="1" x14ac:dyDescent="0.2">
      <c r="A36" s="36" t="s">
        <v>53</v>
      </c>
      <c r="B36" s="23"/>
      <c r="C36" s="60"/>
      <c r="D36" s="24"/>
      <c r="E36" s="118">
        <v>50000</v>
      </c>
      <c r="F36" s="24">
        <v>100000</v>
      </c>
      <c r="G36" s="24">
        <v>100000</v>
      </c>
      <c r="H36" s="24"/>
      <c r="I36" s="24"/>
      <c r="J36" s="24">
        <v>145949</v>
      </c>
      <c r="K36" s="24">
        <v>100000</v>
      </c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>
        <v>545949</v>
      </c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>
        <v>545949</v>
      </c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</row>
    <row r="37" spans="1:93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</row>
    <row r="38" spans="1:93" s="71" customFormat="1" x14ac:dyDescent="0.2">
      <c r="A38" s="69" t="s">
        <v>14</v>
      </c>
      <c r="B38" s="25" t="s">
        <v>30</v>
      </c>
      <c r="C38" s="70"/>
      <c r="D38" s="24"/>
      <c r="F38" s="24"/>
      <c r="G38" s="100">
        <f>341779/2</f>
        <v>170889.5</v>
      </c>
      <c r="H38" s="24"/>
      <c r="I38" s="24"/>
      <c r="J38" s="100">
        <f>341779/2</f>
        <v>170889.5</v>
      </c>
      <c r="K38" s="100">
        <v>191379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</row>
    <row r="39" spans="1:93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100">
        <v>156160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</row>
    <row r="40" spans="1:93" s="71" customFormat="1" x14ac:dyDescent="0.2">
      <c r="A40" s="69" t="s">
        <v>117</v>
      </c>
      <c r="B40" s="25" t="s">
        <v>119</v>
      </c>
      <c r="C40" s="70"/>
      <c r="D40" s="24"/>
      <c r="E40" s="24"/>
      <c r="F40" s="24"/>
      <c r="G40" s="28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100">
        <v>691000</v>
      </c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</row>
    <row r="41" spans="1:93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100">
        <v>235200</v>
      </c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</row>
    <row r="42" spans="1:93" s="71" customFormat="1" x14ac:dyDescent="0.2">
      <c r="A42" s="69" t="s">
        <v>17</v>
      </c>
      <c r="B42" s="25" t="s">
        <v>41</v>
      </c>
      <c r="C42" s="70">
        <f>1375000-500000-175000-50000-25000-25000-25000-50000</f>
        <v>525000</v>
      </c>
      <c r="D42" s="24"/>
      <c r="E42" s="118">
        <v>25000</v>
      </c>
      <c r="G42" s="129">
        <v>65000</v>
      </c>
      <c r="H42" s="24"/>
      <c r="I42" s="24"/>
      <c r="K42" s="142">
        <v>145000</v>
      </c>
      <c r="L42" s="129">
        <v>25000</v>
      </c>
      <c r="M42" s="129">
        <v>50000</v>
      </c>
      <c r="N42" s="129">
        <v>65000</v>
      </c>
      <c r="O42" s="24"/>
      <c r="P42" s="24"/>
      <c r="Q42" s="24"/>
      <c r="R42" s="24"/>
      <c r="S42" s="24"/>
      <c r="T42" s="24"/>
      <c r="U42" s="129">
        <v>170000</v>
      </c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</row>
    <row r="43" spans="1:93" s="71" customFormat="1" x14ac:dyDescent="0.2">
      <c r="A43" s="69" t="s">
        <v>15</v>
      </c>
      <c r="B43" s="25" t="s">
        <v>31</v>
      </c>
      <c r="C43" s="70">
        <f>1205448-25000-25000-25000-50000</f>
        <v>1080448</v>
      </c>
      <c r="D43" s="24"/>
      <c r="E43" s="118">
        <v>50000</v>
      </c>
      <c r="F43" s="108">
        <v>50000</v>
      </c>
      <c r="H43" s="24"/>
      <c r="I43" s="24"/>
      <c r="J43" s="140">
        <f>195080/4</f>
        <v>48770</v>
      </c>
      <c r="K43" s="140">
        <f t="shared" ref="K43:M43" si="4">195080/4</f>
        <v>48770</v>
      </c>
      <c r="L43" s="140">
        <f t="shared" si="4"/>
        <v>48770</v>
      </c>
      <c r="M43" s="140">
        <f t="shared" si="4"/>
        <v>48770</v>
      </c>
      <c r="N43" s="108">
        <v>65224</v>
      </c>
      <c r="O43" s="24"/>
      <c r="P43" s="24"/>
      <c r="Q43" s="108">
        <f>45000+65224</f>
        <v>110224</v>
      </c>
      <c r="R43" s="108">
        <v>50000</v>
      </c>
      <c r="S43" s="24"/>
      <c r="T43" s="24"/>
      <c r="U43" s="100">
        <v>516230</v>
      </c>
      <c r="V43" s="24"/>
      <c r="W43" s="24"/>
      <c r="X43" s="98">
        <f>515224/4</f>
        <v>128806</v>
      </c>
      <c r="Y43" s="98">
        <f>515224/4</f>
        <v>128806</v>
      </c>
      <c r="Z43" s="98">
        <f>515224/4</f>
        <v>128806</v>
      </c>
      <c r="AA43" s="98">
        <f>515224/4+54464</f>
        <v>183270</v>
      </c>
      <c r="AB43" s="24"/>
      <c r="AC43" s="24"/>
      <c r="AD43" s="24"/>
      <c r="AE43" s="24"/>
      <c r="AF43" s="100">
        <v>516230</v>
      </c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</row>
    <row r="44" spans="1:93" s="71" customFormat="1" x14ac:dyDescent="0.2">
      <c r="A44" s="69" t="s">
        <v>16</v>
      </c>
      <c r="B44" s="25" t="s">
        <v>32</v>
      </c>
      <c r="C44" s="70">
        <f>1122350-25000-25000-100000</f>
        <v>972350</v>
      </c>
      <c r="D44" s="24"/>
      <c r="E44" s="118">
        <v>50000</v>
      </c>
      <c r="F44" s="108">
        <v>100000</v>
      </c>
      <c r="G44" s="108">
        <f>100000+50000</f>
        <v>150000</v>
      </c>
      <c r="H44" s="24"/>
      <c r="I44" s="24"/>
      <c r="J44" s="108">
        <v>100000</v>
      </c>
      <c r="K44" s="153">
        <v>100000</v>
      </c>
      <c r="L44" s="153">
        <v>100000</v>
      </c>
      <c r="M44" s="108">
        <v>100000</v>
      </c>
      <c r="N44" s="108">
        <v>100000</v>
      </c>
      <c r="O44" s="24"/>
      <c r="P44" s="24"/>
      <c r="Q44" s="108">
        <v>172350</v>
      </c>
      <c r="R44" s="28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</row>
    <row r="45" spans="1:93" s="71" customFormat="1" x14ac:dyDescent="0.2">
      <c r="A45" s="69" t="s">
        <v>85</v>
      </c>
      <c r="B45" s="25" t="s">
        <v>47</v>
      </c>
      <c r="C45" s="70">
        <f>1980*A6</f>
        <v>146099.84400000001</v>
      </c>
      <c r="D45" s="24"/>
      <c r="F45" s="108">
        <f>445*$A$6</f>
        <v>32835.571000000004</v>
      </c>
      <c r="G45" s="108">
        <f>645*$A$6</f>
        <v>47593.131000000001</v>
      </c>
      <c r="H45" s="24"/>
      <c r="I45" s="24"/>
      <c r="J45" s="24"/>
      <c r="K45" s="24"/>
      <c r="L45" s="24"/>
      <c r="M45" s="108">
        <f>250*$A$6</f>
        <v>18446.95</v>
      </c>
      <c r="N45" s="108">
        <f>645*$A$6</f>
        <v>47593.131000000001</v>
      </c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</row>
    <row r="46" spans="1:93" s="71" customFormat="1" x14ac:dyDescent="0.2">
      <c r="A46" s="69" t="s">
        <v>143</v>
      </c>
      <c r="B46" s="25" t="s">
        <v>45</v>
      </c>
      <c r="C46" s="24"/>
      <c r="D46" s="24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118">
        <f>188496*A9</f>
        <v>2045596.2911999999</v>
      </c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</row>
    <row r="47" spans="1:93" s="71" customFormat="1" x14ac:dyDescent="0.2">
      <c r="A47" s="69" t="s">
        <v>120</v>
      </c>
      <c r="B47" s="25" t="s">
        <v>121</v>
      </c>
      <c r="C47" s="120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100">
        <v>507000</v>
      </c>
      <c r="O47" s="24"/>
      <c r="P47" s="24"/>
      <c r="Q47" s="24"/>
      <c r="R47" s="24"/>
      <c r="S47" s="24"/>
      <c r="T47" s="100">
        <v>1014000</v>
      </c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</row>
    <row r="48" spans="1:93" s="73" customFormat="1" x14ac:dyDescent="0.2">
      <c r="A48" s="69" t="s">
        <v>22</v>
      </c>
      <c r="B48" s="25" t="s">
        <v>48</v>
      </c>
      <c r="C48" s="137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138">
        <f>52206*A9</f>
        <v>566549.95319999999</v>
      </c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138">
        <f>52206*A9+2988*A6</f>
        <v>787027.8996</v>
      </c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</row>
    <row r="49" spans="1:93" s="73" customFormat="1" x14ac:dyDescent="0.2">
      <c r="A49" s="69" t="s">
        <v>108</v>
      </c>
      <c r="B49" s="25" t="s">
        <v>109</v>
      </c>
      <c r="C49" s="120"/>
      <c r="D49" s="72"/>
      <c r="E49" s="72"/>
      <c r="F49" s="72"/>
      <c r="G49" s="138">
        <v>33610.5</v>
      </c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  <c r="CN49" s="72"/>
      <c r="CO49" s="72"/>
    </row>
    <row r="50" spans="1:93" s="71" customFormat="1" x14ac:dyDescent="0.2">
      <c r="A50" s="69" t="s">
        <v>36</v>
      </c>
      <c r="B50" s="25" t="s">
        <v>37</v>
      </c>
      <c r="C50" s="130"/>
      <c r="D50" s="24"/>
      <c r="E50" s="24"/>
      <c r="F50" s="24"/>
      <c r="G50" s="100">
        <f>2662*A6</f>
        <v>196423.12360000002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100">
        <f>1037.5*A6</f>
        <v>76554.842499999999</v>
      </c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</row>
    <row r="51" spans="1:93" s="71" customFormat="1" x14ac:dyDescent="0.2">
      <c r="A51" s="69" t="s">
        <v>86</v>
      </c>
      <c r="B51" s="25" t="s">
        <v>35</v>
      </c>
      <c r="C51" s="70">
        <f>1700*A6+4050*A6-250*A6</f>
        <v>405832.9</v>
      </c>
      <c r="D51" s="77"/>
      <c r="F51" s="108">
        <f>500*$A$6</f>
        <v>36893.9</v>
      </c>
      <c r="H51" s="24"/>
      <c r="I51" s="24"/>
      <c r="J51" s="108">
        <f>600*$A$6</f>
        <v>44272.68</v>
      </c>
      <c r="K51" s="108">
        <f>600*$A$6</f>
        <v>44272.68</v>
      </c>
      <c r="L51" s="108">
        <f>600*$A$6</f>
        <v>44272.68</v>
      </c>
      <c r="M51" s="108">
        <f>500*$A$6</f>
        <v>36893.9</v>
      </c>
      <c r="O51" s="24"/>
      <c r="P51" s="24"/>
      <c r="Q51" s="108">
        <f>500*$A$6</f>
        <v>36893.9</v>
      </c>
      <c r="R51" s="24"/>
      <c r="S51" s="108">
        <f>850*$A$6</f>
        <v>62719.630000000005</v>
      </c>
      <c r="T51" s="24"/>
      <c r="U51" s="108">
        <f>900*$A$6+525*A6</f>
        <v>105147.61500000001</v>
      </c>
      <c r="V51" s="24"/>
      <c r="W51" s="24"/>
      <c r="X51" s="100">
        <f>490*A6</f>
        <v>36156.022000000004</v>
      </c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</row>
    <row r="52" spans="1:93" s="71" customFormat="1" x14ac:dyDescent="0.2">
      <c r="A52" s="69" t="s">
        <v>29</v>
      </c>
      <c r="B52" s="25" t="s">
        <v>42</v>
      </c>
      <c r="C52" s="70">
        <v>20000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</row>
    <row r="53" spans="1:93" s="71" customFormat="1" x14ac:dyDescent="0.2">
      <c r="A53" s="69" t="s">
        <v>29</v>
      </c>
      <c r="B53" s="25" t="s">
        <v>43</v>
      </c>
      <c r="C53" s="70">
        <v>439750</v>
      </c>
      <c r="D53" s="24"/>
      <c r="E53" s="24"/>
      <c r="F53" s="95">
        <v>50000</v>
      </c>
      <c r="G53" s="95">
        <f>50000+14750</f>
        <v>64750</v>
      </c>
      <c r="H53" s="24"/>
      <c r="I53" s="24"/>
      <c r="J53" s="95">
        <v>100000</v>
      </c>
      <c r="K53" s="95">
        <v>50000</v>
      </c>
      <c r="L53" s="95">
        <v>50000</v>
      </c>
      <c r="M53" s="95">
        <v>25000</v>
      </c>
      <c r="N53" s="95">
        <v>50000</v>
      </c>
      <c r="O53" s="24"/>
      <c r="P53" s="24"/>
      <c r="Q53" s="95">
        <v>50000</v>
      </c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</row>
    <row r="54" spans="1:93" s="71" customFormat="1" x14ac:dyDescent="0.2">
      <c r="A54" s="69" t="s">
        <v>141</v>
      </c>
      <c r="B54" s="25" t="s">
        <v>142</v>
      </c>
      <c r="C54" s="70"/>
      <c r="D54" s="24"/>
      <c r="E54" s="24"/>
      <c r="F54" s="28"/>
      <c r="G54" s="100">
        <v>37405.199999999997</v>
      </c>
      <c r="H54" s="28"/>
      <c r="I54" s="28"/>
      <c r="J54" s="28"/>
      <c r="K54" s="28"/>
      <c r="L54" s="28"/>
      <c r="M54" s="28"/>
      <c r="N54" s="28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</row>
    <row r="55" spans="1:93" s="71" customFormat="1" x14ac:dyDescent="0.2">
      <c r="A55" s="69" t="s">
        <v>29</v>
      </c>
      <c r="B55" s="25" t="s">
        <v>55</v>
      </c>
      <c r="C55" s="70">
        <f>800*A6-550*A6</f>
        <v>18446.950000000004</v>
      </c>
      <c r="D55" s="24"/>
      <c r="E55" s="118">
        <f>250*$A$6</f>
        <v>18446.95</v>
      </c>
      <c r="F55" s="24"/>
      <c r="H55" s="24"/>
      <c r="I55" s="24"/>
      <c r="J55" s="24"/>
      <c r="K55" s="24"/>
      <c r="L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</row>
    <row r="56" spans="1:93" s="71" customFormat="1" x14ac:dyDescent="0.2">
      <c r="A56" s="69" t="s">
        <v>124</v>
      </c>
      <c r="B56" s="25" t="s">
        <v>125</v>
      </c>
      <c r="C56" s="7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100">
        <v>203210</v>
      </c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</row>
    <row r="57" spans="1:93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</row>
    <row r="58" spans="1:93" s="71" customFormat="1" x14ac:dyDescent="0.2">
      <c r="A58" s="69" t="s">
        <v>90</v>
      </c>
      <c r="B58" s="25" t="s">
        <v>91</v>
      </c>
      <c r="C58" s="70">
        <v>1012000</v>
      </c>
      <c r="D58" s="77"/>
      <c r="E58" s="118">
        <v>100000</v>
      </c>
      <c r="F58" s="28"/>
      <c r="G58" s="129">
        <f>1012000-100000</f>
        <v>912000</v>
      </c>
      <c r="H58" s="28"/>
      <c r="I58" s="28"/>
      <c r="J58" s="129">
        <v>1012000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</row>
    <row r="59" spans="1:93" s="71" customFormat="1" x14ac:dyDescent="0.2">
      <c r="A59" s="69" t="s">
        <v>138</v>
      </c>
      <c r="B59" s="25" t="s">
        <v>136</v>
      </c>
      <c r="C59" s="70"/>
      <c r="D59" s="77"/>
      <c r="E59" s="100">
        <f>3550*A6</f>
        <v>261946.69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4"/>
      <c r="W59" s="24"/>
      <c r="X59" s="24"/>
      <c r="Y59" s="24"/>
      <c r="Z59" s="24"/>
      <c r="AA59" s="24"/>
      <c r="AB59" s="100">
        <f>4260*A6</f>
        <v>314336.02799999999</v>
      </c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</row>
    <row r="60" spans="1:93" s="71" customFormat="1" x14ac:dyDescent="0.2">
      <c r="A60" s="69" t="s">
        <v>102</v>
      </c>
      <c r="B60" s="25" t="s">
        <v>103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</row>
    <row r="61" spans="1:93" s="71" customFormat="1" x14ac:dyDescent="0.2">
      <c r="A61" s="151" t="s">
        <v>139</v>
      </c>
      <c r="B61" s="152" t="s">
        <v>114</v>
      </c>
      <c r="C61" s="70"/>
      <c r="D61" s="77"/>
      <c r="E61" s="28"/>
      <c r="F61" s="28"/>
      <c r="G61" s="24"/>
      <c r="H61" s="24"/>
      <c r="I61" s="24"/>
      <c r="J61" s="24"/>
      <c r="K61" s="28"/>
      <c r="L61" s="28"/>
      <c r="M61" s="28"/>
      <c r="N61" s="100">
        <v>1732500</v>
      </c>
      <c r="O61" s="28"/>
      <c r="P61" s="28"/>
      <c r="Q61" s="28"/>
      <c r="R61" s="28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</row>
    <row r="62" spans="1:93" s="71" customFormat="1" x14ac:dyDescent="0.2">
      <c r="A62" s="69" t="s">
        <v>34</v>
      </c>
      <c r="B62" s="25" t="s">
        <v>45</v>
      </c>
      <c r="C62" s="70">
        <f>1014000-100000-100000+400-50000-25000-25000-25000</f>
        <v>689400</v>
      </c>
      <c r="D62" s="77"/>
      <c r="E62" s="154">
        <v>50000</v>
      </c>
      <c r="G62" s="108">
        <v>53800</v>
      </c>
      <c r="H62" s="24"/>
      <c r="I62" s="24"/>
      <c r="J62" s="108">
        <v>110600</v>
      </c>
      <c r="K62" s="106">
        <v>75000</v>
      </c>
      <c r="M62" s="108">
        <v>25000</v>
      </c>
      <c r="O62" s="24"/>
      <c r="P62" s="24"/>
      <c r="Q62" s="108">
        <f>400000/5</f>
        <v>80000</v>
      </c>
      <c r="R62" s="108">
        <f t="shared" ref="R62:U62" si="5">400000/5</f>
        <v>80000</v>
      </c>
      <c r="S62" s="108">
        <f t="shared" si="5"/>
        <v>80000</v>
      </c>
      <c r="T62" s="108">
        <f t="shared" si="5"/>
        <v>80000</v>
      </c>
      <c r="U62" s="108">
        <f t="shared" si="5"/>
        <v>80000</v>
      </c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</row>
    <row r="63" spans="1:93" s="71" customFormat="1" x14ac:dyDescent="0.2">
      <c r="A63" s="69" t="s">
        <v>128</v>
      </c>
      <c r="B63" s="25" t="s">
        <v>129</v>
      </c>
      <c r="C63" s="70"/>
      <c r="D63" s="77"/>
      <c r="E63" s="28"/>
      <c r="F63" s="28"/>
      <c r="G63" s="100">
        <v>17798.11</v>
      </c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</row>
    <row r="64" spans="1:93" s="71" customFormat="1" x14ac:dyDescent="0.2">
      <c r="A64" s="69" t="s">
        <v>101</v>
      </c>
      <c r="B64" s="25" t="s">
        <v>130</v>
      </c>
      <c r="C64" s="70"/>
      <c r="D64" s="77"/>
      <c r="E64" s="24"/>
      <c r="G64" s="108">
        <v>100000</v>
      </c>
      <c r="H64" s="24"/>
      <c r="I64" s="24"/>
      <c r="J64" s="108">
        <v>10000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</row>
    <row r="65" spans="1:93" s="71" customFormat="1" x14ac:dyDescent="0.2">
      <c r="A65" s="69" t="s">
        <v>134</v>
      </c>
      <c r="B65" s="25" t="s">
        <v>135</v>
      </c>
      <c r="C65" s="70"/>
      <c r="D65" s="77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</row>
    <row r="66" spans="1:93" s="71" customFormat="1" x14ac:dyDescent="0.2">
      <c r="A66" s="69" t="s">
        <v>38</v>
      </c>
      <c r="B66" s="25" t="s">
        <v>39</v>
      </c>
      <c r="C66" s="70"/>
      <c r="D66" s="24"/>
      <c r="E66" s="118">
        <f>15000+16800</f>
        <v>31800</v>
      </c>
      <c r="F66" s="100">
        <v>34850</v>
      </c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</row>
    <row r="67" spans="1:93" s="71" customFormat="1" x14ac:dyDescent="0.2">
      <c r="A67" s="69" t="s">
        <v>74</v>
      </c>
      <c r="B67" s="25" t="s">
        <v>131</v>
      </c>
      <c r="C67" s="70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100">
        <v>22000</v>
      </c>
      <c r="R67" s="24"/>
      <c r="S67" s="24"/>
      <c r="T67" s="100">
        <v>15000</v>
      </c>
      <c r="U67" s="143">
        <v>40000</v>
      </c>
      <c r="V67" s="100">
        <v>12500</v>
      </c>
      <c r="W67" s="24"/>
      <c r="X67" s="100">
        <v>20000</v>
      </c>
      <c r="Y67" s="24"/>
      <c r="Z67" s="100">
        <v>80000</v>
      </c>
      <c r="AA67" s="24"/>
      <c r="AB67" s="24"/>
      <c r="AC67" s="24"/>
      <c r="AD67" s="24"/>
      <c r="AE67" s="100">
        <v>20000</v>
      </c>
      <c r="AF67" s="24"/>
      <c r="AG67" s="24"/>
      <c r="AH67" s="24"/>
      <c r="AI67" s="100">
        <v>11667</v>
      </c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</row>
    <row r="68" spans="1:93" s="71" customFormat="1" x14ac:dyDescent="0.2">
      <c r="A68" s="69" t="s">
        <v>74</v>
      </c>
      <c r="B68" s="25" t="s">
        <v>83</v>
      </c>
      <c r="C68" s="70"/>
      <c r="D68" s="24"/>
      <c r="E68" s="24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4"/>
      <c r="V68" s="24"/>
      <c r="W68" s="24"/>
      <c r="X68" s="24"/>
      <c r="Y68" s="24"/>
      <c r="Z68" s="114">
        <v>3567700</v>
      </c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</row>
    <row r="69" spans="1:93" s="73" customFormat="1" x14ac:dyDescent="0.2">
      <c r="A69" s="78"/>
      <c r="B69" s="79"/>
      <c r="C69" s="75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  <c r="BX69" s="72"/>
      <c r="BY69" s="72"/>
      <c r="BZ69" s="72"/>
      <c r="CA69" s="72"/>
      <c r="CB69" s="72"/>
      <c r="CC69" s="72"/>
      <c r="CD69" s="72"/>
      <c r="CE69" s="72"/>
      <c r="CF69" s="72"/>
      <c r="CG69" s="72"/>
      <c r="CH69" s="72"/>
      <c r="CI69" s="72"/>
      <c r="CJ69" s="72"/>
      <c r="CK69" s="72"/>
      <c r="CL69" s="72"/>
      <c r="CM69" s="72"/>
      <c r="CN69" s="72"/>
      <c r="CO69" s="72"/>
    </row>
    <row r="70" spans="1:93" s="94" customFormat="1" ht="33.75" x14ac:dyDescent="0.2">
      <c r="A70" s="91" t="s">
        <v>60</v>
      </c>
      <c r="B70" s="92" t="s">
        <v>58</v>
      </c>
      <c r="C70" s="93">
        <v>248639.70012000017</v>
      </c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3"/>
      <c r="BK70" s="93"/>
      <c r="BL70" s="93"/>
      <c r="BM70" s="93"/>
      <c r="BN70" s="93"/>
      <c r="BO70" s="93"/>
      <c r="BP70" s="93"/>
      <c r="BQ70" s="93"/>
      <c r="BR70" s="93"/>
      <c r="BS70" s="93"/>
      <c r="BT70" s="93"/>
      <c r="BU70" s="93"/>
      <c r="BV70" s="93"/>
      <c r="BW70" s="93"/>
      <c r="BX70" s="93"/>
      <c r="BY70" s="93"/>
      <c r="BZ70" s="93"/>
      <c r="CA70" s="93"/>
      <c r="CB70" s="93"/>
      <c r="CC70" s="93"/>
      <c r="CD70" s="93"/>
      <c r="CE70" s="93"/>
      <c r="CF70" s="93"/>
      <c r="CG70" s="93"/>
      <c r="CH70" s="93"/>
      <c r="CI70" s="93"/>
      <c r="CJ70" s="93"/>
      <c r="CK70" s="93"/>
      <c r="CL70" s="93"/>
      <c r="CM70" s="93"/>
      <c r="CN70" s="93"/>
      <c r="CO70" s="93"/>
    </row>
    <row r="71" spans="1:93" s="94" customFormat="1" ht="33.75" x14ac:dyDescent="0.2">
      <c r="A71" s="91" t="s">
        <v>60</v>
      </c>
      <c r="B71" s="92" t="s">
        <v>59</v>
      </c>
      <c r="C71" s="93">
        <v>0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3"/>
      <c r="CF71" s="93"/>
      <c r="CG71" s="93"/>
      <c r="CH71" s="93"/>
      <c r="CI71" s="93"/>
      <c r="CJ71" s="93"/>
      <c r="CK71" s="93"/>
      <c r="CL71" s="93"/>
      <c r="CM71" s="93"/>
      <c r="CN71" s="93"/>
      <c r="CO71" s="93"/>
    </row>
    <row r="72" spans="1:93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</row>
    <row r="73" spans="1:93" s="5" customFormat="1" x14ac:dyDescent="0.2">
      <c r="A73" s="36" t="s">
        <v>49</v>
      </c>
      <c r="B73" s="12"/>
      <c r="C73" s="13"/>
      <c r="D73" s="26"/>
      <c r="E73" s="13"/>
      <c r="F73" s="13"/>
      <c r="G73" s="13"/>
      <c r="H73" s="13"/>
      <c r="I73" s="13"/>
      <c r="J73" s="126">
        <f>1184471.02/0.77</f>
        <v>1538274.0519480519</v>
      </c>
      <c r="K73" s="13"/>
      <c r="L73" s="13"/>
      <c r="M73" s="126">
        <f>(1369064.01)/0.77</f>
        <v>1778005.2077922078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</row>
    <row r="74" spans="1:93" s="5" customFormat="1" x14ac:dyDescent="0.2">
      <c r="A74" s="36" t="s">
        <v>57</v>
      </c>
      <c r="B74" s="12"/>
      <c r="C74" s="68"/>
      <c r="D74" s="26"/>
      <c r="E74" s="13"/>
      <c r="F74" s="13"/>
      <c r="H74" s="13"/>
      <c r="I74" s="13"/>
      <c r="J74" s="139">
        <f>1933893.44/0.77</f>
        <v>2511549.9220779222</v>
      </c>
      <c r="K74" s="13"/>
      <c r="L74" s="13"/>
      <c r="M74" s="13"/>
      <c r="N74" s="139">
        <f>1749467.21/0.77</f>
        <v>2272035.3376623373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</row>
    <row r="75" spans="1:93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9">
        <v>390000</v>
      </c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</row>
    <row r="76" spans="1:93" s="5" customFormat="1" x14ac:dyDescent="0.2">
      <c r="A76" s="42"/>
      <c r="B76" s="12"/>
      <c r="C76" s="68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</row>
    <row r="77" spans="1:93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</row>
    <row r="78" spans="1:93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</row>
    <row r="79" spans="1:93" s="84" customFormat="1" x14ac:dyDescent="0.2">
      <c r="A79" s="81" t="s">
        <v>66</v>
      </c>
      <c r="B79" s="82"/>
      <c r="C79" s="63"/>
      <c r="D79" s="83"/>
      <c r="E79" s="83">
        <f>$C$5+E16-E26</f>
        <v>803474.07</v>
      </c>
      <c r="F79" s="83">
        <f t="shared" ref="F79:BP79" si="6">E79+F16-F26</f>
        <v>398894.59899999993</v>
      </c>
      <c r="G79" s="83">
        <f t="shared" si="6"/>
        <v>4539345.1343999989</v>
      </c>
      <c r="H79" s="83">
        <f t="shared" si="6"/>
        <v>4539345.1343999989</v>
      </c>
      <c r="I79" s="83">
        <f t="shared" si="6"/>
        <v>4539345.1343999989</v>
      </c>
      <c r="J79" s="83">
        <f t="shared" si="6"/>
        <v>6629539.9803740252</v>
      </c>
      <c r="K79" s="83">
        <f t="shared" si="6"/>
        <v>5475118.3003740255</v>
      </c>
      <c r="L79" s="83">
        <f t="shared" si="6"/>
        <v>5157075.6203740258</v>
      </c>
      <c r="M79" s="83">
        <f t="shared" si="6"/>
        <v>3074959.5625818181</v>
      </c>
      <c r="N79" s="83">
        <f t="shared" si="6"/>
        <v>-2330942.8592805197</v>
      </c>
      <c r="O79" s="83">
        <f t="shared" si="6"/>
        <v>-2330942.8592805197</v>
      </c>
      <c r="P79" s="83">
        <f t="shared" si="6"/>
        <v>-2330942.8592805197</v>
      </c>
      <c r="Q79" s="83">
        <f t="shared" si="6"/>
        <v>-2802410.7592805196</v>
      </c>
      <c r="R79" s="83">
        <f t="shared" si="6"/>
        <v>-2932410.7592805196</v>
      </c>
      <c r="S79" s="83">
        <f t="shared" si="6"/>
        <v>-3075130.3892805194</v>
      </c>
      <c r="T79" s="83">
        <f t="shared" si="6"/>
        <v>-7331673.4342138534</v>
      </c>
      <c r="U79" s="83">
        <f t="shared" si="6"/>
        <v>-8934051.0492138527</v>
      </c>
      <c r="V79" s="83">
        <f t="shared" si="6"/>
        <v>-8946551.0492138527</v>
      </c>
      <c r="W79" s="83">
        <f t="shared" si="6"/>
        <v>-8946551.0492138527</v>
      </c>
      <c r="X79" s="83">
        <f t="shared" si="6"/>
        <v>-9334723.0712138526</v>
      </c>
      <c r="Y79" s="83">
        <f t="shared" si="6"/>
        <v>-9463529.0712138526</v>
      </c>
      <c r="Z79" s="83">
        <f t="shared" si="6"/>
        <v>-13240035.071213853</v>
      </c>
      <c r="AA79" s="83">
        <f t="shared" si="6"/>
        <v>-13423305.071213853</v>
      </c>
      <c r="AB79" s="83">
        <f t="shared" si="6"/>
        <v>-15505931.898813853</v>
      </c>
      <c r="AC79" s="83">
        <f t="shared" si="6"/>
        <v>-15505931.898813853</v>
      </c>
      <c r="AD79" s="83">
        <f t="shared" si="6"/>
        <v>-15505931.898813853</v>
      </c>
      <c r="AE79" s="83">
        <f t="shared" si="6"/>
        <v>-12934218.241313852</v>
      </c>
      <c r="AF79" s="83">
        <f t="shared" si="6"/>
        <v>-13450448.241313852</v>
      </c>
      <c r="AG79" s="83">
        <f t="shared" si="6"/>
        <v>-13450448.241313852</v>
      </c>
      <c r="AH79" s="83">
        <f t="shared" si="6"/>
        <v>-13450448.241313852</v>
      </c>
      <c r="AI79" s="83">
        <f t="shared" si="6"/>
        <v>-15779217.532513853</v>
      </c>
      <c r="AJ79" s="83">
        <f t="shared" si="6"/>
        <v>-15779217.532513853</v>
      </c>
      <c r="AK79" s="83">
        <f t="shared" si="6"/>
        <v>-15779217.532513853</v>
      </c>
      <c r="AL79" s="83">
        <f t="shared" si="6"/>
        <v>-15779217.532513853</v>
      </c>
      <c r="AM79" s="83">
        <f t="shared" si="6"/>
        <v>-15779217.532513853</v>
      </c>
      <c r="AN79" s="83">
        <f t="shared" si="6"/>
        <v>-15779217.532513853</v>
      </c>
      <c r="AO79" s="83">
        <f t="shared" si="6"/>
        <v>-7383484.0881138537</v>
      </c>
      <c r="AP79" s="83">
        <f t="shared" si="6"/>
        <v>-7383484.0881138537</v>
      </c>
      <c r="AQ79" s="83">
        <f t="shared" si="6"/>
        <v>-7383484.0881138537</v>
      </c>
      <c r="AR79" s="83">
        <f t="shared" si="6"/>
        <v>-7383484.0881138537</v>
      </c>
      <c r="AS79" s="83">
        <f t="shared" si="6"/>
        <v>-7383484.0881138537</v>
      </c>
      <c r="AT79" s="83">
        <f t="shared" si="6"/>
        <v>-7383484.0881138537</v>
      </c>
      <c r="AU79" s="83">
        <f t="shared" si="6"/>
        <v>-7383484.0881138537</v>
      </c>
      <c r="AV79" s="83">
        <f t="shared" si="6"/>
        <v>-7383484.0881138537</v>
      </c>
      <c r="AW79" s="83">
        <f t="shared" si="6"/>
        <v>-7383484.0881138537</v>
      </c>
      <c r="AX79" s="83">
        <f t="shared" si="6"/>
        <v>-7383484.0881138537</v>
      </c>
      <c r="AY79" s="83">
        <f t="shared" si="6"/>
        <v>-7383484.0881138537</v>
      </c>
      <c r="AZ79" s="83">
        <f t="shared" si="6"/>
        <v>-7501069.4614471868</v>
      </c>
      <c r="BA79" s="83">
        <f t="shared" si="6"/>
        <v>-7501069.4614471868</v>
      </c>
      <c r="BB79" s="83">
        <f t="shared" si="6"/>
        <v>-7501069.4614471868</v>
      </c>
      <c r="BC79" s="83">
        <f t="shared" si="6"/>
        <v>-8247132.3614471871</v>
      </c>
      <c r="BD79" s="83">
        <f t="shared" si="6"/>
        <v>-8247132.3614471871</v>
      </c>
      <c r="BE79" s="83">
        <f t="shared" si="6"/>
        <v>-8247132.3614471871</v>
      </c>
      <c r="BF79" s="83">
        <f t="shared" si="6"/>
        <v>-8247132.3614471871</v>
      </c>
      <c r="BG79" s="83">
        <f t="shared" si="6"/>
        <v>-8247132.3614471871</v>
      </c>
      <c r="BH79" s="83">
        <f t="shared" si="6"/>
        <v>-5136436.4014471872</v>
      </c>
      <c r="BI79" s="83">
        <f t="shared" si="6"/>
        <v>-5136436.4014471872</v>
      </c>
      <c r="BJ79" s="83">
        <f t="shared" si="6"/>
        <v>-5136436.4014471872</v>
      </c>
      <c r="BK79" s="83">
        <f t="shared" si="6"/>
        <v>-5136436.4014471872</v>
      </c>
      <c r="BL79" s="83">
        <f t="shared" si="6"/>
        <v>-5136436.4014471872</v>
      </c>
      <c r="BM79" s="83">
        <f t="shared" si="6"/>
        <v>-5136436.4014471872</v>
      </c>
      <c r="BN79" s="83">
        <f t="shared" si="6"/>
        <v>-5407942.4014471872</v>
      </c>
      <c r="BO79" s="83">
        <f t="shared" si="6"/>
        <v>-5407942.4014471872</v>
      </c>
      <c r="BP79" s="83">
        <f t="shared" si="6"/>
        <v>-5407942.4014471872</v>
      </c>
      <c r="BQ79" s="83">
        <f t="shared" ref="BQ79:CO79" si="7">BP79+BQ16-BQ26</f>
        <v>-5407942.4014471872</v>
      </c>
      <c r="BR79" s="83">
        <f t="shared" si="7"/>
        <v>-5407942.4014471872</v>
      </c>
      <c r="BS79" s="83">
        <f t="shared" si="7"/>
        <v>-5407942.4014471872</v>
      </c>
      <c r="BT79" s="83">
        <f t="shared" si="7"/>
        <v>-5407942.4014471872</v>
      </c>
      <c r="BU79" s="83">
        <f t="shared" si="7"/>
        <v>-5407942.4014471872</v>
      </c>
      <c r="BV79" s="83">
        <f t="shared" si="7"/>
        <v>-5407942.4014471872</v>
      </c>
      <c r="BW79" s="83">
        <f t="shared" si="7"/>
        <v>-5407942.4014471872</v>
      </c>
      <c r="BX79" s="83">
        <f t="shared" si="7"/>
        <v>-5407942.4014471872</v>
      </c>
      <c r="BY79" s="83">
        <f t="shared" si="7"/>
        <v>-5407942.4014471872</v>
      </c>
      <c r="BZ79" s="83">
        <f t="shared" si="7"/>
        <v>-5407942.4014471872</v>
      </c>
      <c r="CA79" s="83">
        <f t="shared" si="7"/>
        <v>-5407942.4014471872</v>
      </c>
      <c r="CB79" s="83">
        <f t="shared" si="7"/>
        <v>-5407942.4014471872</v>
      </c>
      <c r="CC79" s="83">
        <f t="shared" si="7"/>
        <v>-5407942.4014471872</v>
      </c>
      <c r="CD79" s="83">
        <f t="shared" si="7"/>
        <v>-5407942.4014471872</v>
      </c>
      <c r="CE79" s="83">
        <f t="shared" si="7"/>
        <v>-5407942.4014471872</v>
      </c>
      <c r="CF79" s="83">
        <f t="shared" si="7"/>
        <v>-5407942.4014471872</v>
      </c>
      <c r="CG79" s="83">
        <f t="shared" si="7"/>
        <v>-5407942.4014471872</v>
      </c>
      <c r="CH79" s="83">
        <f t="shared" si="7"/>
        <v>-5407942.4014471872</v>
      </c>
      <c r="CI79" s="83">
        <f t="shared" si="7"/>
        <v>-5407942.4014471872</v>
      </c>
      <c r="CJ79" s="83">
        <f t="shared" si="7"/>
        <v>-5407942.4014471872</v>
      </c>
      <c r="CK79" s="83">
        <f t="shared" si="7"/>
        <v>-5407942.4014471872</v>
      </c>
      <c r="CL79" s="83">
        <f t="shared" si="7"/>
        <v>-5407942.4014471872</v>
      </c>
      <c r="CM79" s="83">
        <f t="shared" si="7"/>
        <v>-5407942.4014471872</v>
      </c>
      <c r="CN79" s="83">
        <f t="shared" si="7"/>
        <v>-5407942.4014471872</v>
      </c>
      <c r="CO79" s="83">
        <f t="shared" si="7"/>
        <v>-5407942.4014471872</v>
      </c>
    </row>
    <row r="81" spans="1:93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</row>
    <row r="82" spans="1:93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</row>
    <row r="83" spans="1:93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</row>
    <row r="84" spans="1:93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</row>
    <row r="85" spans="1:93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</row>
    <row r="86" spans="1:93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</row>
    <row r="88" spans="1:93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P88"/>
  <sheetViews>
    <sheetView topLeftCell="A16" workbookViewId="0">
      <selection activeCell="E43" sqref="E43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6" width="10.85546875" style="3" bestFit="1" customWidth="1"/>
    <col min="7" max="7" width="11.7109375" style="3" bestFit="1" customWidth="1"/>
    <col min="8" max="14" width="10.85546875" style="3" bestFit="1" customWidth="1"/>
    <col min="15" max="15" width="11.7109375" style="3" bestFit="1" customWidth="1"/>
    <col min="16" max="21" width="10.85546875" style="3" bestFit="1" customWidth="1"/>
    <col min="22" max="22" width="14" style="3" customWidth="1"/>
    <col min="23" max="23" width="12.85546875" style="3" customWidth="1"/>
    <col min="24" max="24" width="14.28515625" style="3" customWidth="1"/>
    <col min="25" max="25" width="12" style="3" customWidth="1"/>
    <col min="26" max="26" width="11" style="3" customWidth="1"/>
    <col min="27" max="27" width="11.85546875" style="3" customWidth="1"/>
    <col min="28" max="28" width="12.42578125" style="3" customWidth="1"/>
    <col min="29" max="29" width="14.85546875" style="3" customWidth="1"/>
    <col min="30" max="30" width="13" style="3" customWidth="1"/>
    <col min="31" max="31" width="12.7109375" style="3" customWidth="1"/>
    <col min="32" max="32" width="11.85546875" style="3" customWidth="1"/>
    <col min="33" max="33" width="13.140625" style="3" customWidth="1"/>
    <col min="34" max="34" width="11.7109375" style="3" customWidth="1"/>
    <col min="35" max="35" width="12.5703125" style="3" customWidth="1"/>
    <col min="36" max="36" width="15.7109375" style="3" customWidth="1"/>
    <col min="37" max="37" width="12.7109375" style="3" customWidth="1"/>
    <col min="38" max="39" width="12.85546875" style="3" customWidth="1"/>
    <col min="40" max="41" width="11.85546875" style="3" customWidth="1"/>
    <col min="42" max="42" width="13" style="3" customWidth="1"/>
    <col min="43" max="43" width="12.28515625" style="3" customWidth="1"/>
    <col min="44" max="44" width="12.140625" style="3" customWidth="1"/>
    <col min="45" max="45" width="11.140625" style="3" customWidth="1"/>
    <col min="46" max="46" width="12.7109375" style="3" customWidth="1"/>
    <col min="47" max="52" width="9" style="3"/>
    <col min="53" max="53" width="12" style="3" customWidth="1"/>
    <col min="54" max="54" width="11.140625" style="3" customWidth="1"/>
    <col min="55" max="55" width="10.28515625" style="3" customWidth="1"/>
    <col min="56" max="56" width="11.42578125" style="3" customWidth="1"/>
    <col min="57" max="60" width="9" style="3"/>
    <col min="61" max="61" width="10.42578125" style="3" customWidth="1"/>
    <col min="62" max="62" width="10.28515625" style="3" bestFit="1" customWidth="1"/>
    <col min="63" max="66" width="9" style="3"/>
    <col min="67" max="67" width="12.42578125" style="3" customWidth="1"/>
    <col min="68" max="16384" width="9" style="3"/>
  </cols>
  <sheetData>
    <row r="1" spans="1:94" ht="12" thickBot="1" x14ac:dyDescent="0.3"/>
    <row r="2" spans="1:94" s="1" customFormat="1" x14ac:dyDescent="0.2">
      <c r="A2" s="43" t="s">
        <v>50</v>
      </c>
      <c r="B2" s="15" t="s">
        <v>27</v>
      </c>
      <c r="C2" s="50">
        <v>2685857.26</v>
      </c>
    </row>
    <row r="3" spans="1:94" s="1" customFormat="1" ht="12" thickBot="1" x14ac:dyDescent="0.25">
      <c r="A3" s="44">
        <v>88.549000000000007</v>
      </c>
      <c r="B3" s="15" t="s">
        <v>28</v>
      </c>
      <c r="C3" s="50">
        <v>10778.95</v>
      </c>
    </row>
    <row r="4" spans="1:94" s="8" customFormat="1" ht="12" thickBot="1" x14ac:dyDescent="0.25">
      <c r="A4" s="45"/>
      <c r="B4" s="15" t="s">
        <v>25</v>
      </c>
      <c r="C4" s="51">
        <v>0</v>
      </c>
    </row>
    <row r="5" spans="1:94" s="6" customFormat="1" x14ac:dyDescent="0.2">
      <c r="A5" s="43" t="s">
        <v>51</v>
      </c>
      <c r="B5" s="49" t="s">
        <v>26</v>
      </c>
      <c r="C5" s="52">
        <f>SUM(C2:C4)</f>
        <v>2696636.21</v>
      </c>
    </row>
    <row r="6" spans="1:94" s="6" customFormat="1" ht="12" thickBot="1" x14ac:dyDescent="0.25">
      <c r="A6" s="44">
        <v>74.296300000000002</v>
      </c>
      <c r="B6" s="16"/>
      <c r="C6" s="53"/>
      <c r="D6" s="17"/>
    </row>
    <row r="7" spans="1:94" s="6" customFormat="1" ht="12" thickBot="1" x14ac:dyDescent="0.25">
      <c r="A7" s="105" t="s">
        <v>51</v>
      </c>
      <c r="B7" s="18" t="s">
        <v>127</v>
      </c>
      <c r="C7" s="54">
        <f>SUM(E16:X16)</f>
        <v>15001819.276000001</v>
      </c>
    </row>
    <row r="8" spans="1:94" x14ac:dyDescent="0.25">
      <c r="A8" s="43" t="s">
        <v>52</v>
      </c>
      <c r="B8" s="18" t="s">
        <v>126</v>
      </c>
      <c r="C8" s="54">
        <f>SUM(E25:X26)</f>
        <v>26798341.225013852</v>
      </c>
    </row>
    <row r="9" spans="1:94" ht="12" thickBot="1" x14ac:dyDescent="0.3">
      <c r="A9" s="44">
        <v>10.9306</v>
      </c>
      <c r="B9" s="19" t="s">
        <v>64</v>
      </c>
      <c r="C9" s="55">
        <f>C5+C7-C8-C11</f>
        <v>-18670300.124133851</v>
      </c>
    </row>
    <row r="10" spans="1:94" x14ac:dyDescent="0.25">
      <c r="A10" s="99" t="s">
        <v>80</v>
      </c>
      <c r="B10" s="18" t="s">
        <v>23</v>
      </c>
      <c r="C10" s="56">
        <f>C16</f>
        <v>0</v>
      </c>
    </row>
    <row r="11" spans="1:94" x14ac:dyDescent="0.25">
      <c r="A11" s="101" t="s">
        <v>87</v>
      </c>
      <c r="B11" s="18" t="s">
        <v>24</v>
      </c>
      <c r="C11" s="54">
        <f>C26</f>
        <v>9570414.3851200007</v>
      </c>
    </row>
    <row r="12" spans="1:94" x14ac:dyDescent="0.25">
      <c r="A12" s="107" t="s">
        <v>88</v>
      </c>
    </row>
    <row r="13" spans="1:94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94" s="2" customFormat="1" x14ac:dyDescent="0.25">
      <c r="A14" s="64"/>
      <c r="B14" s="65"/>
      <c r="C14" s="58" t="s">
        <v>56</v>
      </c>
      <c r="D14" s="66"/>
      <c r="E14" s="66">
        <v>46154</v>
      </c>
      <c r="F14" s="66">
        <v>46155</v>
      </c>
      <c r="G14" s="66">
        <v>46156</v>
      </c>
      <c r="H14" s="66">
        <v>46157</v>
      </c>
      <c r="I14" s="66">
        <v>46158</v>
      </c>
      <c r="J14" s="66">
        <v>46159</v>
      </c>
      <c r="K14" s="66">
        <v>46160</v>
      </c>
      <c r="L14" s="66">
        <v>46161</v>
      </c>
      <c r="M14" s="66">
        <v>46162</v>
      </c>
      <c r="N14" s="66">
        <v>46163</v>
      </c>
      <c r="O14" s="66">
        <v>46164</v>
      </c>
      <c r="P14" s="66">
        <v>46165</v>
      </c>
      <c r="Q14" s="66">
        <v>46166</v>
      </c>
      <c r="R14" s="66">
        <v>46167</v>
      </c>
      <c r="S14" s="66">
        <v>46168</v>
      </c>
      <c r="T14" s="66">
        <v>46169</v>
      </c>
      <c r="U14" s="66">
        <v>46170</v>
      </c>
      <c r="V14" s="66">
        <v>46171</v>
      </c>
      <c r="W14" s="66">
        <v>46172</v>
      </c>
      <c r="X14" s="66">
        <v>46173</v>
      </c>
      <c r="Y14" s="66">
        <v>46174</v>
      </c>
      <c r="Z14" s="66">
        <v>46175</v>
      </c>
      <c r="AA14" s="66">
        <v>46176</v>
      </c>
      <c r="AB14" s="66">
        <v>46177</v>
      </c>
      <c r="AC14" s="66">
        <v>46178</v>
      </c>
      <c r="AD14" s="66">
        <v>46179</v>
      </c>
      <c r="AE14" s="66">
        <v>46180</v>
      </c>
      <c r="AF14" s="66">
        <v>46181</v>
      </c>
      <c r="AG14" s="66">
        <v>46182</v>
      </c>
      <c r="AH14" s="66">
        <v>46183</v>
      </c>
      <c r="AI14" s="66">
        <v>46184</v>
      </c>
      <c r="AJ14" s="66">
        <v>46185</v>
      </c>
      <c r="AK14" s="66">
        <v>46186</v>
      </c>
      <c r="AL14" s="66">
        <v>46187</v>
      </c>
      <c r="AM14" s="66">
        <v>46188</v>
      </c>
      <c r="AN14" s="66">
        <v>46189</v>
      </c>
      <c r="AO14" s="66">
        <v>46190</v>
      </c>
      <c r="AP14" s="66">
        <v>46191</v>
      </c>
      <c r="AQ14" s="66">
        <v>46192</v>
      </c>
      <c r="AR14" s="66">
        <v>46193</v>
      </c>
      <c r="AS14" s="66">
        <v>46194</v>
      </c>
      <c r="AT14" s="66">
        <v>46195</v>
      </c>
      <c r="AU14" s="66">
        <v>46196</v>
      </c>
      <c r="AV14" s="66">
        <v>46197</v>
      </c>
      <c r="AW14" s="66">
        <v>46198</v>
      </c>
      <c r="AX14" s="66">
        <v>46199</v>
      </c>
      <c r="AY14" s="66">
        <v>46200</v>
      </c>
      <c r="AZ14" s="66">
        <v>46201</v>
      </c>
      <c r="BA14" s="66">
        <v>46202</v>
      </c>
      <c r="BB14" s="66">
        <v>46203</v>
      </c>
      <c r="BC14" s="66">
        <v>46204</v>
      </c>
      <c r="BD14" s="66">
        <v>46205</v>
      </c>
      <c r="BE14" s="66">
        <v>46206</v>
      </c>
      <c r="BF14" s="66">
        <v>46207</v>
      </c>
      <c r="BG14" s="66">
        <v>46208</v>
      </c>
      <c r="BH14" s="66">
        <v>46209</v>
      </c>
      <c r="BI14" s="66">
        <v>46210</v>
      </c>
      <c r="BJ14" s="66">
        <v>46211</v>
      </c>
      <c r="BK14" s="66">
        <v>46212</v>
      </c>
      <c r="BL14" s="66">
        <v>46213</v>
      </c>
      <c r="BM14" s="66">
        <v>46214</v>
      </c>
      <c r="BN14" s="66">
        <v>46215</v>
      </c>
      <c r="BO14" s="66">
        <v>46216</v>
      </c>
      <c r="BP14" s="66">
        <v>46217</v>
      </c>
      <c r="BQ14" s="66">
        <v>46218</v>
      </c>
      <c r="BR14" s="66">
        <v>46219</v>
      </c>
      <c r="BS14" s="66">
        <v>46220</v>
      </c>
      <c r="BT14" s="66">
        <v>46221</v>
      </c>
      <c r="BU14" s="66">
        <v>46222</v>
      </c>
      <c r="BV14" s="66">
        <v>46223</v>
      </c>
      <c r="BW14" s="66">
        <v>46224</v>
      </c>
      <c r="BX14" s="66">
        <v>46225</v>
      </c>
      <c r="BY14" s="66">
        <v>46226</v>
      </c>
      <c r="BZ14" s="66">
        <v>46227</v>
      </c>
      <c r="CA14" s="66">
        <v>46228</v>
      </c>
      <c r="CB14" s="66">
        <v>46229</v>
      </c>
      <c r="CC14" s="66">
        <v>46230</v>
      </c>
      <c r="CD14" s="66">
        <v>46231</v>
      </c>
      <c r="CE14" s="66">
        <v>46232</v>
      </c>
      <c r="CF14" s="66">
        <v>46233</v>
      </c>
      <c r="CG14" s="66">
        <v>46234</v>
      </c>
      <c r="CH14" s="66">
        <v>46235</v>
      </c>
      <c r="CI14" s="66">
        <v>46236</v>
      </c>
      <c r="CJ14" s="66">
        <v>46237</v>
      </c>
      <c r="CK14" s="66">
        <v>46238</v>
      </c>
      <c r="CL14" s="66">
        <v>46239</v>
      </c>
      <c r="CM14" s="66">
        <v>46240</v>
      </c>
      <c r="CN14" s="66">
        <v>46241</v>
      </c>
      <c r="CO14" s="66">
        <v>46242</v>
      </c>
      <c r="CP14" s="66">
        <v>46243</v>
      </c>
    </row>
    <row r="15" spans="1:94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</row>
    <row r="16" spans="1:94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BO16" si="0">SUM(E17:E25)</f>
        <v>0</v>
      </c>
      <c r="F16" s="29">
        <f t="shared" si="0"/>
        <v>0</v>
      </c>
      <c r="G16" s="29">
        <f t="shared" si="0"/>
        <v>7037500</v>
      </c>
      <c r="H16" s="29">
        <f t="shared" si="0"/>
        <v>0</v>
      </c>
      <c r="I16" s="135">
        <f t="shared" si="0"/>
        <v>0</v>
      </c>
      <c r="J16" s="135">
        <f t="shared" si="0"/>
        <v>0</v>
      </c>
      <c r="K16" s="29">
        <f t="shared" si="0"/>
        <v>7882500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135">
        <f t="shared" si="0"/>
        <v>0</v>
      </c>
      <c r="Q16" s="135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81819.276000000013</v>
      </c>
      <c r="V16" s="29">
        <f t="shared" si="0"/>
        <v>0</v>
      </c>
      <c r="W16" s="135">
        <f t="shared" si="0"/>
        <v>0</v>
      </c>
      <c r="X16" s="135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135">
        <f t="shared" si="0"/>
        <v>0</v>
      </c>
      <c r="AE16" s="135">
        <f t="shared" si="0"/>
        <v>0</v>
      </c>
      <c r="AF16" s="29">
        <f t="shared" si="0"/>
        <v>3099215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135">
        <f t="shared" si="0"/>
        <v>0</v>
      </c>
      <c r="AL16" s="135">
        <f t="shared" si="0"/>
        <v>0</v>
      </c>
      <c r="AM16" s="29">
        <f t="shared" si="0"/>
        <v>0</v>
      </c>
      <c r="AN16" s="29">
        <f t="shared" si="0"/>
        <v>0</v>
      </c>
      <c r="AO16" s="29">
        <f t="shared" si="0"/>
        <v>0</v>
      </c>
      <c r="AP16" s="29">
        <f t="shared" si="0"/>
        <v>8508142.1160000004</v>
      </c>
      <c r="AQ16" s="29">
        <f t="shared" si="0"/>
        <v>0</v>
      </c>
      <c r="AR16" s="135">
        <f t="shared" si="0"/>
        <v>0</v>
      </c>
      <c r="AS16" s="135">
        <f t="shared" si="0"/>
        <v>0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135">
        <f t="shared" si="0"/>
        <v>0</v>
      </c>
      <c r="AZ16" s="135">
        <f t="shared" si="0"/>
        <v>0</v>
      </c>
      <c r="BA16" s="29">
        <f t="shared" si="0"/>
        <v>3152344.4000000004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135">
        <f t="shared" si="0"/>
        <v>0</v>
      </c>
      <c r="BG16" s="135">
        <f t="shared" si="0"/>
        <v>0</v>
      </c>
      <c r="BH16" s="29">
        <f t="shared" si="0"/>
        <v>0</v>
      </c>
      <c r="BI16" s="29">
        <f t="shared" si="0"/>
        <v>3152344.4000000004</v>
      </c>
      <c r="BJ16" s="29">
        <f t="shared" si="0"/>
        <v>0</v>
      </c>
      <c r="BK16" s="29">
        <f t="shared" si="0"/>
        <v>0</v>
      </c>
      <c r="BL16" s="29">
        <f t="shared" si="0"/>
        <v>0</v>
      </c>
      <c r="BM16" s="135">
        <f t="shared" si="0"/>
        <v>0</v>
      </c>
      <c r="BN16" s="135">
        <f t="shared" si="0"/>
        <v>0</v>
      </c>
      <c r="BO16" s="29">
        <f t="shared" si="0"/>
        <v>0</v>
      </c>
      <c r="BP16" s="29">
        <f t="shared" ref="BP16:CP16" si="1">SUM(BP17:BP25)</f>
        <v>0</v>
      </c>
      <c r="BQ16" s="29">
        <f t="shared" si="1"/>
        <v>0</v>
      </c>
      <c r="BR16" s="29">
        <f t="shared" si="1"/>
        <v>0</v>
      </c>
      <c r="BS16" s="29">
        <f t="shared" si="1"/>
        <v>0</v>
      </c>
      <c r="BT16" s="29">
        <f t="shared" si="1"/>
        <v>0</v>
      </c>
      <c r="BU16" s="29">
        <f t="shared" si="1"/>
        <v>0</v>
      </c>
      <c r="BV16" s="29">
        <f t="shared" si="1"/>
        <v>0</v>
      </c>
      <c r="BW16" s="29">
        <f t="shared" si="1"/>
        <v>0</v>
      </c>
      <c r="BX16" s="29">
        <f t="shared" si="1"/>
        <v>0</v>
      </c>
      <c r="BY16" s="29">
        <f t="shared" si="1"/>
        <v>0</v>
      </c>
      <c r="BZ16" s="29">
        <f t="shared" si="1"/>
        <v>0</v>
      </c>
      <c r="CA16" s="29">
        <f t="shared" si="1"/>
        <v>0</v>
      </c>
      <c r="CB16" s="29">
        <f t="shared" si="1"/>
        <v>0</v>
      </c>
      <c r="CC16" s="29">
        <f t="shared" si="1"/>
        <v>0</v>
      </c>
      <c r="CD16" s="29">
        <f t="shared" si="1"/>
        <v>0</v>
      </c>
      <c r="CE16" s="29">
        <f t="shared" si="1"/>
        <v>0</v>
      </c>
      <c r="CF16" s="29">
        <f t="shared" si="1"/>
        <v>0</v>
      </c>
      <c r="CG16" s="29">
        <f t="shared" si="1"/>
        <v>0</v>
      </c>
      <c r="CH16" s="29">
        <f t="shared" si="1"/>
        <v>0</v>
      </c>
      <c r="CI16" s="29">
        <f t="shared" si="1"/>
        <v>0</v>
      </c>
      <c r="CJ16" s="29">
        <f t="shared" si="1"/>
        <v>0</v>
      </c>
      <c r="CK16" s="29">
        <f t="shared" si="1"/>
        <v>0</v>
      </c>
      <c r="CL16" s="29">
        <f t="shared" si="1"/>
        <v>0</v>
      </c>
      <c r="CM16" s="29">
        <f t="shared" si="1"/>
        <v>0</v>
      </c>
      <c r="CN16" s="29">
        <f t="shared" si="1"/>
        <v>0</v>
      </c>
      <c r="CO16" s="29">
        <f t="shared" si="1"/>
        <v>0</v>
      </c>
      <c r="CP16" s="29">
        <f t="shared" si="1"/>
        <v>0</v>
      </c>
    </row>
    <row r="17" spans="1:94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1"/>
      <c r="CP17" s="141"/>
    </row>
    <row r="18" spans="1:94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</row>
    <row r="19" spans="1:94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</row>
    <row r="20" spans="1:94" s="80" customFormat="1" x14ac:dyDescent="0.25">
      <c r="A20" s="40" t="s">
        <v>12</v>
      </c>
      <c r="B20" s="21"/>
      <c r="C20" s="32"/>
      <c r="D20" s="30"/>
      <c r="E20" s="30"/>
      <c r="F20" s="30"/>
      <c r="G20" s="30">
        <v>7037500</v>
      </c>
      <c r="H20" s="30"/>
      <c r="I20" s="30"/>
      <c r="J20" s="30"/>
      <c r="K20" s="30">
        <v>7882500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</row>
    <row r="21" spans="1:94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>
        <f>924*A3</f>
        <v>81819.276000000013</v>
      </c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</row>
    <row r="22" spans="1:94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</row>
    <row r="23" spans="1:94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>
        <f>96084*A3</f>
        <v>8508142.1160000004</v>
      </c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</row>
    <row r="24" spans="1:94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W24" s="30"/>
      <c r="X24" s="30"/>
      <c r="Y24" s="30"/>
      <c r="Z24" s="30"/>
      <c r="AA24" s="30"/>
      <c r="AB24" s="30"/>
      <c r="AC24" s="30"/>
      <c r="AD24" s="30"/>
      <c r="AE24" s="30"/>
      <c r="AF24" s="30">
        <f>35000*A3</f>
        <v>3099215</v>
      </c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>
        <f>35600*A3</f>
        <v>3152344.4000000004</v>
      </c>
      <c r="BB24" s="30"/>
      <c r="BC24" s="30"/>
      <c r="BD24" s="30"/>
      <c r="BE24" s="30"/>
      <c r="BF24" s="30"/>
      <c r="BG24" s="30"/>
      <c r="BH24" s="30"/>
      <c r="BI24" s="30">
        <f>35600*A3</f>
        <v>3152344.4000000004</v>
      </c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</row>
    <row r="25" spans="1:94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</row>
    <row r="26" spans="1:94" s="4" customFormat="1" x14ac:dyDescent="0.2">
      <c r="A26" s="41" t="s">
        <v>1</v>
      </c>
      <c r="B26" s="22"/>
      <c r="C26" s="34">
        <f>SUM(C28:C77)</f>
        <v>9570414.3851200007</v>
      </c>
      <c r="D26" s="34"/>
      <c r="E26" s="34">
        <f t="shared" ref="E26:AJ26" si="2">SUM(E27:E78)</f>
        <v>1408937.04</v>
      </c>
      <c r="F26" s="34">
        <f t="shared" si="2"/>
        <v>775239.44</v>
      </c>
      <c r="G26" s="34">
        <f t="shared" si="2"/>
        <v>405060.00349999999</v>
      </c>
      <c r="H26" s="34">
        <f t="shared" si="2"/>
        <v>2796415.6490999996</v>
      </c>
      <c r="I26" s="34">
        <f t="shared" si="2"/>
        <v>0</v>
      </c>
      <c r="J26" s="34">
        <f t="shared" si="2"/>
        <v>0</v>
      </c>
      <c r="K26" s="34">
        <f t="shared" si="2"/>
        <v>5792610.2540259743</v>
      </c>
      <c r="L26" s="34">
        <f t="shared" si="2"/>
        <v>1154726.78</v>
      </c>
      <c r="M26" s="34">
        <f t="shared" si="2"/>
        <v>318347.78000000003</v>
      </c>
      <c r="N26" s="34">
        <f t="shared" si="2"/>
        <v>2038923.3577922077</v>
      </c>
      <c r="O26" s="34">
        <f t="shared" si="2"/>
        <v>5410323.3547623372</v>
      </c>
      <c r="P26" s="34">
        <f t="shared" si="2"/>
        <v>0</v>
      </c>
      <c r="Q26" s="34">
        <f t="shared" si="2"/>
        <v>0</v>
      </c>
      <c r="R26" s="34">
        <f t="shared" si="2"/>
        <v>471722.15</v>
      </c>
      <c r="S26" s="34">
        <f t="shared" si="2"/>
        <v>130000</v>
      </c>
      <c r="T26" s="34">
        <f t="shared" si="2"/>
        <v>143151.85500000001</v>
      </c>
      <c r="U26" s="34">
        <f t="shared" si="2"/>
        <v>4337281.333333334</v>
      </c>
      <c r="V26" s="34">
        <f t="shared" si="2"/>
        <v>1603102.2275</v>
      </c>
      <c r="W26" s="34">
        <f t="shared" si="2"/>
        <v>12500</v>
      </c>
      <c r="X26" s="34">
        <f t="shared" si="2"/>
        <v>0</v>
      </c>
      <c r="Y26" s="34">
        <f t="shared" si="2"/>
        <v>388421.18700000003</v>
      </c>
      <c r="Z26" s="34">
        <f t="shared" si="2"/>
        <v>128806</v>
      </c>
      <c r="AA26" s="34">
        <f t="shared" si="2"/>
        <v>3776506</v>
      </c>
      <c r="AB26" s="34">
        <f t="shared" si="2"/>
        <v>183270</v>
      </c>
      <c r="AC26" s="34">
        <f t="shared" si="2"/>
        <v>1773903.148</v>
      </c>
      <c r="AD26" s="34">
        <f t="shared" si="2"/>
        <v>0</v>
      </c>
      <c r="AE26" s="34">
        <f t="shared" si="2"/>
        <v>0</v>
      </c>
      <c r="AF26" s="34">
        <f t="shared" si="2"/>
        <v>467082.41125</v>
      </c>
      <c r="AG26" s="34">
        <f t="shared" si="2"/>
        <v>516230</v>
      </c>
      <c r="AH26" s="34">
        <f t="shared" si="2"/>
        <v>0</v>
      </c>
      <c r="AI26" s="34">
        <f t="shared" si="2"/>
        <v>0</v>
      </c>
      <c r="AJ26" s="34">
        <f t="shared" si="2"/>
        <v>2331880.3776000002</v>
      </c>
      <c r="AK26" s="34">
        <f t="shared" ref="AK26:BL26" si="3">SUM(AK27:AK78)</f>
        <v>0</v>
      </c>
      <c r="AL26" s="34">
        <f t="shared" si="3"/>
        <v>0</v>
      </c>
      <c r="AM26" s="34">
        <f t="shared" si="3"/>
        <v>0</v>
      </c>
      <c r="AN26" s="34">
        <f t="shared" si="3"/>
        <v>0</v>
      </c>
      <c r="AO26" s="34">
        <f t="shared" si="3"/>
        <v>0</v>
      </c>
      <c r="AP26" s="34">
        <f t="shared" si="3"/>
        <v>0</v>
      </c>
      <c r="AQ26" s="34">
        <f t="shared" si="3"/>
        <v>0</v>
      </c>
      <c r="AR26" s="34">
        <f t="shared" si="3"/>
        <v>0</v>
      </c>
      <c r="AS26" s="34">
        <f t="shared" si="3"/>
        <v>0</v>
      </c>
      <c r="AT26" s="34">
        <f t="shared" si="3"/>
        <v>0</v>
      </c>
      <c r="AU26" s="34">
        <f t="shared" si="3"/>
        <v>0</v>
      </c>
      <c r="AV26" s="34">
        <f t="shared" si="3"/>
        <v>0</v>
      </c>
      <c r="AW26" s="34">
        <f t="shared" si="3"/>
        <v>0</v>
      </c>
      <c r="AX26" s="34">
        <f t="shared" si="3"/>
        <v>0</v>
      </c>
      <c r="AY26" s="34">
        <f t="shared" si="3"/>
        <v>0</v>
      </c>
      <c r="AZ26" s="34">
        <f t="shared" si="3"/>
        <v>0</v>
      </c>
      <c r="BA26" s="34">
        <f t="shared" si="3"/>
        <v>3228281.3333333335</v>
      </c>
      <c r="BB26" s="34">
        <f t="shared" si="3"/>
        <v>0</v>
      </c>
      <c r="BC26" s="34">
        <f t="shared" si="3"/>
        <v>0</v>
      </c>
      <c r="BD26" s="34">
        <f t="shared" si="3"/>
        <v>746062.9</v>
      </c>
      <c r="BE26" s="34">
        <f t="shared" si="3"/>
        <v>0</v>
      </c>
      <c r="BF26" s="34">
        <f t="shared" si="3"/>
        <v>0</v>
      </c>
      <c r="BG26" s="34">
        <f t="shared" si="3"/>
        <v>0</v>
      </c>
      <c r="BH26" s="34">
        <f t="shared" si="3"/>
        <v>0</v>
      </c>
      <c r="BI26" s="34">
        <f t="shared" si="3"/>
        <v>0</v>
      </c>
      <c r="BJ26" s="34">
        <f t="shared" si="3"/>
        <v>0</v>
      </c>
      <c r="BK26" s="34">
        <f t="shared" si="3"/>
        <v>0</v>
      </c>
      <c r="BL26" s="34">
        <f t="shared" si="3"/>
        <v>0</v>
      </c>
      <c r="BM26" s="34">
        <f t="shared" ref="BM26:CP26" si="4">SUM(BM27:BM78)</f>
        <v>0</v>
      </c>
      <c r="BN26" s="34">
        <f t="shared" si="4"/>
        <v>0</v>
      </c>
      <c r="BO26" s="34">
        <f t="shared" si="4"/>
        <v>271506</v>
      </c>
      <c r="BP26" s="34">
        <f t="shared" si="4"/>
        <v>0</v>
      </c>
      <c r="BQ26" s="34">
        <f t="shared" si="4"/>
        <v>0</v>
      </c>
      <c r="BR26" s="34">
        <f t="shared" si="4"/>
        <v>0</v>
      </c>
      <c r="BS26" s="34">
        <f t="shared" si="4"/>
        <v>0</v>
      </c>
      <c r="BT26" s="34">
        <f t="shared" si="4"/>
        <v>0</v>
      </c>
      <c r="BU26" s="34">
        <f t="shared" si="4"/>
        <v>0</v>
      </c>
      <c r="BV26" s="34">
        <f t="shared" si="4"/>
        <v>0</v>
      </c>
      <c r="BW26" s="34">
        <f t="shared" si="4"/>
        <v>0</v>
      </c>
      <c r="BX26" s="34">
        <f t="shared" si="4"/>
        <v>0</v>
      </c>
      <c r="BY26" s="34">
        <f t="shared" si="4"/>
        <v>0</v>
      </c>
      <c r="BZ26" s="34">
        <f t="shared" si="4"/>
        <v>0</v>
      </c>
      <c r="CA26" s="34">
        <f t="shared" si="4"/>
        <v>0</v>
      </c>
      <c r="CB26" s="34">
        <f t="shared" si="4"/>
        <v>0</v>
      </c>
      <c r="CC26" s="34">
        <f t="shared" si="4"/>
        <v>0</v>
      </c>
      <c r="CD26" s="34">
        <f t="shared" si="4"/>
        <v>0</v>
      </c>
      <c r="CE26" s="34">
        <f t="shared" si="4"/>
        <v>0</v>
      </c>
      <c r="CF26" s="34">
        <f t="shared" si="4"/>
        <v>0</v>
      </c>
      <c r="CG26" s="34">
        <f t="shared" si="4"/>
        <v>0</v>
      </c>
      <c r="CH26" s="34">
        <f t="shared" si="4"/>
        <v>0</v>
      </c>
      <c r="CI26" s="34">
        <f t="shared" si="4"/>
        <v>0</v>
      </c>
      <c r="CJ26" s="34">
        <f t="shared" si="4"/>
        <v>0</v>
      </c>
      <c r="CK26" s="34">
        <f t="shared" si="4"/>
        <v>0</v>
      </c>
      <c r="CL26" s="34">
        <f t="shared" si="4"/>
        <v>0</v>
      </c>
      <c r="CM26" s="34">
        <f t="shared" si="4"/>
        <v>0</v>
      </c>
      <c r="CN26" s="34">
        <f t="shared" si="4"/>
        <v>0</v>
      </c>
      <c r="CO26" s="34">
        <f t="shared" si="4"/>
        <v>0</v>
      </c>
      <c r="CP26" s="34">
        <f t="shared" si="4"/>
        <v>0</v>
      </c>
    </row>
    <row r="27" spans="1:94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</row>
    <row r="28" spans="1:94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</row>
    <row r="29" spans="1:94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</row>
    <row r="30" spans="1:94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>
        <f>8399365/3</f>
        <v>2799788.3333333335</v>
      </c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>
        <f>8399365/3</f>
        <v>2799788.3333333335</v>
      </c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</row>
    <row r="31" spans="1:94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90">
        <f>291375+137118</f>
        <v>428493</v>
      </c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90">
        <f>291375+137118</f>
        <v>428493</v>
      </c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</row>
    <row r="32" spans="1:94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>
        <v>420000</v>
      </c>
      <c r="I32" s="24"/>
      <c r="J32" s="24"/>
      <c r="K32" s="24"/>
      <c r="L32" s="24">
        <v>400000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</row>
    <row r="33" spans="1:94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114">
        <v>271506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>
        <v>271506</v>
      </c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>
        <v>271506</v>
      </c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</row>
    <row r="34" spans="1:94" s="1" customFormat="1" x14ac:dyDescent="0.2">
      <c r="A34" s="36" t="s">
        <v>54</v>
      </c>
      <c r="B34" s="23"/>
      <c r="C34" s="60"/>
      <c r="D34" s="24"/>
      <c r="E34" s="118">
        <v>50000</v>
      </c>
      <c r="F34" s="24">
        <v>50000</v>
      </c>
      <c r="G34" s="24"/>
      <c r="H34" s="24">
        <v>100113.9</v>
      </c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</row>
    <row r="35" spans="1:94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>
        <v>200113.9</v>
      </c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>
        <v>200113.9</v>
      </c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</row>
    <row r="36" spans="1:94" s="1" customFormat="1" x14ac:dyDescent="0.2">
      <c r="A36" s="36" t="s">
        <v>53</v>
      </c>
      <c r="B36" s="23"/>
      <c r="C36" s="60"/>
      <c r="D36" s="24"/>
      <c r="E36" s="118">
        <v>50000</v>
      </c>
      <c r="F36" s="24">
        <v>50000</v>
      </c>
      <c r="G36" s="24">
        <v>100000</v>
      </c>
      <c r="H36" s="24">
        <v>100000</v>
      </c>
      <c r="I36" s="24"/>
      <c r="J36" s="24"/>
      <c r="K36" s="24">
        <v>145949</v>
      </c>
      <c r="L36" s="24">
        <v>100000</v>
      </c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>
        <v>545949</v>
      </c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>
        <v>545949</v>
      </c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</row>
    <row r="37" spans="1:94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</row>
    <row r="38" spans="1:94" s="71" customFormat="1" x14ac:dyDescent="0.2">
      <c r="A38" s="69" t="s">
        <v>14</v>
      </c>
      <c r="B38" s="25" t="s">
        <v>30</v>
      </c>
      <c r="C38" s="70"/>
      <c r="D38" s="24"/>
      <c r="E38" s="24"/>
      <c r="F38" s="100">
        <f>341779/2</f>
        <v>170889.5</v>
      </c>
      <c r="G38" s="24"/>
      <c r="H38" s="24"/>
      <c r="I38" s="24"/>
      <c r="J38" s="24"/>
      <c r="K38" s="100">
        <f>341779/2</f>
        <v>170889.5</v>
      </c>
      <c r="L38" s="100">
        <v>191379</v>
      </c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</row>
    <row r="39" spans="1:94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24"/>
      <c r="H39" s="100">
        <v>156160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</row>
    <row r="40" spans="1:94" s="71" customFormat="1" x14ac:dyDescent="0.2">
      <c r="A40" s="69" t="s">
        <v>117</v>
      </c>
      <c r="B40" s="25" t="s">
        <v>119</v>
      </c>
      <c r="C40" s="70"/>
      <c r="D40" s="24"/>
      <c r="E40" s="24"/>
      <c r="F40" s="24"/>
      <c r="G40" s="24"/>
      <c r="H40" s="28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100">
        <v>691000</v>
      </c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</row>
    <row r="41" spans="1:94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100">
        <v>235200</v>
      </c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</row>
    <row r="42" spans="1:94" s="71" customFormat="1" x14ac:dyDescent="0.2">
      <c r="A42" s="69" t="s">
        <v>17</v>
      </c>
      <c r="B42" s="25" t="s">
        <v>41</v>
      </c>
      <c r="C42" s="70">
        <f>1375000-500000-175000-50000-25000-25000-25000</f>
        <v>575000</v>
      </c>
      <c r="D42" s="24"/>
      <c r="E42" s="118">
        <v>50000</v>
      </c>
      <c r="F42" s="129">
        <v>25000</v>
      </c>
      <c r="H42" s="129">
        <v>65000</v>
      </c>
      <c r="I42" s="24"/>
      <c r="J42" s="24"/>
      <c r="L42" s="142">
        <v>145000</v>
      </c>
      <c r="M42" s="129">
        <v>25000</v>
      </c>
      <c r="N42" s="129">
        <v>50000</v>
      </c>
      <c r="O42" s="129">
        <v>65000</v>
      </c>
      <c r="P42" s="24"/>
      <c r="Q42" s="24"/>
      <c r="R42" s="24"/>
      <c r="S42" s="24"/>
      <c r="T42" s="24"/>
      <c r="U42" s="24"/>
      <c r="V42" s="129">
        <v>170000</v>
      </c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</row>
    <row r="43" spans="1:94" s="71" customFormat="1" x14ac:dyDescent="0.2">
      <c r="A43" s="69" t="s">
        <v>15</v>
      </c>
      <c r="B43" s="25" t="s">
        <v>31</v>
      </c>
      <c r="C43" s="70">
        <f>1205448-25000-25000-25000</f>
        <v>1130448</v>
      </c>
      <c r="D43" s="24"/>
      <c r="E43" s="118">
        <v>50000</v>
      </c>
      <c r="F43" s="108">
        <v>40224</v>
      </c>
      <c r="G43" s="108">
        <v>50000</v>
      </c>
      <c r="I43" s="24"/>
      <c r="J43" s="24"/>
      <c r="K43" s="140">
        <f>195080/4</f>
        <v>48770</v>
      </c>
      <c r="L43" s="140">
        <f t="shared" ref="L43:N43" si="5">195080/4</f>
        <v>48770</v>
      </c>
      <c r="M43" s="140">
        <f t="shared" si="5"/>
        <v>48770</v>
      </c>
      <c r="N43" s="140">
        <f t="shared" si="5"/>
        <v>48770</v>
      </c>
      <c r="O43" s="108">
        <v>65224</v>
      </c>
      <c r="P43" s="24"/>
      <c r="Q43" s="24"/>
      <c r="R43" s="108">
        <f>45000+65224</f>
        <v>110224</v>
      </c>
      <c r="S43" s="108">
        <v>50000</v>
      </c>
      <c r="T43" s="24"/>
      <c r="U43" s="24"/>
      <c r="V43" s="100">
        <v>516230</v>
      </c>
      <c r="W43" s="24"/>
      <c r="X43" s="24"/>
      <c r="Y43" s="98">
        <f>515224/4</f>
        <v>128806</v>
      </c>
      <c r="Z43" s="98">
        <f>515224/4</f>
        <v>128806</v>
      </c>
      <c r="AA43" s="98">
        <f>515224/4</f>
        <v>128806</v>
      </c>
      <c r="AB43" s="98">
        <f>515224/4+54464</f>
        <v>183270</v>
      </c>
      <c r="AC43" s="24"/>
      <c r="AD43" s="24"/>
      <c r="AE43" s="24"/>
      <c r="AF43" s="24"/>
      <c r="AG43" s="100">
        <v>516230</v>
      </c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</row>
    <row r="44" spans="1:94" s="71" customFormat="1" x14ac:dyDescent="0.2">
      <c r="A44" s="69" t="s">
        <v>16</v>
      </c>
      <c r="B44" s="25" t="s">
        <v>32</v>
      </c>
      <c r="C44" s="70">
        <f>1122350-25000-25000</f>
        <v>1072350</v>
      </c>
      <c r="D44" s="24"/>
      <c r="E44" s="118">
        <v>100000</v>
      </c>
      <c r="F44" s="108">
        <v>100000</v>
      </c>
      <c r="G44" s="108">
        <v>100000</v>
      </c>
      <c r="H44" s="108">
        <v>100000</v>
      </c>
      <c r="I44" s="24"/>
      <c r="J44" s="24"/>
      <c r="K44" s="108">
        <v>100000</v>
      </c>
      <c r="L44" s="153">
        <v>100000</v>
      </c>
      <c r="M44" s="153">
        <v>100000</v>
      </c>
      <c r="N44" s="108">
        <v>100000</v>
      </c>
      <c r="O44" s="108">
        <v>100000</v>
      </c>
      <c r="P44" s="24"/>
      <c r="Q44" s="24"/>
      <c r="R44" s="108">
        <v>172350</v>
      </c>
      <c r="S44" s="28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</row>
    <row r="45" spans="1:94" s="71" customFormat="1" x14ac:dyDescent="0.2">
      <c r="A45" s="69" t="s">
        <v>85</v>
      </c>
      <c r="B45" s="25" t="s">
        <v>47</v>
      </c>
      <c r="C45" s="70">
        <f>1980*A6</f>
        <v>147106.674</v>
      </c>
      <c r="D45" s="24"/>
      <c r="E45" s="24"/>
      <c r="F45" s="108">
        <f>250*$A$6</f>
        <v>18574.075000000001</v>
      </c>
      <c r="G45" s="108">
        <f>445*$A$6</f>
        <v>33061.853499999997</v>
      </c>
      <c r="H45" s="108">
        <f>645*$A$6</f>
        <v>47921.113499999999</v>
      </c>
      <c r="I45" s="24"/>
      <c r="J45" s="24"/>
      <c r="K45" s="24"/>
      <c r="L45" s="24"/>
      <c r="M45" s="24"/>
      <c r="N45" s="24"/>
      <c r="O45" s="108">
        <f>645*$A$6</f>
        <v>47921.113499999999</v>
      </c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</row>
    <row r="46" spans="1:94" s="71" customFormat="1" x14ac:dyDescent="0.2">
      <c r="A46" s="69" t="s">
        <v>143</v>
      </c>
      <c r="B46" s="25" t="s">
        <v>45</v>
      </c>
      <c r="C46" s="24"/>
      <c r="D46" s="24"/>
      <c r="E46" s="24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118">
        <f>188496*A9</f>
        <v>2060374.3776</v>
      </c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</row>
    <row r="47" spans="1:94" s="71" customFormat="1" x14ac:dyDescent="0.2">
      <c r="A47" s="69" t="s">
        <v>120</v>
      </c>
      <c r="B47" s="25" t="s">
        <v>121</v>
      </c>
      <c r="C47" s="120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100">
        <v>507000</v>
      </c>
      <c r="P47" s="24"/>
      <c r="Q47" s="24"/>
      <c r="R47" s="24"/>
      <c r="S47" s="24"/>
      <c r="T47" s="24"/>
      <c r="U47" s="100">
        <v>1014000</v>
      </c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</row>
    <row r="48" spans="1:94" s="73" customFormat="1" x14ac:dyDescent="0.2">
      <c r="A48" s="69" t="s">
        <v>22</v>
      </c>
      <c r="B48" s="25" t="s">
        <v>48</v>
      </c>
      <c r="C48" s="137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138">
        <f>52206*A9</f>
        <v>570642.90359999996</v>
      </c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138">
        <f>52206*A9+2988*A6</f>
        <v>792640.24799999991</v>
      </c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</row>
    <row r="49" spans="1:94" s="73" customFormat="1" x14ac:dyDescent="0.2">
      <c r="A49" s="69" t="s">
        <v>108</v>
      </c>
      <c r="B49" s="25" t="s">
        <v>109</v>
      </c>
      <c r="C49" s="120"/>
      <c r="D49" s="72"/>
      <c r="E49" s="72"/>
      <c r="F49" s="72"/>
      <c r="G49" s="72"/>
      <c r="H49" s="138">
        <v>33610.5</v>
      </c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  <c r="CN49" s="72"/>
      <c r="CO49" s="72"/>
      <c r="CP49" s="72"/>
    </row>
    <row r="50" spans="1:94" s="71" customFormat="1" x14ac:dyDescent="0.2">
      <c r="A50" s="69" t="s">
        <v>36</v>
      </c>
      <c r="B50" s="25" t="s">
        <v>37</v>
      </c>
      <c r="C50" s="130"/>
      <c r="D50" s="24"/>
      <c r="E50" s="24"/>
      <c r="F50" s="24"/>
      <c r="G50" s="24"/>
      <c r="H50" s="100">
        <f>2662*A6</f>
        <v>197776.7506</v>
      </c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100">
        <f>1037.5*A6</f>
        <v>77082.411250000005</v>
      </c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</row>
    <row r="51" spans="1:94" s="71" customFormat="1" x14ac:dyDescent="0.2">
      <c r="A51" s="69" t="s">
        <v>86</v>
      </c>
      <c r="B51" s="25" t="s">
        <v>35</v>
      </c>
      <c r="C51" s="70">
        <f>1700*A6+4050*A6</f>
        <v>427203.72500000003</v>
      </c>
      <c r="D51" s="77"/>
      <c r="E51" s="118">
        <f>250*$A$6</f>
        <v>18574.075000000001</v>
      </c>
      <c r="G51" s="108">
        <f>500*$A$6</f>
        <v>37148.15</v>
      </c>
      <c r="I51" s="24"/>
      <c r="J51" s="24"/>
      <c r="K51" s="108">
        <f>600*$A$6</f>
        <v>44577.78</v>
      </c>
      <c r="L51" s="108">
        <f>600*$A$6</f>
        <v>44577.78</v>
      </c>
      <c r="M51" s="108">
        <f>600*$A$6</f>
        <v>44577.78</v>
      </c>
      <c r="N51" s="108">
        <f>500*$A$6</f>
        <v>37148.15</v>
      </c>
      <c r="P51" s="24"/>
      <c r="Q51" s="24"/>
      <c r="R51" s="108">
        <f>500*$A$6</f>
        <v>37148.15</v>
      </c>
      <c r="S51" s="24"/>
      <c r="T51" s="108">
        <f>850*$A$6</f>
        <v>63151.855000000003</v>
      </c>
      <c r="U51" s="24"/>
      <c r="V51" s="108">
        <f>900*$A$6+525*A6</f>
        <v>105872.22750000001</v>
      </c>
      <c r="W51" s="24"/>
      <c r="X51" s="24"/>
      <c r="Y51" s="100">
        <f>490*A6</f>
        <v>36405.186999999998</v>
      </c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</row>
    <row r="52" spans="1:94" s="71" customFormat="1" x14ac:dyDescent="0.2">
      <c r="A52" s="69" t="s">
        <v>29</v>
      </c>
      <c r="B52" s="25" t="s">
        <v>42</v>
      </c>
      <c r="C52" s="70">
        <v>20000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</row>
    <row r="53" spans="1:94" s="71" customFormat="1" x14ac:dyDescent="0.2">
      <c r="A53" s="69" t="s">
        <v>29</v>
      </c>
      <c r="B53" s="25" t="s">
        <v>43</v>
      </c>
      <c r="C53" s="70">
        <v>439750</v>
      </c>
      <c r="D53" s="24"/>
      <c r="F53" s="24"/>
      <c r="G53" s="95">
        <v>50000</v>
      </c>
      <c r="H53" s="95">
        <f>50000+14750</f>
        <v>64750</v>
      </c>
      <c r="I53" s="24"/>
      <c r="J53" s="24"/>
      <c r="K53" s="95">
        <v>100000</v>
      </c>
      <c r="L53" s="95">
        <v>50000</v>
      </c>
      <c r="M53" s="95">
        <v>50000</v>
      </c>
      <c r="N53" s="95">
        <v>25000</v>
      </c>
      <c r="O53" s="95">
        <v>50000</v>
      </c>
      <c r="P53" s="24"/>
      <c r="Q53" s="24"/>
      <c r="R53" s="95">
        <v>50000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</row>
    <row r="54" spans="1:94" s="71" customFormat="1" x14ac:dyDescent="0.2">
      <c r="A54" s="69" t="s">
        <v>141</v>
      </c>
      <c r="B54" s="25" t="s">
        <v>142</v>
      </c>
      <c r="C54" s="70"/>
      <c r="D54" s="24"/>
      <c r="E54" s="28"/>
      <c r="F54" s="24"/>
      <c r="G54" s="28"/>
      <c r="H54" s="100">
        <v>37405.199999999997</v>
      </c>
      <c r="I54" s="28"/>
      <c r="J54" s="28"/>
      <c r="K54" s="28"/>
      <c r="L54" s="28"/>
      <c r="M54" s="28"/>
      <c r="N54" s="28"/>
      <c r="O54" s="28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</row>
    <row r="55" spans="1:94" s="71" customFormat="1" x14ac:dyDescent="0.2">
      <c r="A55" s="69" t="s">
        <v>29</v>
      </c>
      <c r="B55" s="25" t="s">
        <v>55</v>
      </c>
      <c r="C55" s="70">
        <f>800*A6</f>
        <v>59437.04</v>
      </c>
      <c r="D55" s="24"/>
      <c r="E55" s="118">
        <f>50*$A$6+500*A6</f>
        <v>40862.965000000004</v>
      </c>
      <c r="F55" s="24"/>
      <c r="G55" s="24"/>
      <c r="H55" s="95">
        <f>250*$A$6</f>
        <v>18574.075000000001</v>
      </c>
      <c r="I55" s="24"/>
      <c r="J55" s="24"/>
      <c r="K55" s="24"/>
      <c r="L55" s="24"/>
      <c r="M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</row>
    <row r="56" spans="1:94" s="71" customFormat="1" x14ac:dyDescent="0.2">
      <c r="A56" s="69" t="s">
        <v>124</v>
      </c>
      <c r="B56" s="25" t="s">
        <v>125</v>
      </c>
      <c r="C56" s="7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100">
        <v>203210</v>
      </c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</row>
    <row r="57" spans="1:94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</row>
    <row r="58" spans="1:94" s="71" customFormat="1" x14ac:dyDescent="0.2">
      <c r="A58" s="69" t="s">
        <v>90</v>
      </c>
      <c r="B58" s="25" t="s">
        <v>91</v>
      </c>
      <c r="C58" s="70">
        <v>1012000</v>
      </c>
      <c r="D58" s="77"/>
      <c r="E58" s="28"/>
      <c r="F58" s="28"/>
      <c r="G58" s="28"/>
      <c r="H58" s="129">
        <v>1012000</v>
      </c>
      <c r="I58" s="28"/>
      <c r="J58" s="28"/>
      <c r="K58" s="129">
        <v>1012000</v>
      </c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</row>
    <row r="59" spans="1:94" s="71" customFormat="1" x14ac:dyDescent="0.2">
      <c r="A59" s="69" t="s">
        <v>138</v>
      </c>
      <c r="B59" s="25" t="s">
        <v>136</v>
      </c>
      <c r="C59" s="70"/>
      <c r="D59" s="77"/>
      <c r="E59" s="28"/>
      <c r="F59" s="100">
        <f>3550*A6</f>
        <v>263751.86499999999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</row>
    <row r="60" spans="1:94" s="71" customFormat="1" x14ac:dyDescent="0.2">
      <c r="A60" s="69" t="s">
        <v>102</v>
      </c>
      <c r="B60" s="25" t="s">
        <v>103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</row>
    <row r="61" spans="1:94" s="71" customFormat="1" x14ac:dyDescent="0.2">
      <c r="A61" s="151" t="s">
        <v>139</v>
      </c>
      <c r="B61" s="152" t="s">
        <v>114</v>
      </c>
      <c r="C61" s="70"/>
      <c r="D61" s="77"/>
      <c r="E61" s="100">
        <f>346500+693000</f>
        <v>1039500</v>
      </c>
      <c r="F61" s="28"/>
      <c r="G61" s="28"/>
      <c r="H61" s="24"/>
      <c r="I61" s="24"/>
      <c r="J61" s="24"/>
      <c r="K61" s="24"/>
      <c r="L61" s="28"/>
      <c r="M61" s="28"/>
      <c r="N61" s="28"/>
      <c r="O61" s="100">
        <v>1732500</v>
      </c>
      <c r="P61" s="28"/>
      <c r="Q61" s="28"/>
      <c r="R61" s="28"/>
      <c r="S61" s="28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</row>
    <row r="62" spans="1:94" s="71" customFormat="1" x14ac:dyDescent="0.2">
      <c r="A62" s="69" t="s">
        <v>34</v>
      </c>
      <c r="B62" s="25" t="s">
        <v>45</v>
      </c>
      <c r="C62" s="70">
        <f>1014000-100000-100000+400-50000-25000-25000-25000</f>
        <v>689400</v>
      </c>
      <c r="D62" s="77"/>
      <c r="E62" s="24"/>
      <c r="F62" s="108">
        <v>25000</v>
      </c>
      <c r="H62" s="108">
        <v>53800</v>
      </c>
      <c r="I62" s="24"/>
      <c r="J62" s="24"/>
      <c r="K62" s="108">
        <v>110600</v>
      </c>
      <c r="L62" s="106">
        <v>75000</v>
      </c>
      <c r="M62" s="106">
        <v>50000</v>
      </c>
      <c r="N62" s="24"/>
      <c r="P62" s="24"/>
      <c r="Q62" s="24"/>
      <c r="R62" s="108">
        <f>400000/5</f>
        <v>80000</v>
      </c>
      <c r="S62" s="108">
        <f t="shared" ref="S62:V62" si="6">400000/5</f>
        <v>80000</v>
      </c>
      <c r="T62" s="108">
        <f t="shared" si="6"/>
        <v>80000</v>
      </c>
      <c r="U62" s="108">
        <f t="shared" si="6"/>
        <v>80000</v>
      </c>
      <c r="V62" s="108">
        <f t="shared" si="6"/>
        <v>80000</v>
      </c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</row>
    <row r="63" spans="1:94" s="71" customFormat="1" x14ac:dyDescent="0.2">
      <c r="A63" s="69" t="s">
        <v>128</v>
      </c>
      <c r="B63" s="25" t="s">
        <v>129</v>
      </c>
      <c r="C63" s="70"/>
      <c r="D63" s="77"/>
      <c r="E63" s="28"/>
      <c r="F63" s="28"/>
      <c r="G63" s="28"/>
      <c r="H63" s="100">
        <v>17798.11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</row>
    <row r="64" spans="1:94" s="71" customFormat="1" x14ac:dyDescent="0.2">
      <c r="A64" s="69" t="s">
        <v>101</v>
      </c>
      <c r="B64" s="25" t="s">
        <v>130</v>
      </c>
      <c r="C64" s="70"/>
      <c r="D64" s="77"/>
      <c r="E64" s="108">
        <v>10000</v>
      </c>
      <c r="F64" s="24"/>
      <c r="H64" s="108">
        <v>100000</v>
      </c>
      <c r="I64" s="24"/>
      <c r="J64" s="24"/>
      <c r="K64" s="108">
        <v>10000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</row>
    <row r="65" spans="1:94" s="71" customFormat="1" x14ac:dyDescent="0.2">
      <c r="A65" s="69" t="s">
        <v>134</v>
      </c>
      <c r="B65" s="25" t="s">
        <v>135</v>
      </c>
      <c r="C65" s="70"/>
      <c r="D65" s="77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</row>
    <row r="66" spans="1:94" s="71" customFormat="1" x14ac:dyDescent="0.2">
      <c r="A66" s="69" t="s">
        <v>38</v>
      </c>
      <c r="B66" s="25" t="s">
        <v>39</v>
      </c>
      <c r="C66" s="70"/>
      <c r="D66" s="24"/>
      <c r="E66" s="24"/>
      <c r="F66" s="100">
        <f>15000+16800</f>
        <v>31800</v>
      </c>
      <c r="G66" s="100">
        <v>34850</v>
      </c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</row>
    <row r="67" spans="1:94" s="71" customFormat="1" x14ac:dyDescent="0.2">
      <c r="A67" s="69" t="s">
        <v>74</v>
      </c>
      <c r="B67" s="25" t="s">
        <v>131</v>
      </c>
      <c r="C67" s="70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100">
        <v>22000</v>
      </c>
      <c r="S67" s="24"/>
      <c r="T67" s="24"/>
      <c r="U67" s="100">
        <v>15000</v>
      </c>
      <c r="V67" s="143">
        <v>40000</v>
      </c>
      <c r="W67" s="100">
        <v>12500</v>
      </c>
      <c r="X67" s="24"/>
      <c r="Y67" s="100">
        <v>20000</v>
      </c>
      <c r="Z67" s="24"/>
      <c r="AA67" s="100">
        <v>80000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</row>
    <row r="68" spans="1:94" s="71" customFormat="1" x14ac:dyDescent="0.2">
      <c r="A68" s="69" t="s">
        <v>74</v>
      </c>
      <c r="B68" s="25" t="s">
        <v>83</v>
      </c>
      <c r="C68" s="70"/>
      <c r="D68" s="24"/>
      <c r="E68" s="24"/>
      <c r="F68" s="24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4"/>
      <c r="W68" s="24"/>
      <c r="X68" s="24"/>
      <c r="Y68" s="24"/>
      <c r="Z68" s="24"/>
      <c r="AA68" s="114">
        <v>3567700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</row>
    <row r="69" spans="1:94" s="73" customFormat="1" x14ac:dyDescent="0.2">
      <c r="A69" s="78"/>
      <c r="B69" s="79"/>
      <c r="C69" s="75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  <c r="BX69" s="72"/>
      <c r="BY69" s="72"/>
      <c r="BZ69" s="72"/>
      <c r="CA69" s="72"/>
      <c r="CB69" s="72"/>
      <c r="CC69" s="72"/>
      <c r="CD69" s="72"/>
      <c r="CE69" s="72"/>
      <c r="CF69" s="72"/>
      <c r="CG69" s="72"/>
      <c r="CH69" s="72"/>
      <c r="CI69" s="72"/>
      <c r="CJ69" s="72"/>
      <c r="CK69" s="72"/>
      <c r="CL69" s="72"/>
      <c r="CM69" s="72"/>
      <c r="CN69" s="72"/>
      <c r="CO69" s="72"/>
      <c r="CP69" s="72"/>
    </row>
    <row r="70" spans="1:94" s="94" customFormat="1" ht="33.75" x14ac:dyDescent="0.2">
      <c r="A70" s="91" t="s">
        <v>60</v>
      </c>
      <c r="B70" s="92" t="s">
        <v>58</v>
      </c>
      <c r="C70" s="93">
        <v>248639.70012000017</v>
      </c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3"/>
      <c r="BK70" s="93"/>
      <c r="BL70" s="93"/>
      <c r="BM70" s="93"/>
      <c r="BN70" s="93"/>
      <c r="BO70" s="93"/>
      <c r="BP70" s="93"/>
      <c r="BQ70" s="93"/>
      <c r="BR70" s="93"/>
      <c r="BS70" s="93"/>
      <c r="BT70" s="93"/>
      <c r="BU70" s="93"/>
      <c r="BV70" s="93"/>
      <c r="BW70" s="93"/>
      <c r="BX70" s="93"/>
      <c r="BY70" s="93"/>
      <c r="BZ70" s="93"/>
      <c r="CA70" s="93"/>
      <c r="CB70" s="93"/>
      <c r="CC70" s="93"/>
      <c r="CD70" s="93"/>
      <c r="CE70" s="93"/>
      <c r="CF70" s="93"/>
      <c r="CG70" s="93"/>
      <c r="CH70" s="93"/>
      <c r="CI70" s="93"/>
      <c r="CJ70" s="93"/>
      <c r="CK70" s="93"/>
      <c r="CL70" s="93"/>
      <c r="CM70" s="93"/>
      <c r="CN70" s="93"/>
      <c r="CO70" s="93"/>
      <c r="CP70" s="93"/>
    </row>
    <row r="71" spans="1:94" s="94" customFormat="1" ht="33.75" x14ac:dyDescent="0.2">
      <c r="A71" s="91" t="s">
        <v>60</v>
      </c>
      <c r="B71" s="92" t="s">
        <v>59</v>
      </c>
      <c r="C71" s="93">
        <v>0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3"/>
      <c r="CF71" s="93"/>
      <c r="CG71" s="93"/>
      <c r="CH71" s="93"/>
      <c r="CI71" s="93"/>
      <c r="CJ71" s="93"/>
      <c r="CK71" s="93"/>
      <c r="CL71" s="93"/>
      <c r="CM71" s="93"/>
      <c r="CN71" s="93"/>
      <c r="CO71" s="93"/>
      <c r="CP71" s="93"/>
    </row>
    <row r="72" spans="1:94" s="5" customForma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</row>
    <row r="73" spans="1:94" s="5" customFormat="1" x14ac:dyDescent="0.2">
      <c r="A73" s="36" t="s">
        <v>49</v>
      </c>
      <c r="B73" s="12"/>
      <c r="C73" s="13"/>
      <c r="D73" s="26"/>
      <c r="E73" s="13"/>
      <c r="F73" s="13"/>
      <c r="G73" s="13"/>
      <c r="H73" s="13"/>
      <c r="I73" s="13"/>
      <c r="J73" s="13"/>
      <c r="K73" s="126">
        <f>1184471.02/0.77</f>
        <v>1538274.0519480519</v>
      </c>
      <c r="L73" s="13"/>
      <c r="M73" s="13"/>
      <c r="N73" s="126">
        <f>(1369064.01)/0.77</f>
        <v>1778005.2077922078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</row>
    <row r="74" spans="1:94" s="5" customFormat="1" x14ac:dyDescent="0.2">
      <c r="A74" s="36" t="s">
        <v>57</v>
      </c>
      <c r="B74" s="12"/>
      <c r="C74" s="68"/>
      <c r="D74" s="26"/>
      <c r="E74" s="13"/>
      <c r="F74" s="13"/>
      <c r="G74" s="13"/>
      <c r="I74" s="13"/>
      <c r="J74" s="13"/>
      <c r="K74" s="139">
        <f>1933893.44/0.77</f>
        <v>2511549.9220779222</v>
      </c>
      <c r="L74" s="13"/>
      <c r="M74" s="13"/>
      <c r="N74" s="13"/>
      <c r="O74" s="139">
        <f>1749467.21/0.77</f>
        <v>2272035.3376623373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</row>
    <row r="75" spans="1:94" s="5" customFormat="1" x14ac:dyDescent="0.2">
      <c r="A75" s="36" t="s">
        <v>61</v>
      </c>
      <c r="B75" s="12"/>
      <c r="C75" s="13">
        <v>112000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9">
        <v>390000</v>
      </c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</row>
    <row r="76" spans="1:94" s="5" customFormat="1" x14ac:dyDescent="0.2">
      <c r="A76" s="42"/>
      <c r="B76" s="12"/>
      <c r="C76" s="68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</row>
    <row r="77" spans="1:94" s="5" customFormat="1" x14ac:dyDescent="0.2">
      <c r="A77" s="36" t="s">
        <v>72</v>
      </c>
      <c r="B77" s="27" t="s">
        <v>73</v>
      </c>
      <c r="C77" s="62">
        <v>3637079.2460000003</v>
      </c>
      <c r="D77" s="35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</row>
    <row r="78" spans="1:94" s="5" customFormat="1" x14ac:dyDescent="0.2">
      <c r="A78" s="42"/>
      <c r="B78" s="12"/>
      <c r="C78" s="61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</row>
    <row r="79" spans="1:94" s="84" customFormat="1" x14ac:dyDescent="0.2">
      <c r="A79" s="81" t="s">
        <v>66</v>
      </c>
      <c r="B79" s="82"/>
      <c r="C79" s="63"/>
      <c r="D79" s="83"/>
      <c r="E79" s="83">
        <f>$C$5+E16-E26</f>
        <v>1287699.17</v>
      </c>
      <c r="F79" s="83">
        <f t="shared" ref="F79:AK79" si="7">E79+F16-F26</f>
        <v>512459.73</v>
      </c>
      <c r="G79" s="83">
        <f t="shared" si="7"/>
        <v>7144899.7265000008</v>
      </c>
      <c r="H79" s="83">
        <f t="shared" si="7"/>
        <v>4348484.0774000008</v>
      </c>
      <c r="I79" s="83">
        <f t="shared" si="7"/>
        <v>4348484.0774000008</v>
      </c>
      <c r="J79" s="83">
        <f t="shared" si="7"/>
        <v>4348484.0774000008</v>
      </c>
      <c r="K79" s="83">
        <f t="shared" si="7"/>
        <v>6438373.8233740265</v>
      </c>
      <c r="L79" s="83">
        <f t="shared" si="7"/>
        <v>5283647.0433740262</v>
      </c>
      <c r="M79" s="83">
        <f t="shared" si="7"/>
        <v>4965299.2633740259</v>
      </c>
      <c r="N79" s="83">
        <f t="shared" si="7"/>
        <v>2926375.905581818</v>
      </c>
      <c r="O79" s="83">
        <f t="shared" si="7"/>
        <v>-2483947.4491805192</v>
      </c>
      <c r="P79" s="83">
        <f t="shared" si="7"/>
        <v>-2483947.4491805192</v>
      </c>
      <c r="Q79" s="83">
        <f t="shared" si="7"/>
        <v>-2483947.4491805192</v>
      </c>
      <c r="R79" s="83">
        <f t="shared" si="7"/>
        <v>-2955669.5991805191</v>
      </c>
      <c r="S79" s="83">
        <f t="shared" si="7"/>
        <v>-3085669.5991805191</v>
      </c>
      <c r="T79" s="83">
        <f t="shared" si="7"/>
        <v>-3228821.4541805191</v>
      </c>
      <c r="U79" s="83">
        <f t="shared" si="7"/>
        <v>-7484283.5115138534</v>
      </c>
      <c r="V79" s="83">
        <f t="shared" si="7"/>
        <v>-9087385.7390138544</v>
      </c>
      <c r="W79" s="83">
        <f t="shared" si="7"/>
        <v>-9099885.7390138544</v>
      </c>
      <c r="X79" s="83">
        <f t="shared" si="7"/>
        <v>-9099885.7390138544</v>
      </c>
      <c r="Y79" s="83">
        <f t="shared" si="7"/>
        <v>-9488306.9260138553</v>
      </c>
      <c r="Z79" s="83">
        <f t="shared" si="7"/>
        <v>-9617112.9260138553</v>
      </c>
      <c r="AA79" s="83">
        <f t="shared" si="7"/>
        <v>-13393618.926013855</v>
      </c>
      <c r="AB79" s="83">
        <f t="shared" si="7"/>
        <v>-13576888.926013855</v>
      </c>
      <c r="AC79" s="83">
        <f t="shared" si="7"/>
        <v>-15350792.074013855</v>
      </c>
      <c r="AD79" s="83">
        <f t="shared" si="7"/>
        <v>-15350792.074013855</v>
      </c>
      <c r="AE79" s="83">
        <f t="shared" si="7"/>
        <v>-15350792.074013855</v>
      </c>
      <c r="AF79" s="83">
        <f t="shared" si="7"/>
        <v>-12718659.485263856</v>
      </c>
      <c r="AG79" s="83">
        <f t="shared" si="7"/>
        <v>-13234889.485263856</v>
      </c>
      <c r="AH79" s="83">
        <f t="shared" si="7"/>
        <v>-13234889.485263856</v>
      </c>
      <c r="AI79" s="83">
        <f t="shared" si="7"/>
        <v>-13234889.485263856</v>
      </c>
      <c r="AJ79" s="83">
        <f t="shared" si="7"/>
        <v>-15566769.862863857</v>
      </c>
      <c r="AK79" s="83">
        <f t="shared" si="7"/>
        <v>-15566769.862863857</v>
      </c>
      <c r="AL79" s="83">
        <f t="shared" ref="AL79:BM79" si="8">AK79+AL16-AL26</f>
        <v>-15566769.862863857</v>
      </c>
      <c r="AM79" s="83">
        <f t="shared" si="8"/>
        <v>-15566769.862863857</v>
      </c>
      <c r="AN79" s="83">
        <f t="shared" si="8"/>
        <v>-15566769.862863857</v>
      </c>
      <c r="AO79" s="83">
        <f t="shared" si="8"/>
        <v>-15566769.862863857</v>
      </c>
      <c r="AP79" s="83">
        <f t="shared" si="8"/>
        <v>-7058627.7468638569</v>
      </c>
      <c r="AQ79" s="83">
        <f t="shared" si="8"/>
        <v>-7058627.7468638569</v>
      </c>
      <c r="AR79" s="83">
        <f t="shared" si="8"/>
        <v>-7058627.7468638569</v>
      </c>
      <c r="AS79" s="83">
        <f t="shared" si="8"/>
        <v>-7058627.7468638569</v>
      </c>
      <c r="AT79" s="83">
        <f t="shared" si="8"/>
        <v>-7058627.7468638569</v>
      </c>
      <c r="AU79" s="83">
        <f t="shared" si="8"/>
        <v>-7058627.7468638569</v>
      </c>
      <c r="AV79" s="83">
        <f t="shared" si="8"/>
        <v>-7058627.7468638569</v>
      </c>
      <c r="AW79" s="83">
        <f t="shared" si="8"/>
        <v>-7058627.7468638569</v>
      </c>
      <c r="AX79" s="83">
        <f t="shared" si="8"/>
        <v>-7058627.7468638569</v>
      </c>
      <c r="AY79" s="83">
        <f t="shared" si="8"/>
        <v>-7058627.7468638569</v>
      </c>
      <c r="AZ79" s="83">
        <f t="shared" si="8"/>
        <v>-7058627.7468638569</v>
      </c>
      <c r="BA79" s="83">
        <f t="shared" si="8"/>
        <v>-7134564.6801971905</v>
      </c>
      <c r="BB79" s="83">
        <f t="shared" si="8"/>
        <v>-7134564.6801971905</v>
      </c>
      <c r="BC79" s="83">
        <f t="shared" si="8"/>
        <v>-7134564.6801971905</v>
      </c>
      <c r="BD79" s="83">
        <f t="shared" si="8"/>
        <v>-7880627.5801971909</v>
      </c>
      <c r="BE79" s="83">
        <f t="shared" si="8"/>
        <v>-7880627.5801971909</v>
      </c>
      <c r="BF79" s="83">
        <f t="shared" si="8"/>
        <v>-7880627.5801971909</v>
      </c>
      <c r="BG79" s="83">
        <f t="shared" si="8"/>
        <v>-7880627.5801971909</v>
      </c>
      <c r="BH79" s="83">
        <f t="shared" si="8"/>
        <v>-7880627.5801971909</v>
      </c>
      <c r="BI79" s="83">
        <f t="shared" si="8"/>
        <v>-4728283.1801971905</v>
      </c>
      <c r="BJ79" s="83">
        <f t="shared" si="8"/>
        <v>-4728283.1801971905</v>
      </c>
      <c r="BK79" s="83">
        <f t="shared" si="8"/>
        <v>-4728283.1801971905</v>
      </c>
      <c r="BL79" s="83">
        <f t="shared" si="8"/>
        <v>-4728283.1801971905</v>
      </c>
      <c r="BM79" s="83">
        <f t="shared" si="8"/>
        <v>-4728283.1801971905</v>
      </c>
      <c r="BN79" s="83">
        <f t="shared" ref="BN79:CP79" si="9">BM79+BN16-BN26</f>
        <v>-4728283.1801971905</v>
      </c>
      <c r="BO79" s="83">
        <f t="shared" si="9"/>
        <v>-4999789.1801971905</v>
      </c>
      <c r="BP79" s="83">
        <f t="shared" si="9"/>
        <v>-4999789.1801971905</v>
      </c>
      <c r="BQ79" s="83">
        <f t="shared" si="9"/>
        <v>-4999789.1801971905</v>
      </c>
      <c r="BR79" s="83">
        <f t="shared" si="9"/>
        <v>-4999789.1801971905</v>
      </c>
      <c r="BS79" s="83">
        <f t="shared" si="9"/>
        <v>-4999789.1801971905</v>
      </c>
      <c r="BT79" s="83">
        <f t="shared" si="9"/>
        <v>-4999789.1801971905</v>
      </c>
      <c r="BU79" s="83">
        <f t="shared" si="9"/>
        <v>-4999789.1801971905</v>
      </c>
      <c r="BV79" s="83">
        <f t="shared" si="9"/>
        <v>-4999789.1801971905</v>
      </c>
      <c r="BW79" s="83">
        <f t="shared" si="9"/>
        <v>-4999789.1801971905</v>
      </c>
      <c r="BX79" s="83">
        <f t="shared" si="9"/>
        <v>-4999789.1801971905</v>
      </c>
      <c r="BY79" s="83">
        <f t="shared" si="9"/>
        <v>-4999789.1801971905</v>
      </c>
      <c r="BZ79" s="83">
        <f t="shared" si="9"/>
        <v>-4999789.1801971905</v>
      </c>
      <c r="CA79" s="83">
        <f t="shared" si="9"/>
        <v>-4999789.1801971905</v>
      </c>
      <c r="CB79" s="83">
        <f t="shared" si="9"/>
        <v>-4999789.1801971905</v>
      </c>
      <c r="CC79" s="83">
        <f t="shared" si="9"/>
        <v>-4999789.1801971905</v>
      </c>
      <c r="CD79" s="83">
        <f t="shared" si="9"/>
        <v>-4999789.1801971905</v>
      </c>
      <c r="CE79" s="83">
        <f t="shared" si="9"/>
        <v>-4999789.1801971905</v>
      </c>
      <c r="CF79" s="83">
        <f t="shared" si="9"/>
        <v>-4999789.1801971905</v>
      </c>
      <c r="CG79" s="83">
        <f t="shared" si="9"/>
        <v>-4999789.1801971905</v>
      </c>
      <c r="CH79" s="83">
        <f t="shared" si="9"/>
        <v>-4999789.1801971905</v>
      </c>
      <c r="CI79" s="83">
        <f t="shared" si="9"/>
        <v>-4999789.1801971905</v>
      </c>
      <c r="CJ79" s="83">
        <f t="shared" si="9"/>
        <v>-4999789.1801971905</v>
      </c>
      <c r="CK79" s="83">
        <f t="shared" si="9"/>
        <v>-4999789.1801971905</v>
      </c>
      <c r="CL79" s="83">
        <f t="shared" si="9"/>
        <v>-4999789.1801971905</v>
      </c>
      <c r="CM79" s="83">
        <f t="shared" si="9"/>
        <v>-4999789.1801971905</v>
      </c>
      <c r="CN79" s="83">
        <f t="shared" si="9"/>
        <v>-4999789.1801971905</v>
      </c>
      <c r="CO79" s="83">
        <f t="shared" si="9"/>
        <v>-4999789.1801971905</v>
      </c>
      <c r="CP79" s="83">
        <f t="shared" si="9"/>
        <v>-4999789.1801971905</v>
      </c>
    </row>
    <row r="81" spans="1:94" s="5" customFormat="1" x14ac:dyDescent="0.2">
      <c r="A81" s="42"/>
      <c r="B81" s="12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</row>
    <row r="82" spans="1:94" s="89" customFormat="1" x14ac:dyDescent="0.2">
      <c r="A82" s="85" t="s">
        <v>65</v>
      </c>
      <c r="B82" s="86"/>
      <c r="C82" s="87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</row>
    <row r="83" spans="1:94" s="5" customFormat="1" ht="22.5" x14ac:dyDescent="0.2">
      <c r="A83" s="36" t="s">
        <v>67</v>
      </c>
      <c r="B83" s="27" t="s">
        <v>68</v>
      </c>
      <c r="C83" s="68">
        <v>3221210.79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</row>
    <row r="84" spans="1:94" s="5" customFormat="1" x14ac:dyDescent="0.2">
      <c r="A84" s="36" t="s">
        <v>69</v>
      </c>
      <c r="B84" s="27" t="s">
        <v>70</v>
      </c>
      <c r="C84" s="68">
        <v>9814338.4000000004</v>
      </c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</row>
    <row r="85" spans="1:94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</row>
    <row r="86" spans="1:94" s="5" customFormat="1" x14ac:dyDescent="0.2">
      <c r="A86" s="36"/>
      <c r="B86" s="27"/>
      <c r="C86" s="68"/>
      <c r="D86" s="2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</row>
    <row r="88" spans="1:94" x14ac:dyDescent="0.25">
      <c r="B88" s="14"/>
    </row>
  </sheetData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T86"/>
  <sheetViews>
    <sheetView workbookViewId="0">
      <selection activeCell="C35" sqref="C35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0" width="10.85546875" style="3" bestFit="1" customWidth="1"/>
    <col min="11" max="11" width="11.7109375" style="3" bestFit="1" customWidth="1"/>
    <col min="12" max="25" width="10.85546875" style="3" bestFit="1" customWidth="1"/>
    <col min="26" max="26" width="14" style="3" customWidth="1"/>
    <col min="27" max="27" width="12.85546875" style="3" customWidth="1"/>
    <col min="28" max="28" width="14.28515625" style="3" customWidth="1"/>
    <col min="29" max="29" width="12" style="3" customWidth="1"/>
    <col min="30" max="30" width="11" style="3" customWidth="1"/>
    <col min="31" max="31" width="11.85546875" style="3" customWidth="1"/>
    <col min="32" max="32" width="12.42578125" style="3" customWidth="1"/>
    <col min="33" max="33" width="14.85546875" style="3" customWidth="1"/>
    <col min="34" max="34" width="13" style="3" customWidth="1"/>
    <col min="35" max="35" width="12.7109375" style="3" customWidth="1"/>
    <col min="36" max="36" width="11.85546875" style="3" customWidth="1"/>
    <col min="37" max="37" width="13.140625" style="3" customWidth="1"/>
    <col min="38" max="38" width="11.7109375" style="3" customWidth="1"/>
    <col min="39" max="39" width="12.5703125" style="3" customWidth="1"/>
    <col min="40" max="40" width="15.7109375" style="3" customWidth="1"/>
    <col min="41" max="41" width="12.7109375" style="3" customWidth="1"/>
    <col min="42" max="43" width="12.85546875" style="3" customWidth="1"/>
    <col min="44" max="45" width="11.85546875" style="3" customWidth="1"/>
    <col min="46" max="46" width="13" style="3" customWidth="1"/>
    <col min="47" max="47" width="12.28515625" style="3" customWidth="1"/>
    <col min="48" max="48" width="12.140625" style="3" customWidth="1"/>
    <col min="49" max="49" width="11.140625" style="3" customWidth="1"/>
    <col min="50" max="50" width="12.7109375" style="3" customWidth="1"/>
    <col min="51" max="56" width="9" style="3"/>
    <col min="57" max="57" width="12" style="3" customWidth="1"/>
    <col min="58" max="58" width="11.140625" style="3" customWidth="1"/>
    <col min="59" max="59" width="10.28515625" style="3" customWidth="1"/>
    <col min="60" max="60" width="11.42578125" style="3" customWidth="1"/>
    <col min="61" max="64" width="9" style="3"/>
    <col min="65" max="65" width="10.42578125" style="3" customWidth="1"/>
    <col min="66" max="66" width="10.28515625" style="3" bestFit="1" customWidth="1"/>
    <col min="67" max="70" width="9" style="3"/>
    <col min="71" max="71" width="12.42578125" style="3" customWidth="1"/>
    <col min="72" max="16384" width="9" style="3"/>
  </cols>
  <sheetData>
    <row r="1" spans="1:98" ht="12" thickBot="1" x14ac:dyDescent="0.3"/>
    <row r="2" spans="1:98" s="1" customFormat="1" x14ac:dyDescent="0.2">
      <c r="A2" s="43" t="s">
        <v>50</v>
      </c>
      <c r="B2" s="15" t="s">
        <v>27</v>
      </c>
      <c r="C2" s="50">
        <f>1620748.17-164100</f>
        <v>1456648.17</v>
      </c>
    </row>
    <row r="3" spans="1:98" s="1" customFormat="1" ht="12" thickBot="1" x14ac:dyDescent="0.25">
      <c r="A3" s="44">
        <v>88.346299999999999</v>
      </c>
      <c r="B3" s="15" t="s">
        <v>28</v>
      </c>
      <c r="C3" s="50">
        <v>10778.95</v>
      </c>
    </row>
    <row r="4" spans="1:98" s="8" customFormat="1" ht="12" thickBot="1" x14ac:dyDescent="0.25">
      <c r="A4" s="45"/>
      <c r="B4" s="15" t="s">
        <v>25</v>
      </c>
      <c r="C4" s="51">
        <v>0</v>
      </c>
    </row>
    <row r="5" spans="1:98" s="6" customFormat="1" x14ac:dyDescent="0.2">
      <c r="A5" s="43" t="s">
        <v>51</v>
      </c>
      <c r="B5" s="49" t="s">
        <v>26</v>
      </c>
      <c r="C5" s="52">
        <f>SUM(C2:C4)</f>
        <v>1467427.1199999999</v>
      </c>
    </row>
    <row r="6" spans="1:98" s="6" customFormat="1" ht="12" thickBot="1" x14ac:dyDescent="0.25">
      <c r="A6" s="44">
        <v>75.344800000000006</v>
      </c>
      <c r="B6" s="16"/>
      <c r="C6" s="53"/>
      <c r="D6" s="17"/>
    </row>
    <row r="7" spans="1:98" s="6" customFormat="1" ht="12" thickBot="1" x14ac:dyDescent="0.25">
      <c r="A7" s="105" t="s">
        <v>51</v>
      </c>
      <c r="B7" s="18" t="s">
        <v>127</v>
      </c>
      <c r="C7" s="54">
        <f>SUM(E16:AB16)</f>
        <v>17001631.981199998</v>
      </c>
    </row>
    <row r="8" spans="1:98" x14ac:dyDescent="0.25">
      <c r="A8" s="43" t="s">
        <v>52</v>
      </c>
      <c r="B8" s="18" t="s">
        <v>126</v>
      </c>
      <c r="C8" s="54">
        <f>SUM(E25:AB26)</f>
        <v>25906371.476613857</v>
      </c>
    </row>
    <row r="9" spans="1:98" ht="12" thickBot="1" x14ac:dyDescent="0.3">
      <c r="A9" s="44">
        <v>10.024699999999999</v>
      </c>
      <c r="B9" s="19" t="s">
        <v>64</v>
      </c>
      <c r="C9" s="55">
        <f>C5+C7-C8-C11</f>
        <v>-17016670.465533856</v>
      </c>
    </row>
    <row r="10" spans="1:98" x14ac:dyDescent="0.25">
      <c r="A10" s="99" t="s">
        <v>80</v>
      </c>
      <c r="B10" s="18" t="s">
        <v>23</v>
      </c>
      <c r="C10" s="56">
        <f>C16</f>
        <v>0</v>
      </c>
    </row>
    <row r="11" spans="1:98" x14ac:dyDescent="0.25">
      <c r="A11" s="101" t="s">
        <v>87</v>
      </c>
      <c r="B11" s="18" t="s">
        <v>24</v>
      </c>
      <c r="C11" s="54">
        <f>C26</f>
        <v>9579358.0901199989</v>
      </c>
    </row>
    <row r="12" spans="1:98" x14ac:dyDescent="0.25">
      <c r="A12" s="107" t="s">
        <v>88</v>
      </c>
    </row>
    <row r="13" spans="1:98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98" s="2" customFormat="1" x14ac:dyDescent="0.25">
      <c r="A14" s="64"/>
      <c r="B14" s="65"/>
      <c r="C14" s="58" t="s">
        <v>56</v>
      </c>
      <c r="D14" s="66"/>
      <c r="E14" s="66">
        <v>46150</v>
      </c>
      <c r="F14" s="66">
        <v>46151</v>
      </c>
      <c r="G14" s="66">
        <v>46152</v>
      </c>
      <c r="H14" s="66">
        <v>46153</v>
      </c>
      <c r="I14" s="66">
        <v>46154</v>
      </c>
      <c r="J14" s="66">
        <v>46155</v>
      </c>
      <c r="K14" s="66">
        <v>46156</v>
      </c>
      <c r="L14" s="66">
        <v>46157</v>
      </c>
      <c r="M14" s="66">
        <v>46158</v>
      </c>
      <c r="N14" s="66">
        <v>46159</v>
      </c>
      <c r="O14" s="66">
        <v>46160</v>
      </c>
      <c r="P14" s="66">
        <v>46161</v>
      </c>
      <c r="Q14" s="66">
        <v>46162</v>
      </c>
      <c r="R14" s="66">
        <v>46163</v>
      </c>
      <c r="S14" s="66">
        <v>46164</v>
      </c>
      <c r="T14" s="66">
        <v>46165</v>
      </c>
      <c r="U14" s="66">
        <v>46166</v>
      </c>
      <c r="V14" s="66">
        <v>46167</v>
      </c>
      <c r="W14" s="66">
        <v>46168</v>
      </c>
      <c r="X14" s="66">
        <v>46169</v>
      </c>
      <c r="Y14" s="66">
        <v>46170</v>
      </c>
      <c r="Z14" s="66">
        <v>46171</v>
      </c>
      <c r="AA14" s="66">
        <v>46172</v>
      </c>
      <c r="AB14" s="66">
        <v>46173</v>
      </c>
      <c r="AC14" s="66">
        <v>46174</v>
      </c>
      <c r="AD14" s="66">
        <v>46175</v>
      </c>
      <c r="AE14" s="66">
        <v>46176</v>
      </c>
      <c r="AF14" s="66">
        <v>46177</v>
      </c>
      <c r="AG14" s="66">
        <v>46178</v>
      </c>
      <c r="AH14" s="66">
        <v>46179</v>
      </c>
      <c r="AI14" s="66">
        <v>46180</v>
      </c>
      <c r="AJ14" s="66">
        <v>46181</v>
      </c>
      <c r="AK14" s="66">
        <v>46182</v>
      </c>
      <c r="AL14" s="66">
        <v>46183</v>
      </c>
      <c r="AM14" s="66">
        <v>46184</v>
      </c>
      <c r="AN14" s="66">
        <v>46185</v>
      </c>
      <c r="AO14" s="66">
        <v>46186</v>
      </c>
      <c r="AP14" s="66">
        <v>46187</v>
      </c>
      <c r="AQ14" s="66">
        <v>46188</v>
      </c>
      <c r="AR14" s="66">
        <v>46189</v>
      </c>
      <c r="AS14" s="66">
        <v>46190</v>
      </c>
      <c r="AT14" s="66">
        <v>46191</v>
      </c>
      <c r="AU14" s="66">
        <v>46192</v>
      </c>
      <c r="AV14" s="66">
        <v>46193</v>
      </c>
      <c r="AW14" s="66">
        <v>46194</v>
      </c>
      <c r="AX14" s="66">
        <v>46195</v>
      </c>
      <c r="AY14" s="66">
        <v>46196</v>
      </c>
      <c r="AZ14" s="66">
        <v>46197</v>
      </c>
      <c r="BA14" s="66">
        <v>46198</v>
      </c>
      <c r="BB14" s="66">
        <v>46199</v>
      </c>
      <c r="BC14" s="66">
        <v>46200</v>
      </c>
      <c r="BD14" s="66">
        <v>46201</v>
      </c>
      <c r="BE14" s="66">
        <v>46202</v>
      </c>
      <c r="BF14" s="66">
        <v>46203</v>
      </c>
      <c r="BG14" s="66">
        <v>46204</v>
      </c>
      <c r="BH14" s="66">
        <v>46205</v>
      </c>
      <c r="BI14" s="66">
        <v>46206</v>
      </c>
      <c r="BJ14" s="66">
        <v>46207</v>
      </c>
      <c r="BK14" s="66">
        <v>46208</v>
      </c>
      <c r="BL14" s="66">
        <v>46209</v>
      </c>
      <c r="BM14" s="66">
        <v>46210</v>
      </c>
      <c r="BN14" s="66">
        <v>46211</v>
      </c>
      <c r="BO14" s="66">
        <v>46212</v>
      </c>
      <c r="BP14" s="66">
        <v>46213</v>
      </c>
      <c r="BQ14" s="66">
        <v>46214</v>
      </c>
      <c r="BR14" s="66">
        <v>46215</v>
      </c>
      <c r="BS14" s="66">
        <v>46216</v>
      </c>
      <c r="BT14" s="66">
        <v>46217</v>
      </c>
      <c r="BU14" s="66">
        <v>46218</v>
      </c>
      <c r="BV14" s="66">
        <v>46219</v>
      </c>
      <c r="BW14" s="66">
        <v>46220</v>
      </c>
      <c r="BX14" s="66">
        <v>46221</v>
      </c>
      <c r="BY14" s="66">
        <v>46222</v>
      </c>
      <c r="BZ14" s="66">
        <v>46223</v>
      </c>
      <c r="CA14" s="66">
        <v>46224</v>
      </c>
      <c r="CB14" s="66">
        <v>46225</v>
      </c>
      <c r="CC14" s="66">
        <v>46226</v>
      </c>
      <c r="CD14" s="66">
        <v>46227</v>
      </c>
      <c r="CE14" s="66">
        <v>46228</v>
      </c>
      <c r="CF14" s="66">
        <v>46229</v>
      </c>
      <c r="CG14" s="66">
        <v>46230</v>
      </c>
      <c r="CH14" s="66">
        <v>46231</v>
      </c>
      <c r="CI14" s="66">
        <v>46232</v>
      </c>
      <c r="CJ14" s="66">
        <v>46233</v>
      </c>
      <c r="CK14" s="66">
        <v>46234</v>
      </c>
      <c r="CL14" s="66">
        <v>46235</v>
      </c>
      <c r="CM14" s="66">
        <v>46236</v>
      </c>
      <c r="CN14" s="66">
        <v>46237</v>
      </c>
      <c r="CO14" s="66">
        <v>46238</v>
      </c>
      <c r="CP14" s="66">
        <v>46239</v>
      </c>
      <c r="CQ14" s="66">
        <v>46240</v>
      </c>
      <c r="CR14" s="66">
        <v>46241</v>
      </c>
      <c r="CS14" s="66">
        <v>46242</v>
      </c>
      <c r="CT14" s="66">
        <v>46243</v>
      </c>
    </row>
    <row r="15" spans="1:98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</row>
    <row r="16" spans="1:98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F16" si="0">SUM(E17:E25)</f>
        <v>0</v>
      </c>
      <c r="F16" s="135">
        <f t="shared" si="0"/>
        <v>0</v>
      </c>
      <c r="G16" s="135">
        <f>SUM(G17:G25)</f>
        <v>0</v>
      </c>
      <c r="H16" s="135">
        <f t="shared" ref="H16:BS16" si="1">SUM(H17:H25)</f>
        <v>0</v>
      </c>
      <c r="I16" s="29">
        <f t="shared" si="1"/>
        <v>2000000</v>
      </c>
      <c r="J16" s="29">
        <f t="shared" si="1"/>
        <v>0</v>
      </c>
      <c r="K16" s="29">
        <f t="shared" si="1"/>
        <v>7037500</v>
      </c>
      <c r="L16" s="29">
        <f t="shared" si="1"/>
        <v>0</v>
      </c>
      <c r="M16" s="135">
        <f t="shared" si="1"/>
        <v>0</v>
      </c>
      <c r="N16" s="135">
        <f t="shared" si="1"/>
        <v>0</v>
      </c>
      <c r="O16" s="29">
        <f t="shared" si="1"/>
        <v>7882500</v>
      </c>
      <c r="P16" s="29">
        <f t="shared" si="1"/>
        <v>0</v>
      </c>
      <c r="Q16" s="29">
        <f t="shared" si="1"/>
        <v>0</v>
      </c>
      <c r="R16" s="29">
        <f t="shared" si="1"/>
        <v>0</v>
      </c>
      <c r="S16" s="29">
        <f t="shared" si="1"/>
        <v>0</v>
      </c>
      <c r="T16" s="135">
        <f t="shared" si="1"/>
        <v>0</v>
      </c>
      <c r="U16" s="135">
        <f t="shared" si="1"/>
        <v>0</v>
      </c>
      <c r="V16" s="29">
        <f t="shared" si="1"/>
        <v>0</v>
      </c>
      <c r="W16" s="29">
        <f t="shared" si="1"/>
        <v>0</v>
      </c>
      <c r="X16" s="29">
        <f t="shared" si="1"/>
        <v>0</v>
      </c>
      <c r="Y16" s="29">
        <f t="shared" si="1"/>
        <v>81631.981199999995</v>
      </c>
      <c r="Z16" s="29">
        <f t="shared" si="1"/>
        <v>0</v>
      </c>
      <c r="AA16" s="135">
        <f t="shared" si="1"/>
        <v>0</v>
      </c>
      <c r="AB16" s="135">
        <f t="shared" si="1"/>
        <v>0</v>
      </c>
      <c r="AC16" s="29">
        <f t="shared" si="1"/>
        <v>0</v>
      </c>
      <c r="AD16" s="29">
        <f t="shared" si="1"/>
        <v>0</v>
      </c>
      <c r="AE16" s="29">
        <f t="shared" si="1"/>
        <v>0</v>
      </c>
      <c r="AF16" s="29">
        <f t="shared" si="1"/>
        <v>0</v>
      </c>
      <c r="AG16" s="29">
        <f t="shared" si="1"/>
        <v>0</v>
      </c>
      <c r="AH16" s="135">
        <f t="shared" si="1"/>
        <v>0</v>
      </c>
      <c r="AI16" s="135">
        <f t="shared" si="1"/>
        <v>0</v>
      </c>
      <c r="AJ16" s="29">
        <f t="shared" si="1"/>
        <v>3092120.5</v>
      </c>
      <c r="AK16" s="29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135">
        <f t="shared" si="1"/>
        <v>0</v>
      </c>
      <c r="AP16" s="135">
        <f t="shared" si="1"/>
        <v>0</v>
      </c>
      <c r="AQ16" s="29">
        <f t="shared" si="1"/>
        <v>0</v>
      </c>
      <c r="AR16" s="29">
        <f t="shared" si="1"/>
        <v>0</v>
      </c>
      <c r="AS16" s="29">
        <f t="shared" si="1"/>
        <v>0</v>
      </c>
      <c r="AT16" s="29">
        <f t="shared" si="1"/>
        <v>8488665.8892000001</v>
      </c>
      <c r="AU16" s="29">
        <f t="shared" si="1"/>
        <v>0</v>
      </c>
      <c r="AV16" s="135">
        <f t="shared" si="1"/>
        <v>0</v>
      </c>
      <c r="AW16" s="135">
        <f t="shared" si="1"/>
        <v>0</v>
      </c>
      <c r="AX16" s="29">
        <f t="shared" si="1"/>
        <v>0</v>
      </c>
      <c r="AY16" s="29">
        <f t="shared" si="1"/>
        <v>0</v>
      </c>
      <c r="AZ16" s="29">
        <f t="shared" si="1"/>
        <v>0</v>
      </c>
      <c r="BA16" s="29">
        <f t="shared" si="1"/>
        <v>0</v>
      </c>
      <c r="BB16" s="29">
        <f t="shared" si="1"/>
        <v>0</v>
      </c>
      <c r="BC16" s="135">
        <f t="shared" si="1"/>
        <v>0</v>
      </c>
      <c r="BD16" s="135">
        <f t="shared" si="1"/>
        <v>0</v>
      </c>
      <c r="BE16" s="29">
        <f t="shared" si="1"/>
        <v>3145128.28</v>
      </c>
      <c r="BF16" s="29">
        <f t="shared" si="1"/>
        <v>0</v>
      </c>
      <c r="BG16" s="29">
        <f t="shared" si="1"/>
        <v>0</v>
      </c>
      <c r="BH16" s="29">
        <f t="shared" si="1"/>
        <v>0</v>
      </c>
      <c r="BI16" s="29">
        <f t="shared" si="1"/>
        <v>0</v>
      </c>
      <c r="BJ16" s="135">
        <f t="shared" si="1"/>
        <v>0</v>
      </c>
      <c r="BK16" s="135">
        <f t="shared" si="1"/>
        <v>0</v>
      </c>
      <c r="BL16" s="29">
        <f t="shared" si="1"/>
        <v>0</v>
      </c>
      <c r="BM16" s="29">
        <f t="shared" si="1"/>
        <v>3145128.28</v>
      </c>
      <c r="BN16" s="29">
        <f t="shared" si="1"/>
        <v>0</v>
      </c>
      <c r="BO16" s="29">
        <f t="shared" si="1"/>
        <v>0</v>
      </c>
      <c r="BP16" s="29">
        <f t="shared" si="1"/>
        <v>0</v>
      </c>
      <c r="BQ16" s="135">
        <f t="shared" si="1"/>
        <v>0</v>
      </c>
      <c r="BR16" s="135">
        <f t="shared" si="1"/>
        <v>0</v>
      </c>
      <c r="BS16" s="29">
        <f t="shared" si="1"/>
        <v>0</v>
      </c>
      <c r="BT16" s="29">
        <f t="shared" ref="BT16:CT16" si="2">SUM(BT17:BT25)</f>
        <v>0</v>
      </c>
      <c r="BU16" s="29">
        <f t="shared" si="2"/>
        <v>0</v>
      </c>
      <c r="BV16" s="29">
        <f t="shared" si="2"/>
        <v>0</v>
      </c>
      <c r="BW16" s="29">
        <f t="shared" si="2"/>
        <v>0</v>
      </c>
      <c r="BX16" s="29">
        <f t="shared" si="2"/>
        <v>0</v>
      </c>
      <c r="BY16" s="29">
        <f t="shared" si="2"/>
        <v>0</v>
      </c>
      <c r="BZ16" s="29">
        <f t="shared" si="2"/>
        <v>0</v>
      </c>
      <c r="CA16" s="29">
        <f t="shared" si="2"/>
        <v>0</v>
      </c>
      <c r="CB16" s="29">
        <f t="shared" si="2"/>
        <v>0</v>
      </c>
      <c r="CC16" s="29">
        <f t="shared" si="2"/>
        <v>0</v>
      </c>
      <c r="CD16" s="29">
        <f t="shared" si="2"/>
        <v>0</v>
      </c>
      <c r="CE16" s="29">
        <f t="shared" si="2"/>
        <v>0</v>
      </c>
      <c r="CF16" s="29">
        <f t="shared" si="2"/>
        <v>0</v>
      </c>
      <c r="CG16" s="29">
        <f t="shared" si="2"/>
        <v>0</v>
      </c>
      <c r="CH16" s="29">
        <f t="shared" si="2"/>
        <v>0</v>
      </c>
      <c r="CI16" s="29">
        <f t="shared" si="2"/>
        <v>0</v>
      </c>
      <c r="CJ16" s="29">
        <f t="shared" si="2"/>
        <v>0</v>
      </c>
      <c r="CK16" s="29">
        <f t="shared" si="2"/>
        <v>0</v>
      </c>
      <c r="CL16" s="29">
        <f t="shared" si="2"/>
        <v>0</v>
      </c>
      <c r="CM16" s="29">
        <f t="shared" si="2"/>
        <v>0</v>
      </c>
      <c r="CN16" s="29">
        <f t="shared" si="2"/>
        <v>0</v>
      </c>
      <c r="CO16" s="29">
        <f t="shared" si="2"/>
        <v>0</v>
      </c>
      <c r="CP16" s="29">
        <f t="shared" si="2"/>
        <v>0</v>
      </c>
      <c r="CQ16" s="29">
        <f t="shared" si="2"/>
        <v>0</v>
      </c>
      <c r="CR16" s="29">
        <f t="shared" si="2"/>
        <v>0</v>
      </c>
      <c r="CS16" s="29">
        <f t="shared" si="2"/>
        <v>0</v>
      </c>
      <c r="CT16" s="29">
        <f t="shared" si="2"/>
        <v>0</v>
      </c>
    </row>
    <row r="17" spans="1:98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1"/>
      <c r="CP17" s="141"/>
      <c r="CQ17" s="141"/>
      <c r="CR17" s="141"/>
      <c r="CS17" s="141"/>
      <c r="CT17" s="141"/>
    </row>
    <row r="18" spans="1:98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>
        <v>2000000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</row>
    <row r="19" spans="1:98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</row>
    <row r="20" spans="1:98" s="80" customFormat="1" x14ac:dyDescent="0.25">
      <c r="A20" s="40" t="s">
        <v>12</v>
      </c>
      <c r="B20" s="21"/>
      <c r="C20" s="32"/>
      <c r="D20" s="30"/>
      <c r="F20" s="30"/>
      <c r="G20" s="30"/>
      <c r="H20" s="30"/>
      <c r="I20" s="30"/>
      <c r="J20" s="30"/>
      <c r="K20" s="30">
        <v>7037500</v>
      </c>
      <c r="L20" s="30"/>
      <c r="M20" s="30"/>
      <c r="N20" s="30"/>
      <c r="O20" s="30">
        <v>7882500</v>
      </c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</row>
    <row r="21" spans="1:98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>
        <f>924*A3</f>
        <v>81631.981199999995</v>
      </c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</row>
    <row r="22" spans="1:98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</row>
    <row r="23" spans="1:98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>
        <f>96084*A3</f>
        <v>8488665.8892000001</v>
      </c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</row>
    <row r="24" spans="1:98" s="80" customFormat="1" x14ac:dyDescent="0.25">
      <c r="A24" s="40" t="s">
        <v>13</v>
      </c>
      <c r="B24" s="21"/>
      <c r="C24" s="59"/>
      <c r="D24" s="30"/>
      <c r="E24" s="30"/>
      <c r="F24" s="30"/>
      <c r="G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>
        <f>35000*A3</f>
        <v>3092120.5</v>
      </c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>
        <f>35600*A3</f>
        <v>3145128.28</v>
      </c>
      <c r="BF24" s="30"/>
      <c r="BG24" s="30"/>
      <c r="BH24" s="30"/>
      <c r="BI24" s="30"/>
      <c r="BJ24" s="30"/>
      <c r="BK24" s="30"/>
      <c r="BL24" s="30"/>
      <c r="BM24" s="30">
        <f>35600*A3</f>
        <v>3145128.28</v>
      </c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</row>
    <row r="25" spans="1:98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</row>
    <row r="26" spans="1:98" s="4" customFormat="1" x14ac:dyDescent="0.2">
      <c r="A26" s="41" t="s">
        <v>1</v>
      </c>
      <c r="B26" s="22"/>
      <c r="C26" s="34">
        <f>SUM(C28:C75)</f>
        <v>9579358.0901199989</v>
      </c>
      <c r="D26" s="34"/>
      <c r="E26" s="34">
        <f t="shared" ref="E26:AJ26" si="3">SUM(E27:E76)</f>
        <v>360000</v>
      </c>
      <c r="F26" s="34">
        <f t="shared" si="3"/>
        <v>0</v>
      </c>
      <c r="G26" s="34">
        <f t="shared" si="3"/>
        <v>0</v>
      </c>
      <c r="H26" s="34">
        <f t="shared" si="3"/>
        <v>0</v>
      </c>
      <c r="I26" s="34">
        <f t="shared" si="3"/>
        <v>565336.19999999995</v>
      </c>
      <c r="J26" s="34">
        <f t="shared" si="3"/>
        <v>1342536</v>
      </c>
      <c r="K26" s="34">
        <f t="shared" si="3"/>
        <v>673524.87600000005</v>
      </c>
      <c r="L26" s="34">
        <f t="shared" si="3"/>
        <v>3086749.1435999996</v>
      </c>
      <c r="M26" s="34">
        <f t="shared" si="3"/>
        <v>0</v>
      </c>
      <c r="N26" s="34">
        <f t="shared" si="3"/>
        <v>0</v>
      </c>
      <c r="O26" s="34">
        <f t="shared" si="3"/>
        <v>6033275.3540259739</v>
      </c>
      <c r="P26" s="34">
        <f t="shared" si="3"/>
        <v>1235391.8799999999</v>
      </c>
      <c r="Q26" s="34">
        <f t="shared" si="3"/>
        <v>399012.88</v>
      </c>
      <c r="R26" s="34">
        <f t="shared" si="3"/>
        <v>2265387.2477922076</v>
      </c>
      <c r="S26" s="34">
        <f t="shared" si="3"/>
        <v>4073572.5618623374</v>
      </c>
      <c r="T26" s="34">
        <f t="shared" si="3"/>
        <v>0</v>
      </c>
      <c r="U26" s="34">
        <f t="shared" si="3"/>
        <v>0</v>
      </c>
      <c r="V26" s="34">
        <f t="shared" si="3"/>
        <v>304574</v>
      </c>
      <c r="W26" s="34">
        <f t="shared" si="3"/>
        <v>50000</v>
      </c>
      <c r="X26" s="34">
        <f t="shared" si="3"/>
        <v>0</v>
      </c>
      <c r="Y26" s="34">
        <f t="shared" si="3"/>
        <v>4257281.333333334</v>
      </c>
      <c r="Z26" s="34">
        <f t="shared" si="3"/>
        <v>1247230</v>
      </c>
      <c r="AA26" s="34">
        <f t="shared" si="3"/>
        <v>12500</v>
      </c>
      <c r="AB26" s="34">
        <f t="shared" si="3"/>
        <v>0</v>
      </c>
      <c r="AC26" s="34">
        <f t="shared" si="3"/>
        <v>260128.95199999999</v>
      </c>
      <c r="AD26" s="34">
        <f t="shared" si="3"/>
        <v>0</v>
      </c>
      <c r="AE26" s="34">
        <f t="shared" si="3"/>
        <v>3647700</v>
      </c>
      <c r="AF26" s="34">
        <f t="shared" si="3"/>
        <v>516230</v>
      </c>
      <c r="AG26" s="34">
        <f t="shared" si="3"/>
        <v>1729742.6505999998</v>
      </c>
      <c r="AH26" s="34">
        <f t="shared" si="3"/>
        <v>0</v>
      </c>
      <c r="AI26" s="34">
        <f t="shared" si="3"/>
        <v>0</v>
      </c>
      <c r="AJ26" s="34">
        <f t="shared" si="3"/>
        <v>468170.23</v>
      </c>
      <c r="AK26" s="34">
        <f t="shared" ref="AK26:BP26" si="4">SUM(AK27:AK76)</f>
        <v>0</v>
      </c>
      <c r="AL26" s="34">
        <f t="shared" si="4"/>
        <v>0</v>
      </c>
      <c r="AM26" s="34">
        <f t="shared" si="4"/>
        <v>0</v>
      </c>
      <c r="AN26" s="34">
        <f t="shared" si="4"/>
        <v>271506</v>
      </c>
      <c r="AO26" s="34">
        <f t="shared" si="4"/>
        <v>0</v>
      </c>
      <c r="AP26" s="34">
        <f t="shared" si="4"/>
        <v>0</v>
      </c>
      <c r="AQ26" s="34">
        <f t="shared" si="4"/>
        <v>0</v>
      </c>
      <c r="AR26" s="34">
        <f t="shared" si="4"/>
        <v>0</v>
      </c>
      <c r="AS26" s="34">
        <f t="shared" si="4"/>
        <v>0</v>
      </c>
      <c r="AT26" s="34">
        <f t="shared" si="4"/>
        <v>0</v>
      </c>
      <c r="AU26" s="34">
        <f t="shared" si="4"/>
        <v>0</v>
      </c>
      <c r="AV26" s="34">
        <f t="shared" si="4"/>
        <v>0</v>
      </c>
      <c r="AW26" s="34">
        <f t="shared" si="4"/>
        <v>0</v>
      </c>
      <c r="AX26" s="34">
        <f t="shared" si="4"/>
        <v>0</v>
      </c>
      <c r="AY26" s="34">
        <f t="shared" si="4"/>
        <v>0</v>
      </c>
      <c r="AZ26" s="34">
        <f t="shared" si="4"/>
        <v>0</v>
      </c>
      <c r="BA26" s="34">
        <f t="shared" si="4"/>
        <v>0</v>
      </c>
      <c r="BB26" s="34">
        <f t="shared" si="4"/>
        <v>0</v>
      </c>
      <c r="BC26" s="34">
        <f t="shared" si="4"/>
        <v>0</v>
      </c>
      <c r="BD26" s="34">
        <f t="shared" si="4"/>
        <v>0</v>
      </c>
      <c r="BE26" s="34">
        <f t="shared" si="4"/>
        <v>3228281.3333333335</v>
      </c>
      <c r="BF26" s="34">
        <f t="shared" si="4"/>
        <v>0</v>
      </c>
      <c r="BG26" s="34">
        <f t="shared" si="4"/>
        <v>0</v>
      </c>
      <c r="BH26" s="34">
        <f t="shared" si="4"/>
        <v>746062.9</v>
      </c>
      <c r="BI26" s="34">
        <f t="shared" si="4"/>
        <v>0</v>
      </c>
      <c r="BJ26" s="34">
        <f t="shared" si="4"/>
        <v>0</v>
      </c>
      <c r="BK26" s="34">
        <f t="shared" si="4"/>
        <v>0</v>
      </c>
      <c r="BL26" s="34">
        <f t="shared" si="4"/>
        <v>0</v>
      </c>
      <c r="BM26" s="34">
        <f t="shared" si="4"/>
        <v>0</v>
      </c>
      <c r="BN26" s="34">
        <f t="shared" si="4"/>
        <v>0</v>
      </c>
      <c r="BO26" s="34">
        <f t="shared" si="4"/>
        <v>0</v>
      </c>
      <c r="BP26" s="34">
        <f t="shared" si="4"/>
        <v>0</v>
      </c>
      <c r="BQ26" s="34">
        <f t="shared" ref="BQ26:CT26" si="5">SUM(BQ27:BQ76)</f>
        <v>0</v>
      </c>
      <c r="BR26" s="34">
        <f t="shared" si="5"/>
        <v>0</v>
      </c>
      <c r="BS26" s="34">
        <f t="shared" si="5"/>
        <v>271506</v>
      </c>
      <c r="BT26" s="34">
        <f t="shared" si="5"/>
        <v>0</v>
      </c>
      <c r="BU26" s="34">
        <f t="shared" si="5"/>
        <v>0</v>
      </c>
      <c r="BV26" s="34">
        <f t="shared" si="5"/>
        <v>0</v>
      </c>
      <c r="BW26" s="34">
        <f t="shared" si="5"/>
        <v>0</v>
      </c>
      <c r="BX26" s="34">
        <f t="shared" si="5"/>
        <v>0</v>
      </c>
      <c r="BY26" s="34">
        <f t="shared" si="5"/>
        <v>0</v>
      </c>
      <c r="BZ26" s="34">
        <f t="shared" si="5"/>
        <v>0</v>
      </c>
      <c r="CA26" s="34">
        <f t="shared" si="5"/>
        <v>0</v>
      </c>
      <c r="CB26" s="34">
        <f t="shared" si="5"/>
        <v>0</v>
      </c>
      <c r="CC26" s="34">
        <f t="shared" si="5"/>
        <v>0</v>
      </c>
      <c r="CD26" s="34">
        <f t="shared" si="5"/>
        <v>0</v>
      </c>
      <c r="CE26" s="34">
        <f t="shared" si="5"/>
        <v>0</v>
      </c>
      <c r="CF26" s="34">
        <f t="shared" si="5"/>
        <v>0</v>
      </c>
      <c r="CG26" s="34">
        <f t="shared" si="5"/>
        <v>0</v>
      </c>
      <c r="CH26" s="34">
        <f t="shared" si="5"/>
        <v>0</v>
      </c>
      <c r="CI26" s="34">
        <f t="shared" si="5"/>
        <v>0</v>
      </c>
      <c r="CJ26" s="34">
        <f t="shared" si="5"/>
        <v>0</v>
      </c>
      <c r="CK26" s="34">
        <f t="shared" si="5"/>
        <v>0</v>
      </c>
      <c r="CL26" s="34">
        <f t="shared" si="5"/>
        <v>0</v>
      </c>
      <c r="CM26" s="34">
        <f t="shared" si="5"/>
        <v>0</v>
      </c>
      <c r="CN26" s="34">
        <f t="shared" si="5"/>
        <v>0</v>
      </c>
      <c r="CO26" s="34">
        <f t="shared" si="5"/>
        <v>0</v>
      </c>
      <c r="CP26" s="34">
        <f t="shared" si="5"/>
        <v>0</v>
      </c>
      <c r="CQ26" s="34">
        <f t="shared" si="5"/>
        <v>0</v>
      </c>
      <c r="CR26" s="34">
        <f t="shared" si="5"/>
        <v>0</v>
      </c>
      <c r="CS26" s="34">
        <f t="shared" si="5"/>
        <v>0</v>
      </c>
      <c r="CT26" s="34">
        <f t="shared" si="5"/>
        <v>0</v>
      </c>
    </row>
    <row r="27" spans="1:98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</row>
    <row r="28" spans="1:98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</row>
    <row r="29" spans="1:98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</row>
    <row r="30" spans="1:98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>
        <f>8399365/3</f>
        <v>2799788.3333333335</v>
      </c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>
        <f>8399365/3</f>
        <v>2799788.3333333335</v>
      </c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</row>
    <row r="31" spans="1:98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90">
        <f>291375+137118</f>
        <v>428493</v>
      </c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90">
        <f>291375+137118</f>
        <v>428493</v>
      </c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</row>
    <row r="32" spans="1:98" s="1" customFormat="1" x14ac:dyDescent="0.2">
      <c r="A32" s="36" t="s">
        <v>7</v>
      </c>
      <c r="B32" s="23" t="s">
        <v>8</v>
      </c>
      <c r="C32" s="60"/>
      <c r="D32" s="24"/>
      <c r="E32" s="24">
        <v>360000</v>
      </c>
      <c r="F32" s="24"/>
      <c r="H32" s="24"/>
      <c r="I32" s="24"/>
      <c r="J32" s="24"/>
      <c r="K32" s="24"/>
      <c r="L32" s="24">
        <v>420000</v>
      </c>
      <c r="M32" s="24"/>
      <c r="N32" s="24"/>
      <c r="O32" s="24"/>
      <c r="P32" s="24">
        <v>400000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</row>
    <row r="33" spans="1:98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>
        <v>271506</v>
      </c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>
        <v>271506</v>
      </c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>
        <v>271506</v>
      </c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</row>
    <row r="34" spans="1:98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J34" s="24">
        <v>100113.9</v>
      </c>
      <c r="K34" s="24"/>
      <c r="L34" s="24">
        <v>100000</v>
      </c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</row>
    <row r="35" spans="1:98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>
        <v>200113.9</v>
      </c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>
        <v>200113.9</v>
      </c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</row>
    <row r="36" spans="1:98" s="1" customFormat="1" x14ac:dyDescent="0.2">
      <c r="A36" s="36" t="s">
        <v>53</v>
      </c>
      <c r="B36" s="23"/>
      <c r="C36" s="60"/>
      <c r="D36" s="24"/>
      <c r="F36" s="24"/>
      <c r="G36" s="24"/>
      <c r="H36" s="24"/>
      <c r="I36" s="24"/>
      <c r="J36" s="24">
        <v>100000</v>
      </c>
      <c r="K36" s="24">
        <v>100000</v>
      </c>
      <c r="L36" s="24">
        <v>100000</v>
      </c>
      <c r="M36" s="24"/>
      <c r="N36" s="24"/>
      <c r="O36" s="24">
        <v>145949</v>
      </c>
      <c r="P36" s="24">
        <v>100000</v>
      </c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>
        <v>545949</v>
      </c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>
        <v>545949</v>
      </c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</row>
    <row r="37" spans="1:98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</row>
    <row r="38" spans="1:98" s="71" customFormat="1" x14ac:dyDescent="0.2">
      <c r="A38" s="69" t="s">
        <v>14</v>
      </c>
      <c r="B38" s="25" t="s">
        <v>30</v>
      </c>
      <c r="C38" s="70"/>
      <c r="D38" s="24"/>
      <c r="E38" s="24"/>
      <c r="F38" s="24"/>
      <c r="G38" s="24"/>
      <c r="H38" s="24"/>
      <c r="I38" s="24"/>
      <c r="J38" s="100">
        <f>341779/2</f>
        <v>170889.5</v>
      </c>
      <c r="K38" s="24"/>
      <c r="L38" s="24"/>
      <c r="M38" s="24"/>
      <c r="N38" s="24"/>
      <c r="O38" s="100">
        <f>341779/2</f>
        <v>170889.5</v>
      </c>
      <c r="P38" s="100">
        <v>191379</v>
      </c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</row>
    <row r="39" spans="1:98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24"/>
      <c r="H39" s="24"/>
      <c r="I39" s="24"/>
      <c r="J39" s="24"/>
      <c r="K39" s="24"/>
      <c r="L39" s="100">
        <v>156160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</row>
    <row r="40" spans="1:98" s="71" customFormat="1" x14ac:dyDescent="0.2">
      <c r="A40" s="69" t="s">
        <v>117</v>
      </c>
      <c r="B40" s="25" t="s">
        <v>119</v>
      </c>
      <c r="C40" s="70"/>
      <c r="D40" s="24"/>
      <c r="E40" s="24"/>
      <c r="F40" s="24"/>
      <c r="G40" s="24"/>
      <c r="H40" s="24"/>
      <c r="I40" s="24"/>
      <c r="J40" s="24"/>
      <c r="K40" s="24"/>
      <c r="L40" s="28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100">
        <v>691000</v>
      </c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</row>
    <row r="41" spans="1:98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100">
        <v>235200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</row>
    <row r="42" spans="1:98" s="71" customFormat="1" x14ac:dyDescent="0.2">
      <c r="A42" s="69" t="s">
        <v>17</v>
      </c>
      <c r="B42" s="25" t="s">
        <v>41</v>
      </c>
      <c r="C42" s="70">
        <f>1375000-500000-175000-50000-25000-25000-25000</f>
        <v>575000</v>
      </c>
      <c r="D42" s="24"/>
      <c r="E42" s="24"/>
      <c r="F42" s="24"/>
      <c r="G42" s="24"/>
      <c r="H42" s="24"/>
      <c r="I42" s="24"/>
      <c r="J42" s="129">
        <v>25000</v>
      </c>
      <c r="L42" s="129">
        <v>110000</v>
      </c>
      <c r="M42" s="24"/>
      <c r="N42" s="24"/>
      <c r="O42" s="129">
        <v>170000</v>
      </c>
      <c r="P42" s="142">
        <v>145000</v>
      </c>
      <c r="Q42" s="129">
        <v>25000</v>
      </c>
      <c r="R42" s="129">
        <v>100000</v>
      </c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</row>
    <row r="43" spans="1:98" s="71" customFormat="1" x14ac:dyDescent="0.2">
      <c r="A43" s="69" t="s">
        <v>15</v>
      </c>
      <c r="B43" s="25" t="s">
        <v>31</v>
      </c>
      <c r="C43" s="70">
        <f>1205448-25000-25000-25000</f>
        <v>1130448</v>
      </c>
      <c r="D43" s="24"/>
      <c r="E43" s="24"/>
      <c r="F43" s="24"/>
      <c r="G43" s="24"/>
      <c r="I43" s="108">
        <v>50000</v>
      </c>
      <c r="J43" s="108">
        <v>40224</v>
      </c>
      <c r="K43" s="108">
        <v>50000</v>
      </c>
      <c r="L43" s="140">
        <v>195080</v>
      </c>
      <c r="M43" s="24"/>
      <c r="N43" s="24"/>
      <c r="O43" s="98">
        <f>515224/4</f>
        <v>128806</v>
      </c>
      <c r="P43" s="98">
        <f>515224/4</f>
        <v>128806</v>
      </c>
      <c r="Q43" s="98">
        <f>515224/4</f>
        <v>128806</v>
      </c>
      <c r="R43" s="98">
        <f>515224/4+54464</f>
        <v>183270</v>
      </c>
      <c r="S43" s="108">
        <v>65224</v>
      </c>
      <c r="T43" s="24"/>
      <c r="U43" s="24"/>
      <c r="V43" s="108">
        <f>45000+65224</f>
        <v>110224</v>
      </c>
      <c r="W43" s="108">
        <v>50000</v>
      </c>
      <c r="X43" s="24"/>
      <c r="Y43" s="24"/>
      <c r="Z43" s="100">
        <v>516230</v>
      </c>
      <c r="AA43" s="24"/>
      <c r="AB43" s="24"/>
      <c r="AC43" s="24"/>
      <c r="AD43" s="24"/>
      <c r="AE43" s="24"/>
      <c r="AF43" s="100">
        <v>516230</v>
      </c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</row>
    <row r="44" spans="1:98" s="71" customFormat="1" x14ac:dyDescent="0.2">
      <c r="A44" s="69" t="s">
        <v>16</v>
      </c>
      <c r="B44" s="25" t="s">
        <v>32</v>
      </c>
      <c r="C44" s="70">
        <f>1122350-25000-25000</f>
        <v>1072350</v>
      </c>
      <c r="D44" s="24"/>
      <c r="E44" s="24"/>
      <c r="F44" s="24"/>
      <c r="G44" s="24"/>
      <c r="H44" s="24"/>
      <c r="I44" s="108">
        <v>100000</v>
      </c>
      <c r="J44" s="153">
        <v>100000</v>
      </c>
      <c r="K44" s="153">
        <v>100000</v>
      </c>
      <c r="L44" s="108">
        <v>100000</v>
      </c>
      <c r="M44" s="24"/>
      <c r="N44" s="24"/>
      <c r="O44" s="108">
        <v>100000</v>
      </c>
      <c r="P44" s="153">
        <v>100000</v>
      </c>
      <c r="Q44" s="153">
        <v>100000</v>
      </c>
      <c r="R44" s="108">
        <v>100000</v>
      </c>
      <c r="S44" s="108">
        <v>100000</v>
      </c>
      <c r="T44" s="24"/>
      <c r="U44" s="24"/>
      <c r="V44" s="108">
        <v>172350</v>
      </c>
      <c r="W44" s="28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</row>
    <row r="45" spans="1:98" s="71" customFormat="1" x14ac:dyDescent="0.2">
      <c r="A45" s="69" t="s">
        <v>85</v>
      </c>
      <c r="B45" s="25" t="s">
        <v>47</v>
      </c>
      <c r="C45" s="70">
        <f>1980*A6</f>
        <v>149182.70400000003</v>
      </c>
      <c r="D45" s="24"/>
      <c r="E45" s="24"/>
      <c r="F45" s="24"/>
      <c r="G45" s="24"/>
      <c r="H45" s="24"/>
      <c r="I45" s="24"/>
      <c r="J45" s="108">
        <f>250*$A$6</f>
        <v>18836.2</v>
      </c>
      <c r="K45" s="108">
        <f>445*$A$6</f>
        <v>33528.436000000002</v>
      </c>
      <c r="L45" s="108">
        <f>645*$A$6</f>
        <v>48597.396000000001</v>
      </c>
      <c r="M45" s="24"/>
      <c r="N45" s="24"/>
      <c r="O45" s="24"/>
      <c r="P45" s="24"/>
      <c r="Q45" s="24"/>
      <c r="R45" s="24"/>
      <c r="S45" s="108">
        <f>645*$A$6</f>
        <v>48597.396000000001</v>
      </c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</row>
    <row r="46" spans="1:98" s="71" customFormat="1" x14ac:dyDescent="0.2">
      <c r="A46" s="69" t="s">
        <v>120</v>
      </c>
      <c r="B46" s="25" t="s">
        <v>121</v>
      </c>
      <c r="C46" s="76"/>
      <c r="D46" s="24"/>
      <c r="E46" s="28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00">
        <v>507000</v>
      </c>
      <c r="T46" s="24"/>
      <c r="U46" s="24"/>
      <c r="V46" s="24"/>
      <c r="W46" s="24"/>
      <c r="X46" s="24"/>
      <c r="Y46" s="100">
        <v>1014000</v>
      </c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</row>
    <row r="47" spans="1:98" s="73" customFormat="1" x14ac:dyDescent="0.2">
      <c r="A47" s="69" t="s">
        <v>22</v>
      </c>
      <c r="B47" s="25" t="s">
        <v>48</v>
      </c>
      <c r="C47" s="137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138">
        <f>52206*A9</f>
        <v>523349.48819999996</v>
      </c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138">
        <f>52206*A9+2988*A6</f>
        <v>748479.75059999991</v>
      </c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</row>
    <row r="48" spans="1:98" s="73" customFormat="1" x14ac:dyDescent="0.2">
      <c r="A48" s="69" t="s">
        <v>108</v>
      </c>
      <c r="B48" s="25" t="s">
        <v>109</v>
      </c>
      <c r="C48" s="120"/>
      <c r="D48" s="72"/>
      <c r="E48" s="72"/>
      <c r="F48" s="72"/>
      <c r="G48" s="72"/>
      <c r="H48" s="72"/>
      <c r="I48" s="72"/>
      <c r="J48" s="72"/>
      <c r="K48" s="72"/>
      <c r="L48" s="138">
        <v>33610.5</v>
      </c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</row>
    <row r="49" spans="1:98" s="71" customFormat="1" x14ac:dyDescent="0.2">
      <c r="A49" s="69" t="s">
        <v>36</v>
      </c>
      <c r="B49" s="25" t="s">
        <v>37</v>
      </c>
      <c r="C49" s="130"/>
      <c r="D49" s="24"/>
      <c r="E49" s="72"/>
      <c r="F49" s="24"/>
      <c r="G49" s="24"/>
      <c r="H49" s="24"/>
      <c r="I49" s="24"/>
      <c r="J49" s="24"/>
      <c r="K49" s="24"/>
      <c r="L49" s="100">
        <f>2662*A6</f>
        <v>200567.85760000002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100">
        <f>1037.5*A6</f>
        <v>78170.23000000001</v>
      </c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</row>
    <row r="50" spans="1:98" s="71" customFormat="1" x14ac:dyDescent="0.2">
      <c r="A50" s="69" t="s">
        <v>86</v>
      </c>
      <c r="B50" s="25" t="s">
        <v>35</v>
      </c>
      <c r="C50" s="70">
        <f>1700*A6+4050*A6</f>
        <v>433232.60000000003</v>
      </c>
      <c r="D50" s="77"/>
      <c r="E50" s="72"/>
      <c r="F50" s="24"/>
      <c r="G50" s="24"/>
      <c r="H50" s="24"/>
      <c r="I50" s="108">
        <f>250*$A$6</f>
        <v>18836.2</v>
      </c>
      <c r="J50" s="108">
        <f>500*$A$6</f>
        <v>37672.400000000001</v>
      </c>
      <c r="K50" s="108">
        <f>500*$A$6</f>
        <v>37672.400000000001</v>
      </c>
      <c r="L50" s="108">
        <f>850*$A$6</f>
        <v>64043.080000000009</v>
      </c>
      <c r="M50" s="24"/>
      <c r="N50" s="24"/>
      <c r="O50" s="108">
        <f>600*$A$6</f>
        <v>45206.880000000005</v>
      </c>
      <c r="P50" s="108">
        <f>600*$A$6</f>
        <v>45206.880000000005</v>
      </c>
      <c r="Q50" s="108">
        <f>600*$A$6</f>
        <v>45206.880000000005</v>
      </c>
      <c r="R50" s="108">
        <f>500*$A$6</f>
        <v>37672.400000000001</v>
      </c>
      <c r="S50" s="108">
        <f>900*$A$6+525*A6</f>
        <v>107366.34000000001</v>
      </c>
      <c r="T50" s="24"/>
      <c r="U50" s="24"/>
      <c r="V50" s="24"/>
      <c r="W50" s="24"/>
      <c r="X50" s="24"/>
      <c r="Y50" s="24"/>
      <c r="Z50" s="24"/>
      <c r="AA50" s="24"/>
      <c r="AB50" s="24"/>
      <c r="AC50" s="100">
        <f>490*A6</f>
        <v>36918.952000000005</v>
      </c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</row>
    <row r="51" spans="1:98" s="71" customFormat="1" x14ac:dyDescent="0.2">
      <c r="A51" s="69" t="s">
        <v>29</v>
      </c>
      <c r="B51" s="25" t="s">
        <v>42</v>
      </c>
      <c r="C51" s="70">
        <v>20000</v>
      </c>
      <c r="D51" s="24"/>
      <c r="E51" s="72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</row>
    <row r="52" spans="1:98" s="71" customFormat="1" x14ac:dyDescent="0.2">
      <c r="A52" s="69" t="s">
        <v>29</v>
      </c>
      <c r="B52" s="25" t="s">
        <v>43</v>
      </c>
      <c r="C52" s="70">
        <v>439750</v>
      </c>
      <c r="D52" s="24"/>
      <c r="E52" s="24"/>
      <c r="F52" s="24"/>
      <c r="G52" s="24"/>
      <c r="H52" s="24"/>
      <c r="I52" s="95">
        <v>50000</v>
      </c>
      <c r="K52" s="95">
        <v>50000</v>
      </c>
      <c r="L52" s="95">
        <f>50000+14750</f>
        <v>64750</v>
      </c>
      <c r="M52" s="24"/>
      <c r="N52" s="24"/>
      <c r="O52" s="95">
        <v>100000</v>
      </c>
      <c r="P52" s="95">
        <v>50000</v>
      </c>
      <c r="Q52" s="95">
        <v>50000</v>
      </c>
      <c r="R52" s="95">
        <v>25000</v>
      </c>
      <c r="S52" s="95">
        <v>50000</v>
      </c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</row>
    <row r="53" spans="1:98" s="71" customFormat="1" x14ac:dyDescent="0.2">
      <c r="A53" s="69" t="s">
        <v>29</v>
      </c>
      <c r="B53" s="25" t="s">
        <v>55</v>
      </c>
      <c r="C53" s="70">
        <f>800*A6</f>
        <v>60275.840000000004</v>
      </c>
      <c r="D53" s="24"/>
      <c r="E53" s="24"/>
      <c r="F53" s="24"/>
      <c r="G53" s="24"/>
      <c r="H53" s="24"/>
      <c r="I53" s="24"/>
      <c r="J53" s="24"/>
      <c r="K53" s="24"/>
      <c r="L53" s="95">
        <f>250*$A$6</f>
        <v>18836.2</v>
      </c>
      <c r="M53" s="24"/>
      <c r="N53" s="24"/>
      <c r="O53" s="24"/>
      <c r="P53" s="24"/>
      <c r="Q53" s="24"/>
      <c r="R53" s="95">
        <f>50*$A$6+500*A6</f>
        <v>41439.64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</row>
    <row r="54" spans="1:98" s="71" customFormat="1" x14ac:dyDescent="0.2">
      <c r="A54" s="69" t="s">
        <v>124</v>
      </c>
      <c r="B54" s="25" t="s">
        <v>125</v>
      </c>
      <c r="C54" s="70"/>
      <c r="D54" s="24"/>
      <c r="E54" s="28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100">
        <v>203210</v>
      </c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</row>
    <row r="55" spans="1:98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</row>
    <row r="56" spans="1:98" s="71" customFormat="1" x14ac:dyDescent="0.2">
      <c r="A56" s="69" t="s">
        <v>90</v>
      </c>
      <c r="B56" s="25" t="s">
        <v>91</v>
      </c>
      <c r="C56" s="70">
        <v>1012000</v>
      </c>
      <c r="D56" s="77"/>
      <c r="F56" s="28"/>
      <c r="G56" s="28"/>
      <c r="H56" s="28"/>
      <c r="I56" s="28"/>
      <c r="J56" s="28"/>
      <c r="K56" s="28"/>
      <c r="L56" s="129">
        <v>1012000</v>
      </c>
      <c r="M56" s="28"/>
      <c r="N56" s="28"/>
      <c r="O56" s="129">
        <v>1012000</v>
      </c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</row>
    <row r="57" spans="1:98" s="71" customFormat="1" x14ac:dyDescent="0.2">
      <c r="A57" s="69" t="s">
        <v>138</v>
      </c>
      <c r="B57" s="25" t="s">
        <v>136</v>
      </c>
      <c r="C57" s="70"/>
      <c r="D57" s="77"/>
      <c r="E57" s="28"/>
      <c r="F57" s="28"/>
      <c r="G57" s="28"/>
      <c r="H57" s="28"/>
      <c r="I57" s="28"/>
      <c r="J57" s="28"/>
      <c r="K57" s="100">
        <f>3550*A6</f>
        <v>267474.04000000004</v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</row>
    <row r="58" spans="1:98" s="71" customFormat="1" x14ac:dyDescent="0.2">
      <c r="A58" s="69" t="s">
        <v>102</v>
      </c>
      <c r="B58" s="25" t="s">
        <v>103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</row>
    <row r="59" spans="1:98" s="71" customFormat="1" x14ac:dyDescent="0.2">
      <c r="A59" s="151" t="s">
        <v>139</v>
      </c>
      <c r="B59" s="152" t="s">
        <v>114</v>
      </c>
      <c r="C59" s="70"/>
      <c r="D59" s="77"/>
      <c r="E59" s="28"/>
      <c r="F59" s="28"/>
      <c r="G59" s="28"/>
      <c r="H59" s="28"/>
      <c r="I59" s="100">
        <v>346500</v>
      </c>
      <c r="J59" s="100">
        <v>693000</v>
      </c>
      <c r="K59" s="28"/>
      <c r="L59" s="24"/>
      <c r="M59" s="24"/>
      <c r="N59" s="24"/>
      <c r="O59" s="24"/>
      <c r="P59" s="28"/>
      <c r="Q59" s="28"/>
      <c r="R59" s="28"/>
      <c r="S59" s="28"/>
      <c r="T59" s="28"/>
      <c r="U59" s="28"/>
      <c r="V59" s="28"/>
      <c r="W59" s="28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</row>
    <row r="60" spans="1:98" s="71" customFormat="1" x14ac:dyDescent="0.2">
      <c r="A60" s="69" t="s">
        <v>34</v>
      </c>
      <c r="B60" s="25" t="s">
        <v>45</v>
      </c>
      <c r="C60" s="70">
        <f>1014000-100000-100000+400-50000-25000-25000-25000</f>
        <v>689400</v>
      </c>
      <c r="D60" s="77"/>
      <c r="F60" s="24"/>
      <c r="G60" s="24"/>
      <c r="H60" s="24"/>
      <c r="I60" s="24"/>
      <c r="J60" s="108">
        <v>25000</v>
      </c>
      <c r="L60" s="108">
        <v>53800</v>
      </c>
      <c r="M60" s="24"/>
      <c r="N60" s="24"/>
      <c r="O60" s="108">
        <v>110600</v>
      </c>
      <c r="P60" s="106">
        <v>75000</v>
      </c>
      <c r="Q60" s="106">
        <v>50000</v>
      </c>
      <c r="R60" s="24"/>
      <c r="S60" s="108">
        <v>400000</v>
      </c>
      <c r="T60" s="24"/>
      <c r="U60" s="24"/>
      <c r="V60" s="24" t="s">
        <v>89</v>
      </c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</row>
    <row r="61" spans="1:98" s="71" customFormat="1" x14ac:dyDescent="0.2">
      <c r="A61" s="69" t="s">
        <v>128</v>
      </c>
      <c r="B61" s="25" t="s">
        <v>129</v>
      </c>
      <c r="C61" s="70"/>
      <c r="D61" s="77"/>
      <c r="E61" s="28"/>
      <c r="F61" s="28"/>
      <c r="G61" s="28"/>
      <c r="H61" s="28"/>
      <c r="I61" s="28"/>
      <c r="J61" s="28"/>
      <c r="K61" s="28"/>
      <c r="L61" s="100">
        <v>17798.11</v>
      </c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</row>
    <row r="62" spans="1:98" s="71" customFormat="1" x14ac:dyDescent="0.2">
      <c r="A62" s="69" t="s">
        <v>101</v>
      </c>
      <c r="B62" s="25" t="s">
        <v>130</v>
      </c>
      <c r="C62" s="70"/>
      <c r="D62" s="77"/>
      <c r="F62" s="24"/>
      <c r="G62" s="24"/>
      <c r="H62" s="24"/>
      <c r="I62" s="24"/>
      <c r="J62" s="24"/>
      <c r="L62" s="108">
        <v>120000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</row>
    <row r="63" spans="1:98" s="71" customFormat="1" x14ac:dyDescent="0.2">
      <c r="A63" s="69" t="s">
        <v>134</v>
      </c>
      <c r="B63" s="25" t="s">
        <v>135</v>
      </c>
      <c r="C63" s="70"/>
      <c r="D63" s="77"/>
      <c r="E63" s="28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</row>
    <row r="64" spans="1:98" s="71" customFormat="1" x14ac:dyDescent="0.2">
      <c r="A64" s="69" t="s">
        <v>38</v>
      </c>
      <c r="B64" s="25" t="s">
        <v>39</v>
      </c>
      <c r="C64" s="70"/>
      <c r="D64" s="24"/>
      <c r="F64" s="24"/>
      <c r="G64" s="24"/>
      <c r="H64" s="24"/>
      <c r="I64" s="24"/>
      <c r="J64" s="100">
        <f>15000+16800</f>
        <v>31800</v>
      </c>
      <c r="K64" s="100">
        <v>34850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</row>
    <row r="65" spans="1:98" s="71" customFormat="1" x14ac:dyDescent="0.2">
      <c r="A65" s="69" t="s">
        <v>74</v>
      </c>
      <c r="B65" s="25" t="s">
        <v>131</v>
      </c>
      <c r="C65" s="70"/>
      <c r="D65" s="24"/>
      <c r="E65" s="28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100">
        <v>22000</v>
      </c>
      <c r="W65" s="24"/>
      <c r="X65" s="24"/>
      <c r="Y65" s="100">
        <v>15000</v>
      </c>
      <c r="Z65" s="143">
        <v>40000</v>
      </c>
      <c r="AA65" s="100">
        <v>12500</v>
      </c>
      <c r="AB65" s="24"/>
      <c r="AC65" s="100">
        <v>20000</v>
      </c>
      <c r="AD65" s="24"/>
      <c r="AE65" s="100">
        <v>80000</v>
      </c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</row>
    <row r="66" spans="1:98" s="71" customFormat="1" x14ac:dyDescent="0.2">
      <c r="A66" s="69" t="s">
        <v>74</v>
      </c>
      <c r="B66" s="25" t="s">
        <v>83</v>
      </c>
      <c r="C66" s="70"/>
      <c r="D66" s="24"/>
      <c r="F66" s="24"/>
      <c r="G66" s="24"/>
      <c r="H66" s="24"/>
      <c r="I66" s="24"/>
      <c r="J66" s="24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4"/>
      <c r="AA66" s="24"/>
      <c r="AB66" s="24"/>
      <c r="AC66" s="24"/>
      <c r="AD66" s="24"/>
      <c r="AE66" s="114">
        <v>3567700</v>
      </c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</row>
    <row r="67" spans="1:98" s="73" customForma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  <c r="CI67" s="72"/>
      <c r="CJ67" s="72"/>
      <c r="CK67" s="72"/>
      <c r="CL67" s="72"/>
      <c r="CM67" s="72"/>
      <c r="CN67" s="72"/>
      <c r="CO67" s="72"/>
      <c r="CP67" s="72"/>
      <c r="CQ67" s="72"/>
      <c r="CR67" s="72"/>
      <c r="CS67" s="72"/>
      <c r="CT67" s="72"/>
    </row>
    <row r="68" spans="1:98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/>
      <c r="BI68" s="93"/>
      <c r="BJ68" s="93"/>
      <c r="BK68" s="93"/>
      <c r="BL68" s="93"/>
      <c r="BM68" s="93"/>
      <c r="BN68" s="93"/>
      <c r="BO68" s="93"/>
      <c r="BP68" s="93"/>
      <c r="BQ68" s="93"/>
      <c r="BR68" s="93"/>
      <c r="BS68" s="93"/>
      <c r="BT68" s="93"/>
      <c r="BU68" s="93"/>
      <c r="BV68" s="93"/>
      <c r="BW68" s="93"/>
      <c r="BX68" s="93"/>
      <c r="BY68" s="93"/>
      <c r="BZ68" s="93"/>
      <c r="CA68" s="93"/>
      <c r="CB68" s="93"/>
      <c r="CC68" s="93"/>
      <c r="CD68" s="93"/>
      <c r="CE68" s="93"/>
      <c r="CF68" s="93"/>
      <c r="CG68" s="93"/>
      <c r="CH68" s="93"/>
      <c r="CI68" s="93"/>
      <c r="CJ68" s="93"/>
      <c r="CK68" s="93"/>
      <c r="CL68" s="93"/>
      <c r="CM68" s="93"/>
      <c r="CN68" s="93"/>
      <c r="CO68" s="93"/>
      <c r="CP68" s="93"/>
      <c r="CQ68" s="93"/>
      <c r="CR68" s="93"/>
      <c r="CS68" s="93"/>
      <c r="CT68" s="93"/>
    </row>
    <row r="69" spans="1:98" s="94" customFormat="1" ht="33.75" x14ac:dyDescent="0.2">
      <c r="A69" s="91" t="s">
        <v>60</v>
      </c>
      <c r="B69" s="92" t="s">
        <v>59</v>
      </c>
      <c r="C69" s="93">
        <v>0</v>
      </c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3"/>
      <c r="BI69" s="93"/>
      <c r="BJ69" s="93"/>
      <c r="BK69" s="93"/>
      <c r="BL69" s="93"/>
      <c r="BM69" s="93"/>
      <c r="BN69" s="93"/>
      <c r="BO69" s="93"/>
      <c r="BP69" s="93"/>
      <c r="BQ69" s="93"/>
      <c r="BR69" s="93"/>
      <c r="BS69" s="93"/>
      <c r="BT69" s="93"/>
      <c r="BU69" s="93"/>
      <c r="BV69" s="93"/>
      <c r="BW69" s="93"/>
      <c r="BX69" s="93"/>
      <c r="BY69" s="93"/>
      <c r="BZ69" s="93"/>
      <c r="CA69" s="93"/>
      <c r="CB69" s="93"/>
      <c r="CC69" s="93"/>
      <c r="CD69" s="93"/>
      <c r="CE69" s="93"/>
      <c r="CF69" s="93"/>
      <c r="CG69" s="93"/>
      <c r="CH69" s="93"/>
      <c r="CI69" s="93"/>
      <c r="CJ69" s="93"/>
      <c r="CK69" s="93"/>
      <c r="CL69" s="93"/>
      <c r="CM69" s="93"/>
      <c r="CN69" s="93"/>
      <c r="CO69" s="93"/>
      <c r="CP69" s="93"/>
      <c r="CQ69" s="93"/>
      <c r="CR69" s="93"/>
      <c r="CS69" s="93"/>
      <c r="CT69" s="93"/>
    </row>
    <row r="70" spans="1:98" s="5" customForma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</row>
    <row r="71" spans="1:98" s="5" customFormat="1" x14ac:dyDescent="0.2">
      <c r="A71" s="36" t="s">
        <v>49</v>
      </c>
      <c r="B71" s="12"/>
      <c r="C71" s="13"/>
      <c r="D71" s="26"/>
      <c r="F71" s="13"/>
      <c r="G71" s="13"/>
      <c r="H71" s="13"/>
      <c r="I71" s="13"/>
      <c r="J71" s="13"/>
      <c r="K71" s="13"/>
      <c r="L71" s="13"/>
      <c r="M71" s="13"/>
      <c r="N71" s="13"/>
      <c r="O71" s="126">
        <f>1184471.02/0.77</f>
        <v>1538274.0519480519</v>
      </c>
      <c r="P71" s="13"/>
      <c r="Q71" s="13"/>
      <c r="R71" s="126">
        <f>(1369064.01)/0.77</f>
        <v>1778005.2077922078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</row>
    <row r="72" spans="1:98" s="5" customFormat="1" x14ac:dyDescent="0.2">
      <c r="A72" s="36" t="s">
        <v>57</v>
      </c>
      <c r="B72" s="12"/>
      <c r="C72" s="68"/>
      <c r="D72" s="26"/>
      <c r="E72" s="13"/>
      <c r="F72" s="13"/>
      <c r="G72" s="13"/>
      <c r="I72" s="13"/>
      <c r="J72" s="13"/>
      <c r="K72" s="13"/>
      <c r="M72" s="13"/>
      <c r="N72" s="13"/>
      <c r="O72" s="139">
        <f>1933893.44/0.77</f>
        <v>2511549.9220779222</v>
      </c>
      <c r="P72" s="13"/>
      <c r="Q72" s="13"/>
      <c r="R72" s="13"/>
      <c r="S72" s="139">
        <f>1749467.21/0.77</f>
        <v>2272035.3376623373</v>
      </c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</row>
    <row r="73" spans="1:98" s="5" customFormat="1" x14ac:dyDescent="0.2">
      <c r="A73" s="36" t="s">
        <v>61</v>
      </c>
      <c r="B73" s="12"/>
      <c r="C73" s="13">
        <v>112000</v>
      </c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9">
        <v>390000</v>
      </c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</row>
    <row r="74" spans="1:98" s="5" customFormat="1" x14ac:dyDescent="0.2">
      <c r="A74" s="42"/>
      <c r="B74" s="12"/>
      <c r="C74" s="68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</row>
    <row r="75" spans="1:98" s="5" customFormat="1" x14ac:dyDescent="0.2">
      <c r="A75" s="36" t="s">
        <v>72</v>
      </c>
      <c r="B75" s="27" t="s">
        <v>73</v>
      </c>
      <c r="C75" s="62">
        <v>3637079.2460000003</v>
      </c>
      <c r="D75" s="35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</row>
    <row r="76" spans="1:98" s="5" customFormat="1" x14ac:dyDescent="0.2">
      <c r="A76" s="42"/>
      <c r="B76" s="12"/>
      <c r="C76" s="61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</row>
    <row r="77" spans="1:98" s="84" customFormat="1" x14ac:dyDescent="0.2">
      <c r="A77" s="81" t="s">
        <v>66</v>
      </c>
      <c r="B77" s="82"/>
      <c r="C77" s="63"/>
      <c r="D77" s="83"/>
      <c r="E77" s="83">
        <f>$C$5+E16-E26</f>
        <v>1107427.1199999999</v>
      </c>
      <c r="F77" s="83">
        <f t="shared" ref="F77:AK77" si="6">E77+F16-F26</f>
        <v>1107427.1199999999</v>
      </c>
      <c r="G77" s="83">
        <f t="shared" si="6"/>
        <v>1107427.1199999999</v>
      </c>
      <c r="H77" s="83">
        <f t="shared" si="6"/>
        <v>1107427.1199999999</v>
      </c>
      <c r="I77" s="83">
        <f t="shared" si="6"/>
        <v>2542090.92</v>
      </c>
      <c r="J77" s="83">
        <f t="shared" si="6"/>
        <v>1199554.92</v>
      </c>
      <c r="K77" s="83">
        <f t="shared" si="6"/>
        <v>7563530.0439999998</v>
      </c>
      <c r="L77" s="83">
        <f t="shared" si="6"/>
        <v>4476780.9003999997</v>
      </c>
      <c r="M77" s="83">
        <f t="shared" si="6"/>
        <v>4476780.9003999997</v>
      </c>
      <c r="N77" s="83">
        <f t="shared" si="6"/>
        <v>4476780.9003999997</v>
      </c>
      <c r="O77" s="83">
        <f t="shared" si="6"/>
        <v>6326005.5463740258</v>
      </c>
      <c r="P77" s="83">
        <f t="shared" si="6"/>
        <v>5090613.6663740259</v>
      </c>
      <c r="Q77" s="83">
        <f t="shared" si="6"/>
        <v>4691600.786374026</v>
      </c>
      <c r="R77" s="83">
        <f t="shared" si="6"/>
        <v>2426213.5385818183</v>
      </c>
      <c r="S77" s="83">
        <f t="shared" si="6"/>
        <v>-1647359.0232805191</v>
      </c>
      <c r="T77" s="83">
        <f t="shared" si="6"/>
        <v>-1647359.0232805191</v>
      </c>
      <c r="U77" s="83">
        <f t="shared" si="6"/>
        <v>-1647359.0232805191</v>
      </c>
      <c r="V77" s="83">
        <f t="shared" si="6"/>
        <v>-1951933.0232805191</v>
      </c>
      <c r="W77" s="83">
        <f t="shared" si="6"/>
        <v>-2001933.0232805191</v>
      </c>
      <c r="X77" s="83">
        <f t="shared" si="6"/>
        <v>-2001933.0232805191</v>
      </c>
      <c r="Y77" s="83">
        <f t="shared" si="6"/>
        <v>-6177582.3754138527</v>
      </c>
      <c r="Z77" s="83">
        <f t="shared" si="6"/>
        <v>-7424812.3754138527</v>
      </c>
      <c r="AA77" s="83">
        <f t="shared" si="6"/>
        <v>-7437312.3754138527</v>
      </c>
      <c r="AB77" s="83">
        <f t="shared" si="6"/>
        <v>-7437312.3754138527</v>
      </c>
      <c r="AC77" s="83">
        <f t="shared" si="6"/>
        <v>-7697441.3274138523</v>
      </c>
      <c r="AD77" s="83">
        <f t="shared" si="6"/>
        <v>-7697441.3274138523</v>
      </c>
      <c r="AE77" s="83">
        <f t="shared" si="6"/>
        <v>-11345141.327413853</v>
      </c>
      <c r="AF77" s="83">
        <f t="shared" si="6"/>
        <v>-11861371.327413853</v>
      </c>
      <c r="AG77" s="83">
        <f t="shared" si="6"/>
        <v>-13591113.978013853</v>
      </c>
      <c r="AH77" s="83">
        <f t="shared" si="6"/>
        <v>-13591113.978013853</v>
      </c>
      <c r="AI77" s="83">
        <f t="shared" si="6"/>
        <v>-13591113.978013853</v>
      </c>
      <c r="AJ77" s="83">
        <f t="shared" si="6"/>
        <v>-10967163.708013853</v>
      </c>
      <c r="AK77" s="83">
        <f t="shared" si="6"/>
        <v>-10967163.708013853</v>
      </c>
      <c r="AL77" s="83">
        <f t="shared" ref="AL77:BQ77" si="7">AK77+AL16-AL26</f>
        <v>-10967163.708013853</v>
      </c>
      <c r="AM77" s="83">
        <f t="shared" si="7"/>
        <v>-10967163.708013853</v>
      </c>
      <c r="AN77" s="83">
        <f t="shared" si="7"/>
        <v>-11238669.708013853</v>
      </c>
      <c r="AO77" s="83">
        <f t="shared" si="7"/>
        <v>-11238669.708013853</v>
      </c>
      <c r="AP77" s="83">
        <f t="shared" si="7"/>
        <v>-11238669.708013853</v>
      </c>
      <c r="AQ77" s="83">
        <f t="shared" si="7"/>
        <v>-11238669.708013853</v>
      </c>
      <c r="AR77" s="83">
        <f t="shared" si="7"/>
        <v>-11238669.708013853</v>
      </c>
      <c r="AS77" s="83">
        <f t="shared" si="7"/>
        <v>-11238669.708013853</v>
      </c>
      <c r="AT77" s="83">
        <f t="shared" si="7"/>
        <v>-2750003.818813853</v>
      </c>
      <c r="AU77" s="83">
        <f t="shared" si="7"/>
        <v>-2750003.818813853</v>
      </c>
      <c r="AV77" s="83">
        <f t="shared" si="7"/>
        <v>-2750003.818813853</v>
      </c>
      <c r="AW77" s="83">
        <f t="shared" si="7"/>
        <v>-2750003.818813853</v>
      </c>
      <c r="AX77" s="83">
        <f t="shared" si="7"/>
        <v>-2750003.818813853</v>
      </c>
      <c r="AY77" s="83">
        <f t="shared" si="7"/>
        <v>-2750003.818813853</v>
      </c>
      <c r="AZ77" s="83">
        <f t="shared" si="7"/>
        <v>-2750003.818813853</v>
      </c>
      <c r="BA77" s="83">
        <f t="shared" si="7"/>
        <v>-2750003.818813853</v>
      </c>
      <c r="BB77" s="83">
        <f t="shared" si="7"/>
        <v>-2750003.818813853</v>
      </c>
      <c r="BC77" s="83">
        <f t="shared" si="7"/>
        <v>-2750003.818813853</v>
      </c>
      <c r="BD77" s="83">
        <f t="shared" si="7"/>
        <v>-2750003.818813853</v>
      </c>
      <c r="BE77" s="83">
        <f t="shared" si="7"/>
        <v>-2833156.8721471867</v>
      </c>
      <c r="BF77" s="83">
        <f t="shared" si="7"/>
        <v>-2833156.8721471867</v>
      </c>
      <c r="BG77" s="83">
        <f t="shared" si="7"/>
        <v>-2833156.8721471867</v>
      </c>
      <c r="BH77" s="83">
        <f t="shared" si="7"/>
        <v>-3579219.7721471866</v>
      </c>
      <c r="BI77" s="83">
        <f t="shared" si="7"/>
        <v>-3579219.7721471866</v>
      </c>
      <c r="BJ77" s="83">
        <f t="shared" si="7"/>
        <v>-3579219.7721471866</v>
      </c>
      <c r="BK77" s="83">
        <f t="shared" si="7"/>
        <v>-3579219.7721471866</v>
      </c>
      <c r="BL77" s="83">
        <f t="shared" si="7"/>
        <v>-3579219.7721471866</v>
      </c>
      <c r="BM77" s="83">
        <f t="shared" si="7"/>
        <v>-434091.49214718677</v>
      </c>
      <c r="BN77" s="83">
        <f t="shared" si="7"/>
        <v>-434091.49214718677</v>
      </c>
      <c r="BO77" s="83">
        <f t="shared" si="7"/>
        <v>-434091.49214718677</v>
      </c>
      <c r="BP77" s="83">
        <f t="shared" si="7"/>
        <v>-434091.49214718677</v>
      </c>
      <c r="BQ77" s="83">
        <f t="shared" si="7"/>
        <v>-434091.49214718677</v>
      </c>
      <c r="BR77" s="83">
        <f t="shared" ref="BR77:CT77" si="8">BQ77+BR16-BR26</f>
        <v>-434091.49214718677</v>
      </c>
      <c r="BS77" s="83">
        <f t="shared" si="8"/>
        <v>-705597.49214718677</v>
      </c>
      <c r="BT77" s="83">
        <f t="shared" si="8"/>
        <v>-705597.49214718677</v>
      </c>
      <c r="BU77" s="83">
        <f t="shared" si="8"/>
        <v>-705597.49214718677</v>
      </c>
      <c r="BV77" s="83">
        <f t="shared" si="8"/>
        <v>-705597.49214718677</v>
      </c>
      <c r="BW77" s="83">
        <f t="shared" si="8"/>
        <v>-705597.49214718677</v>
      </c>
      <c r="BX77" s="83">
        <f t="shared" si="8"/>
        <v>-705597.49214718677</v>
      </c>
      <c r="BY77" s="83">
        <f t="shared" si="8"/>
        <v>-705597.49214718677</v>
      </c>
      <c r="BZ77" s="83">
        <f t="shared" si="8"/>
        <v>-705597.49214718677</v>
      </c>
      <c r="CA77" s="83">
        <f t="shared" si="8"/>
        <v>-705597.49214718677</v>
      </c>
      <c r="CB77" s="83">
        <f t="shared" si="8"/>
        <v>-705597.49214718677</v>
      </c>
      <c r="CC77" s="83">
        <f t="shared" si="8"/>
        <v>-705597.49214718677</v>
      </c>
      <c r="CD77" s="83">
        <f t="shared" si="8"/>
        <v>-705597.49214718677</v>
      </c>
      <c r="CE77" s="83">
        <f t="shared" si="8"/>
        <v>-705597.49214718677</v>
      </c>
      <c r="CF77" s="83">
        <f t="shared" si="8"/>
        <v>-705597.49214718677</v>
      </c>
      <c r="CG77" s="83">
        <f t="shared" si="8"/>
        <v>-705597.49214718677</v>
      </c>
      <c r="CH77" s="83">
        <f t="shared" si="8"/>
        <v>-705597.49214718677</v>
      </c>
      <c r="CI77" s="83">
        <f t="shared" si="8"/>
        <v>-705597.49214718677</v>
      </c>
      <c r="CJ77" s="83">
        <f t="shared" si="8"/>
        <v>-705597.49214718677</v>
      </c>
      <c r="CK77" s="83">
        <f t="shared" si="8"/>
        <v>-705597.49214718677</v>
      </c>
      <c r="CL77" s="83">
        <f t="shared" si="8"/>
        <v>-705597.49214718677</v>
      </c>
      <c r="CM77" s="83">
        <f t="shared" si="8"/>
        <v>-705597.49214718677</v>
      </c>
      <c r="CN77" s="83">
        <f t="shared" si="8"/>
        <v>-705597.49214718677</v>
      </c>
      <c r="CO77" s="83">
        <f t="shared" si="8"/>
        <v>-705597.49214718677</v>
      </c>
      <c r="CP77" s="83">
        <f t="shared" si="8"/>
        <v>-705597.49214718677</v>
      </c>
      <c r="CQ77" s="83">
        <f t="shared" si="8"/>
        <v>-705597.49214718677</v>
      </c>
      <c r="CR77" s="83">
        <f t="shared" si="8"/>
        <v>-705597.49214718677</v>
      </c>
      <c r="CS77" s="83">
        <f t="shared" si="8"/>
        <v>-705597.49214718677</v>
      </c>
      <c r="CT77" s="83">
        <f t="shared" si="8"/>
        <v>-705597.49214718677</v>
      </c>
    </row>
    <row r="79" spans="1:98" s="5" customFormat="1" x14ac:dyDescent="0.2">
      <c r="A79" s="42"/>
      <c r="B79" s="12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</row>
    <row r="80" spans="1:98" s="89" customFormat="1" x14ac:dyDescent="0.2">
      <c r="A80" s="85" t="s">
        <v>65</v>
      </c>
      <c r="B80" s="86"/>
      <c r="C80" s="87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88"/>
    </row>
    <row r="81" spans="1:98" s="5" customFormat="1" ht="22.5" x14ac:dyDescent="0.2">
      <c r="A81" s="36" t="s">
        <v>67</v>
      </c>
      <c r="B81" s="27" t="s">
        <v>68</v>
      </c>
      <c r="C81" s="68">
        <v>3221210.79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</row>
    <row r="82" spans="1:98" s="5" customFormat="1" x14ac:dyDescent="0.2">
      <c r="A82" s="36" t="s">
        <v>69</v>
      </c>
      <c r="B82" s="27" t="s">
        <v>70</v>
      </c>
      <c r="C82" s="68">
        <v>9814338.4000000004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</row>
    <row r="83" spans="1:98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</row>
    <row r="84" spans="1:98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</row>
    <row r="86" spans="1:98" x14ac:dyDescent="0.25">
      <c r="B86" s="14"/>
    </row>
  </sheetData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U87"/>
  <sheetViews>
    <sheetView topLeftCell="BN60" workbookViewId="0">
      <selection activeCell="E43" sqref="E43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1" width="10.85546875" style="3" bestFit="1" customWidth="1"/>
    <col min="12" max="12" width="11.7109375" style="3" bestFit="1" customWidth="1"/>
    <col min="13" max="26" width="10.85546875" style="3" bestFit="1" customWidth="1"/>
    <col min="27" max="27" width="14" style="3" customWidth="1"/>
    <col min="28" max="28" width="12.85546875" style="3" customWidth="1"/>
    <col min="29" max="29" width="14.28515625" style="3" customWidth="1"/>
    <col min="30" max="30" width="12" style="3" customWidth="1"/>
    <col min="31" max="31" width="11" style="3" customWidth="1"/>
    <col min="32" max="32" width="11.85546875" style="3" customWidth="1"/>
    <col min="33" max="33" width="12.42578125" style="3" customWidth="1"/>
    <col min="34" max="34" width="14.85546875" style="3" customWidth="1"/>
    <col min="35" max="35" width="13" style="3" customWidth="1"/>
    <col min="36" max="36" width="12.7109375" style="3" customWidth="1"/>
    <col min="37" max="37" width="11.85546875" style="3" customWidth="1"/>
    <col min="38" max="38" width="13.140625" style="3" customWidth="1"/>
    <col min="39" max="39" width="11.7109375" style="3" customWidth="1"/>
    <col min="40" max="40" width="12.5703125" style="3" customWidth="1"/>
    <col min="41" max="41" width="15.7109375" style="3" customWidth="1"/>
    <col min="42" max="42" width="12.7109375" style="3" customWidth="1"/>
    <col min="43" max="44" width="12.85546875" style="3" customWidth="1"/>
    <col min="45" max="46" width="11.85546875" style="3" customWidth="1"/>
    <col min="47" max="47" width="13" style="3" customWidth="1"/>
    <col min="48" max="48" width="12.28515625" style="3" customWidth="1"/>
    <col min="49" max="49" width="12.140625" style="3" customWidth="1"/>
    <col min="50" max="50" width="11.140625" style="3" customWidth="1"/>
    <col min="51" max="51" width="12.7109375" style="3" customWidth="1"/>
    <col min="52" max="57" width="9" style="3"/>
    <col min="58" max="58" width="12" style="3" customWidth="1"/>
    <col min="59" max="59" width="11.140625" style="3" customWidth="1"/>
    <col min="60" max="60" width="10.28515625" style="3" customWidth="1"/>
    <col min="61" max="61" width="11.42578125" style="3" customWidth="1"/>
    <col min="62" max="66" width="9" style="3"/>
    <col min="67" max="67" width="10.28515625" style="3" bestFit="1" customWidth="1"/>
    <col min="68" max="71" width="9" style="3"/>
    <col min="72" max="72" width="12.42578125" style="3" customWidth="1"/>
    <col min="73" max="84" width="9" style="3"/>
    <col min="85" max="85" width="11.5703125" style="3" customWidth="1"/>
    <col min="86" max="16384" width="9" style="3"/>
  </cols>
  <sheetData>
    <row r="1" spans="1:99" ht="12" thickBot="1" x14ac:dyDescent="0.3"/>
    <row r="2" spans="1:99" s="1" customFormat="1" x14ac:dyDescent="0.2">
      <c r="A2" s="43" t="s">
        <v>50</v>
      </c>
      <c r="B2" s="15" t="s">
        <v>27</v>
      </c>
      <c r="C2" s="50">
        <f>1620748.17-164100</f>
        <v>1456648.17</v>
      </c>
    </row>
    <row r="3" spans="1:99" s="1" customFormat="1" ht="12" thickBot="1" x14ac:dyDescent="0.25">
      <c r="A3" s="44">
        <v>88.346299999999999</v>
      </c>
      <c r="B3" s="15" t="s">
        <v>28</v>
      </c>
      <c r="C3" s="50">
        <v>10778.95</v>
      </c>
    </row>
    <row r="4" spans="1:99" s="8" customFormat="1" ht="12" thickBot="1" x14ac:dyDescent="0.25">
      <c r="A4" s="45"/>
      <c r="B4" s="15" t="s">
        <v>25</v>
      </c>
      <c r="C4" s="51">
        <v>0</v>
      </c>
    </row>
    <row r="5" spans="1:99" s="6" customFormat="1" x14ac:dyDescent="0.2">
      <c r="A5" s="43" t="s">
        <v>51</v>
      </c>
      <c r="B5" s="49" t="s">
        <v>26</v>
      </c>
      <c r="C5" s="52">
        <f>SUM(C2:C4)</f>
        <v>1467427.1199999999</v>
      </c>
    </row>
    <row r="6" spans="1:99" s="6" customFormat="1" ht="12" thickBot="1" x14ac:dyDescent="0.25">
      <c r="A6" s="44">
        <v>75.344800000000006</v>
      </c>
      <c r="B6" s="16"/>
      <c r="C6" s="53"/>
      <c r="D6" s="17"/>
    </row>
    <row r="7" spans="1:99" s="6" customFormat="1" ht="12" thickBot="1" x14ac:dyDescent="0.25">
      <c r="A7" s="105" t="s">
        <v>51</v>
      </c>
      <c r="B7" s="18" t="s">
        <v>127</v>
      </c>
      <c r="C7" s="54">
        <f>SUM(E16:AC16)</f>
        <v>15793073.475120001</v>
      </c>
    </row>
    <row r="8" spans="1:99" x14ac:dyDescent="0.25">
      <c r="A8" s="43" t="s">
        <v>52</v>
      </c>
      <c r="B8" s="18" t="s">
        <v>126</v>
      </c>
      <c r="C8" s="54">
        <f>SUM(E25:AC26)</f>
        <v>26038979.936613858</v>
      </c>
    </row>
    <row r="9" spans="1:99" ht="12" thickBot="1" x14ac:dyDescent="0.3">
      <c r="A9" s="44">
        <v>10.024699999999999</v>
      </c>
      <c r="B9" s="19" t="s">
        <v>64</v>
      </c>
      <c r="C9" s="55">
        <f>C5+C7-C8-C11</f>
        <v>-18447906.391613856</v>
      </c>
    </row>
    <row r="10" spans="1:99" x14ac:dyDescent="0.25">
      <c r="A10" s="99" t="s">
        <v>80</v>
      </c>
      <c r="B10" s="18" t="s">
        <v>23</v>
      </c>
      <c r="C10" s="56">
        <f>C16</f>
        <v>0</v>
      </c>
    </row>
    <row r="11" spans="1:99" x14ac:dyDescent="0.25">
      <c r="A11" s="101" t="s">
        <v>87</v>
      </c>
      <c r="B11" s="18" t="s">
        <v>24</v>
      </c>
      <c r="C11" s="54">
        <f>C26</f>
        <v>9669427.0501199998</v>
      </c>
    </row>
    <row r="12" spans="1:99" x14ac:dyDescent="0.25">
      <c r="A12" s="107" t="s">
        <v>88</v>
      </c>
    </row>
    <row r="13" spans="1:99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99" s="2" customFormat="1" x14ac:dyDescent="0.25">
      <c r="A14" s="64"/>
      <c r="B14" s="65"/>
      <c r="C14" s="58" t="s">
        <v>56</v>
      </c>
      <c r="D14" s="66"/>
      <c r="E14" s="66">
        <v>46149</v>
      </c>
      <c r="F14" s="66">
        <v>46150</v>
      </c>
      <c r="G14" s="66">
        <v>46151</v>
      </c>
      <c r="H14" s="66">
        <v>46152</v>
      </c>
      <c r="I14" s="66">
        <v>46153</v>
      </c>
      <c r="J14" s="66">
        <v>46154</v>
      </c>
      <c r="K14" s="66">
        <v>46155</v>
      </c>
      <c r="L14" s="66">
        <v>46156</v>
      </c>
      <c r="M14" s="66">
        <v>46157</v>
      </c>
      <c r="N14" s="66">
        <v>46158</v>
      </c>
      <c r="O14" s="66">
        <v>46159</v>
      </c>
      <c r="P14" s="66">
        <v>46160</v>
      </c>
      <c r="Q14" s="66">
        <v>46161</v>
      </c>
      <c r="R14" s="66">
        <v>46162</v>
      </c>
      <c r="S14" s="66">
        <v>46163</v>
      </c>
      <c r="T14" s="66">
        <v>46164</v>
      </c>
      <c r="U14" s="66">
        <v>46165</v>
      </c>
      <c r="V14" s="66">
        <v>46166</v>
      </c>
      <c r="W14" s="66">
        <v>46167</v>
      </c>
      <c r="X14" s="66">
        <v>46168</v>
      </c>
      <c r="Y14" s="66">
        <v>46169</v>
      </c>
      <c r="Z14" s="66">
        <v>46170</v>
      </c>
      <c r="AA14" s="66">
        <v>46171</v>
      </c>
      <c r="AB14" s="66">
        <v>46172</v>
      </c>
      <c r="AC14" s="66">
        <v>46173</v>
      </c>
      <c r="AD14" s="66">
        <v>46174</v>
      </c>
      <c r="AE14" s="66">
        <v>46175</v>
      </c>
      <c r="AF14" s="66">
        <v>46176</v>
      </c>
      <c r="AG14" s="66">
        <v>46177</v>
      </c>
      <c r="AH14" s="66">
        <v>46178</v>
      </c>
      <c r="AI14" s="66">
        <v>46179</v>
      </c>
      <c r="AJ14" s="66">
        <v>46180</v>
      </c>
      <c r="AK14" s="66">
        <v>46181</v>
      </c>
      <c r="AL14" s="66">
        <v>46182</v>
      </c>
      <c r="AM14" s="66">
        <v>46183</v>
      </c>
      <c r="AN14" s="66">
        <v>46184</v>
      </c>
      <c r="AO14" s="66">
        <v>46185</v>
      </c>
      <c r="AP14" s="66">
        <v>46186</v>
      </c>
      <c r="AQ14" s="66">
        <v>46187</v>
      </c>
      <c r="AR14" s="66">
        <v>46188</v>
      </c>
      <c r="AS14" s="66">
        <v>46189</v>
      </c>
      <c r="AT14" s="66">
        <v>46190</v>
      </c>
      <c r="AU14" s="66">
        <v>46191</v>
      </c>
      <c r="AV14" s="66">
        <v>46192</v>
      </c>
      <c r="AW14" s="66">
        <v>46193</v>
      </c>
      <c r="AX14" s="66">
        <v>46194</v>
      </c>
      <c r="AY14" s="66">
        <v>46195</v>
      </c>
      <c r="AZ14" s="66">
        <v>46196</v>
      </c>
      <c r="BA14" s="66">
        <v>46197</v>
      </c>
      <c r="BB14" s="66">
        <v>46198</v>
      </c>
      <c r="BC14" s="66">
        <v>46199</v>
      </c>
      <c r="BD14" s="66">
        <v>46200</v>
      </c>
      <c r="BE14" s="66">
        <v>46201</v>
      </c>
      <c r="BF14" s="66">
        <v>46202</v>
      </c>
      <c r="BG14" s="66">
        <v>46203</v>
      </c>
      <c r="BH14" s="66">
        <v>46204</v>
      </c>
      <c r="BI14" s="66">
        <v>46205</v>
      </c>
      <c r="BJ14" s="66">
        <v>46206</v>
      </c>
      <c r="BK14" s="66">
        <v>46207</v>
      </c>
      <c r="BL14" s="66">
        <v>46208</v>
      </c>
      <c r="BM14" s="66">
        <v>46209</v>
      </c>
      <c r="BN14" s="66">
        <v>46210</v>
      </c>
      <c r="BO14" s="66">
        <v>46211</v>
      </c>
      <c r="BP14" s="66">
        <v>46212</v>
      </c>
      <c r="BQ14" s="66">
        <v>46213</v>
      </c>
      <c r="BR14" s="66">
        <v>46214</v>
      </c>
      <c r="BS14" s="66">
        <v>46215</v>
      </c>
      <c r="BT14" s="66">
        <v>46216</v>
      </c>
      <c r="BU14" s="66">
        <v>46217</v>
      </c>
      <c r="BV14" s="66">
        <v>46218</v>
      </c>
      <c r="BW14" s="66">
        <v>46219</v>
      </c>
      <c r="BX14" s="66">
        <v>46220</v>
      </c>
      <c r="BY14" s="66">
        <v>46221</v>
      </c>
      <c r="BZ14" s="66">
        <v>46222</v>
      </c>
      <c r="CA14" s="66">
        <v>46223</v>
      </c>
      <c r="CB14" s="66">
        <v>46224</v>
      </c>
      <c r="CC14" s="66">
        <v>46225</v>
      </c>
      <c r="CD14" s="66">
        <v>46226</v>
      </c>
      <c r="CE14" s="66">
        <v>46227</v>
      </c>
      <c r="CF14" s="66">
        <v>46228</v>
      </c>
      <c r="CG14" s="66">
        <v>46229</v>
      </c>
      <c r="CH14" s="66">
        <v>46230</v>
      </c>
      <c r="CI14" s="66">
        <v>46231</v>
      </c>
      <c r="CJ14" s="66">
        <v>46232</v>
      </c>
      <c r="CK14" s="66">
        <v>46233</v>
      </c>
      <c r="CL14" s="66">
        <v>46234</v>
      </c>
      <c r="CM14" s="66">
        <v>46235</v>
      </c>
      <c r="CN14" s="66">
        <v>46236</v>
      </c>
      <c r="CO14" s="66">
        <v>46237</v>
      </c>
      <c r="CP14" s="66">
        <v>46238</v>
      </c>
      <c r="CQ14" s="66">
        <v>46239</v>
      </c>
      <c r="CR14" s="66">
        <v>46240</v>
      </c>
      <c r="CS14" s="66">
        <v>46241</v>
      </c>
      <c r="CT14" s="66">
        <v>46242</v>
      </c>
      <c r="CU14" s="66">
        <v>46243</v>
      </c>
    </row>
    <row r="15" spans="1:99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</row>
    <row r="16" spans="1:99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G16" si="0">SUM(E17:E25)</f>
        <v>0</v>
      </c>
      <c r="F16" s="29">
        <f t="shared" si="0"/>
        <v>0</v>
      </c>
      <c r="G16" s="135">
        <f t="shared" si="0"/>
        <v>0</v>
      </c>
      <c r="H16" s="135">
        <f>SUM(H17:H25)</f>
        <v>0</v>
      </c>
      <c r="I16" s="135">
        <f t="shared" ref="I16:BT16" si="1">SUM(I17:I25)</f>
        <v>0</v>
      </c>
      <c r="J16" s="29">
        <f t="shared" si="1"/>
        <v>791441.49391999992</v>
      </c>
      <c r="K16" s="29">
        <f t="shared" si="1"/>
        <v>0</v>
      </c>
      <c r="L16" s="29">
        <f t="shared" si="1"/>
        <v>7037500</v>
      </c>
      <c r="M16" s="29">
        <f t="shared" si="1"/>
        <v>0</v>
      </c>
      <c r="N16" s="135">
        <f t="shared" si="1"/>
        <v>0</v>
      </c>
      <c r="O16" s="135">
        <f t="shared" si="1"/>
        <v>0</v>
      </c>
      <c r="P16" s="29">
        <f t="shared" si="1"/>
        <v>7882500</v>
      </c>
      <c r="Q16" s="29">
        <f t="shared" si="1"/>
        <v>0</v>
      </c>
      <c r="R16" s="29">
        <f t="shared" si="1"/>
        <v>0</v>
      </c>
      <c r="S16" s="29">
        <f t="shared" si="1"/>
        <v>0</v>
      </c>
      <c r="T16" s="29">
        <f t="shared" si="1"/>
        <v>0</v>
      </c>
      <c r="U16" s="135">
        <f t="shared" si="1"/>
        <v>0</v>
      </c>
      <c r="V16" s="135">
        <f t="shared" si="1"/>
        <v>0</v>
      </c>
      <c r="W16" s="29">
        <f t="shared" si="1"/>
        <v>0</v>
      </c>
      <c r="X16" s="29">
        <f t="shared" si="1"/>
        <v>0</v>
      </c>
      <c r="Y16" s="29">
        <f t="shared" si="1"/>
        <v>0</v>
      </c>
      <c r="Z16" s="29">
        <f t="shared" si="1"/>
        <v>81631.981199999995</v>
      </c>
      <c r="AA16" s="29">
        <f t="shared" si="1"/>
        <v>0</v>
      </c>
      <c r="AB16" s="135">
        <f t="shared" si="1"/>
        <v>0</v>
      </c>
      <c r="AC16" s="135">
        <f t="shared" si="1"/>
        <v>0</v>
      </c>
      <c r="AD16" s="29">
        <f t="shared" si="1"/>
        <v>0</v>
      </c>
      <c r="AE16" s="29">
        <f t="shared" si="1"/>
        <v>0</v>
      </c>
      <c r="AF16" s="29">
        <f t="shared" si="1"/>
        <v>0</v>
      </c>
      <c r="AG16" s="29">
        <f t="shared" si="1"/>
        <v>0</v>
      </c>
      <c r="AH16" s="29">
        <f t="shared" si="1"/>
        <v>0</v>
      </c>
      <c r="AI16" s="135">
        <f t="shared" si="1"/>
        <v>0</v>
      </c>
      <c r="AJ16" s="135">
        <f t="shared" si="1"/>
        <v>0</v>
      </c>
      <c r="AK16" s="29">
        <f t="shared" si="1"/>
        <v>3092120.5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135">
        <f t="shared" si="1"/>
        <v>0</v>
      </c>
      <c r="AQ16" s="135">
        <f t="shared" si="1"/>
        <v>0</v>
      </c>
      <c r="AR16" s="29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8488665.8892000001</v>
      </c>
      <c r="AV16" s="29">
        <f t="shared" si="1"/>
        <v>0</v>
      </c>
      <c r="AW16" s="135">
        <f t="shared" si="1"/>
        <v>0</v>
      </c>
      <c r="AX16" s="135">
        <f t="shared" si="1"/>
        <v>0</v>
      </c>
      <c r="AY16" s="29">
        <f t="shared" si="1"/>
        <v>0</v>
      </c>
      <c r="AZ16" s="29">
        <f t="shared" si="1"/>
        <v>0</v>
      </c>
      <c r="BA16" s="29">
        <f t="shared" si="1"/>
        <v>0</v>
      </c>
      <c r="BB16" s="29">
        <f t="shared" si="1"/>
        <v>0</v>
      </c>
      <c r="BC16" s="29">
        <f t="shared" si="1"/>
        <v>0</v>
      </c>
      <c r="BD16" s="135">
        <f t="shared" si="1"/>
        <v>0</v>
      </c>
      <c r="BE16" s="135">
        <f t="shared" si="1"/>
        <v>0</v>
      </c>
      <c r="BF16" s="29">
        <f t="shared" si="1"/>
        <v>3145128.28</v>
      </c>
      <c r="BG16" s="29">
        <f t="shared" si="1"/>
        <v>0</v>
      </c>
      <c r="BH16" s="29">
        <f t="shared" si="1"/>
        <v>0</v>
      </c>
      <c r="BI16" s="29">
        <f t="shared" si="1"/>
        <v>0</v>
      </c>
      <c r="BJ16" s="29">
        <f t="shared" si="1"/>
        <v>0</v>
      </c>
      <c r="BK16" s="135">
        <f t="shared" si="1"/>
        <v>0</v>
      </c>
      <c r="BL16" s="135">
        <f t="shared" si="1"/>
        <v>0</v>
      </c>
      <c r="BM16" s="29">
        <f t="shared" si="1"/>
        <v>0</v>
      </c>
      <c r="BN16" s="29">
        <f t="shared" si="1"/>
        <v>0</v>
      </c>
      <c r="BO16" s="29">
        <f t="shared" si="1"/>
        <v>3145128.28</v>
      </c>
      <c r="BP16" s="29">
        <f t="shared" si="1"/>
        <v>0</v>
      </c>
      <c r="BQ16" s="29">
        <f t="shared" si="1"/>
        <v>0</v>
      </c>
      <c r="BR16" s="135">
        <f t="shared" si="1"/>
        <v>0</v>
      </c>
      <c r="BS16" s="135">
        <f t="shared" si="1"/>
        <v>0</v>
      </c>
      <c r="BT16" s="29">
        <f t="shared" si="1"/>
        <v>0</v>
      </c>
      <c r="BU16" s="29">
        <f t="shared" ref="BU16:CU16" si="2">SUM(BU17:BU25)</f>
        <v>0</v>
      </c>
      <c r="BV16" s="29">
        <f t="shared" si="2"/>
        <v>0</v>
      </c>
      <c r="BW16" s="29">
        <f t="shared" si="2"/>
        <v>0</v>
      </c>
      <c r="BX16" s="29">
        <f t="shared" si="2"/>
        <v>0</v>
      </c>
      <c r="BY16" s="29">
        <f t="shared" si="2"/>
        <v>0</v>
      </c>
      <c r="BZ16" s="29">
        <f t="shared" si="2"/>
        <v>0</v>
      </c>
      <c r="CA16" s="29">
        <f t="shared" si="2"/>
        <v>0</v>
      </c>
      <c r="CB16" s="29">
        <f t="shared" si="2"/>
        <v>0</v>
      </c>
      <c r="CC16" s="29">
        <f t="shared" si="2"/>
        <v>0</v>
      </c>
      <c r="CD16" s="29">
        <f t="shared" si="2"/>
        <v>0</v>
      </c>
      <c r="CE16" s="29">
        <f t="shared" si="2"/>
        <v>0</v>
      </c>
      <c r="CF16" s="29">
        <f t="shared" si="2"/>
        <v>0</v>
      </c>
      <c r="CG16" s="29">
        <f t="shared" si="2"/>
        <v>0</v>
      </c>
      <c r="CH16" s="29">
        <f t="shared" si="2"/>
        <v>0</v>
      </c>
      <c r="CI16" s="29">
        <f t="shared" si="2"/>
        <v>0</v>
      </c>
      <c r="CJ16" s="29">
        <f t="shared" si="2"/>
        <v>0</v>
      </c>
      <c r="CK16" s="29">
        <f t="shared" si="2"/>
        <v>0</v>
      </c>
      <c r="CL16" s="29">
        <f t="shared" si="2"/>
        <v>0</v>
      </c>
      <c r="CM16" s="29">
        <f t="shared" si="2"/>
        <v>0</v>
      </c>
      <c r="CN16" s="29">
        <f t="shared" si="2"/>
        <v>0</v>
      </c>
      <c r="CO16" s="29">
        <f t="shared" si="2"/>
        <v>0</v>
      </c>
      <c r="CP16" s="29">
        <f t="shared" si="2"/>
        <v>0</v>
      </c>
      <c r="CQ16" s="29">
        <f t="shared" si="2"/>
        <v>0</v>
      </c>
      <c r="CR16" s="29">
        <f t="shared" si="2"/>
        <v>0</v>
      </c>
      <c r="CS16" s="29">
        <f t="shared" si="2"/>
        <v>0</v>
      </c>
      <c r="CT16" s="29">
        <f t="shared" si="2"/>
        <v>0</v>
      </c>
      <c r="CU16" s="29">
        <f t="shared" si="2"/>
        <v>0</v>
      </c>
    </row>
    <row r="17" spans="1:99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1"/>
      <c r="CP17" s="141"/>
      <c r="CQ17" s="141"/>
      <c r="CR17" s="141"/>
      <c r="CS17" s="141"/>
      <c r="CT17" s="141"/>
      <c r="CU17" s="141"/>
    </row>
    <row r="18" spans="1:99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</row>
    <row r="19" spans="1:99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>
        <f>8958.4*A3</f>
        <v>791441.49391999992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</row>
    <row r="20" spans="1:99" s="80" customFormat="1" x14ac:dyDescent="0.25">
      <c r="A20" s="40" t="s">
        <v>12</v>
      </c>
      <c r="B20" s="21"/>
      <c r="C20" s="32"/>
      <c r="D20" s="30"/>
      <c r="E20" s="30"/>
      <c r="G20" s="30"/>
      <c r="H20" s="30"/>
      <c r="I20" s="30"/>
      <c r="J20" s="30"/>
      <c r="K20" s="30"/>
      <c r="L20" s="30">
        <v>7037500</v>
      </c>
      <c r="M20" s="30"/>
      <c r="N20" s="30"/>
      <c r="O20" s="30"/>
      <c r="P20" s="30">
        <v>7882500</v>
      </c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</row>
    <row r="21" spans="1:99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>
        <f>924*A3</f>
        <v>81631.981199999995</v>
      </c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</row>
    <row r="22" spans="1:99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</row>
    <row r="23" spans="1:99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>
        <f>96084*A3</f>
        <v>8488665.8892000001</v>
      </c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</row>
    <row r="24" spans="1:99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>
        <f>35000*A3</f>
        <v>3092120.5</v>
      </c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>
        <f>35600*A3</f>
        <v>3145128.28</v>
      </c>
      <c r="BG24" s="30"/>
      <c r="BH24" s="30"/>
      <c r="BI24" s="30"/>
      <c r="BJ24" s="30"/>
      <c r="BK24" s="30"/>
      <c r="BL24" s="30"/>
      <c r="BM24" s="30"/>
      <c r="BN24" s="30"/>
      <c r="BO24" s="30">
        <f>35600*A3</f>
        <v>3145128.28</v>
      </c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</row>
    <row r="25" spans="1:99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</row>
    <row r="26" spans="1:99" s="4" customFormat="1" x14ac:dyDescent="0.2">
      <c r="A26" s="41" t="s">
        <v>1</v>
      </c>
      <c r="B26" s="22"/>
      <c r="C26" s="34">
        <f>SUM(C28:C76)</f>
        <v>9669427.0501199998</v>
      </c>
      <c r="D26" s="34"/>
      <c r="E26" s="34">
        <f t="shared" ref="E26:BO26" si="3">SUM(E27:E77)</f>
        <v>166218.96000000002</v>
      </c>
      <c r="F26" s="34">
        <f t="shared" si="3"/>
        <v>360000</v>
      </c>
      <c r="G26" s="34">
        <f t="shared" si="3"/>
        <v>0</v>
      </c>
      <c r="H26" s="34">
        <f t="shared" si="3"/>
        <v>0</v>
      </c>
      <c r="I26" s="34">
        <f t="shared" si="3"/>
        <v>0</v>
      </c>
      <c r="J26" s="34">
        <f t="shared" si="3"/>
        <v>465336.2</v>
      </c>
      <c r="K26" s="34">
        <f t="shared" si="3"/>
        <v>1242536</v>
      </c>
      <c r="L26" s="34">
        <f t="shared" si="3"/>
        <v>573524.87600000005</v>
      </c>
      <c r="M26" s="34">
        <f t="shared" si="3"/>
        <v>3028138.6435999996</v>
      </c>
      <c r="N26" s="34">
        <f t="shared" si="3"/>
        <v>0</v>
      </c>
      <c r="O26" s="34">
        <f t="shared" si="3"/>
        <v>0</v>
      </c>
      <c r="P26" s="34">
        <f t="shared" si="3"/>
        <v>6033127.8540259739</v>
      </c>
      <c r="Q26" s="34">
        <f t="shared" si="3"/>
        <v>1223298.3799999999</v>
      </c>
      <c r="R26" s="34">
        <f t="shared" si="3"/>
        <v>493776.88</v>
      </c>
      <c r="S26" s="34">
        <f t="shared" si="3"/>
        <v>2310239.7477922076</v>
      </c>
      <c r="T26" s="34">
        <f t="shared" si="3"/>
        <v>4073424.5618623374</v>
      </c>
      <c r="U26" s="34">
        <f t="shared" si="3"/>
        <v>0</v>
      </c>
      <c r="V26" s="34">
        <f t="shared" si="3"/>
        <v>0</v>
      </c>
      <c r="W26" s="34">
        <f t="shared" si="3"/>
        <v>302076.5</v>
      </c>
      <c r="X26" s="34">
        <f t="shared" si="3"/>
        <v>250270</v>
      </c>
      <c r="Y26" s="34">
        <f t="shared" si="3"/>
        <v>0</v>
      </c>
      <c r="Z26" s="34">
        <f t="shared" si="3"/>
        <v>4257281.333333334</v>
      </c>
      <c r="AA26" s="34">
        <f t="shared" si="3"/>
        <v>1247230</v>
      </c>
      <c r="AB26" s="34">
        <f t="shared" si="3"/>
        <v>12500</v>
      </c>
      <c r="AC26" s="34">
        <f t="shared" si="3"/>
        <v>0</v>
      </c>
      <c r="AD26" s="34">
        <f t="shared" si="3"/>
        <v>260128.95199999999</v>
      </c>
      <c r="AE26" s="34">
        <f t="shared" si="3"/>
        <v>0</v>
      </c>
      <c r="AF26" s="34">
        <f t="shared" si="3"/>
        <v>3647700</v>
      </c>
      <c r="AG26" s="34">
        <f t="shared" si="3"/>
        <v>516230</v>
      </c>
      <c r="AH26" s="34">
        <f t="shared" si="3"/>
        <v>1729742.6505999998</v>
      </c>
      <c r="AI26" s="34">
        <f t="shared" si="3"/>
        <v>0</v>
      </c>
      <c r="AJ26" s="34">
        <f t="shared" si="3"/>
        <v>0</v>
      </c>
      <c r="AK26" s="34">
        <f t="shared" si="3"/>
        <v>468170.23</v>
      </c>
      <c r="AL26" s="34">
        <f t="shared" si="3"/>
        <v>0</v>
      </c>
      <c r="AM26" s="34">
        <f t="shared" si="3"/>
        <v>0</v>
      </c>
      <c r="AN26" s="34">
        <f t="shared" si="3"/>
        <v>0</v>
      </c>
      <c r="AO26" s="34">
        <f t="shared" si="3"/>
        <v>271506</v>
      </c>
      <c r="AP26" s="34">
        <f t="shared" si="3"/>
        <v>0</v>
      </c>
      <c r="AQ26" s="34">
        <f t="shared" si="3"/>
        <v>0</v>
      </c>
      <c r="AR26" s="34">
        <f t="shared" si="3"/>
        <v>0</v>
      </c>
      <c r="AS26" s="34">
        <f t="shared" si="3"/>
        <v>0</v>
      </c>
      <c r="AT26" s="34">
        <f t="shared" si="3"/>
        <v>0</v>
      </c>
      <c r="AU26" s="34">
        <f t="shared" si="3"/>
        <v>0</v>
      </c>
      <c r="AV26" s="34">
        <f t="shared" si="3"/>
        <v>0</v>
      </c>
      <c r="AW26" s="34">
        <f t="shared" si="3"/>
        <v>0</v>
      </c>
      <c r="AX26" s="34">
        <f t="shared" si="3"/>
        <v>0</v>
      </c>
      <c r="AY26" s="34">
        <f t="shared" si="3"/>
        <v>0</v>
      </c>
      <c r="AZ26" s="34">
        <f t="shared" si="3"/>
        <v>0</v>
      </c>
      <c r="BA26" s="34">
        <f t="shared" si="3"/>
        <v>0</v>
      </c>
      <c r="BB26" s="34">
        <f t="shared" si="3"/>
        <v>0</v>
      </c>
      <c r="BC26" s="34">
        <f t="shared" si="3"/>
        <v>0</v>
      </c>
      <c r="BD26" s="34">
        <f t="shared" si="3"/>
        <v>0</v>
      </c>
      <c r="BE26" s="34">
        <f t="shared" si="3"/>
        <v>0</v>
      </c>
      <c r="BF26" s="34">
        <f t="shared" si="3"/>
        <v>3228281.3333333335</v>
      </c>
      <c r="BG26" s="34">
        <f t="shared" si="3"/>
        <v>0</v>
      </c>
      <c r="BH26" s="34">
        <f t="shared" si="3"/>
        <v>0</v>
      </c>
      <c r="BI26" s="34">
        <f t="shared" si="3"/>
        <v>746062.9</v>
      </c>
      <c r="BJ26" s="34">
        <f t="shared" si="3"/>
        <v>0</v>
      </c>
      <c r="BK26" s="34">
        <f t="shared" si="3"/>
        <v>0</v>
      </c>
      <c r="BL26" s="34">
        <f t="shared" si="3"/>
        <v>0</v>
      </c>
      <c r="BM26" s="34">
        <f t="shared" si="3"/>
        <v>0</v>
      </c>
      <c r="BN26" s="34">
        <f t="shared" si="3"/>
        <v>0</v>
      </c>
      <c r="BO26" s="34">
        <f t="shared" si="3"/>
        <v>0</v>
      </c>
      <c r="BP26" s="34">
        <f t="shared" ref="BP26:CU26" si="4">SUM(BP27:BP77)</f>
        <v>0</v>
      </c>
      <c r="BQ26" s="34">
        <f t="shared" si="4"/>
        <v>0</v>
      </c>
      <c r="BR26" s="34">
        <f t="shared" si="4"/>
        <v>0</v>
      </c>
      <c r="BS26" s="34">
        <f t="shared" si="4"/>
        <v>0</v>
      </c>
      <c r="BT26" s="34">
        <f t="shared" si="4"/>
        <v>271506</v>
      </c>
      <c r="BU26" s="34">
        <f t="shared" si="4"/>
        <v>0</v>
      </c>
      <c r="BV26" s="34">
        <f t="shared" si="4"/>
        <v>0</v>
      </c>
      <c r="BW26" s="34">
        <f t="shared" si="4"/>
        <v>0</v>
      </c>
      <c r="BX26" s="34">
        <f t="shared" si="4"/>
        <v>0</v>
      </c>
      <c r="BY26" s="34">
        <f t="shared" si="4"/>
        <v>0</v>
      </c>
      <c r="BZ26" s="34">
        <f t="shared" si="4"/>
        <v>0</v>
      </c>
      <c r="CA26" s="34">
        <f t="shared" si="4"/>
        <v>0</v>
      </c>
      <c r="CB26" s="34">
        <f t="shared" si="4"/>
        <v>0</v>
      </c>
      <c r="CC26" s="34">
        <f t="shared" si="4"/>
        <v>0</v>
      </c>
      <c r="CD26" s="34">
        <f t="shared" si="4"/>
        <v>0</v>
      </c>
      <c r="CE26" s="34">
        <f t="shared" si="4"/>
        <v>0</v>
      </c>
      <c r="CF26" s="34">
        <f t="shared" si="4"/>
        <v>0</v>
      </c>
      <c r="CG26" s="34">
        <f t="shared" si="4"/>
        <v>0</v>
      </c>
      <c r="CH26" s="34">
        <f t="shared" si="4"/>
        <v>0</v>
      </c>
      <c r="CI26" s="34">
        <f t="shared" si="4"/>
        <v>0</v>
      </c>
      <c r="CJ26" s="34">
        <f t="shared" si="4"/>
        <v>0</v>
      </c>
      <c r="CK26" s="34">
        <f t="shared" si="4"/>
        <v>0</v>
      </c>
      <c r="CL26" s="34">
        <f t="shared" si="4"/>
        <v>0</v>
      </c>
      <c r="CM26" s="34">
        <f t="shared" si="4"/>
        <v>0</v>
      </c>
      <c r="CN26" s="34">
        <f t="shared" si="4"/>
        <v>0</v>
      </c>
      <c r="CO26" s="34">
        <f t="shared" si="4"/>
        <v>0</v>
      </c>
      <c r="CP26" s="34">
        <f t="shared" si="4"/>
        <v>0</v>
      </c>
      <c r="CQ26" s="34">
        <f t="shared" si="4"/>
        <v>0</v>
      </c>
      <c r="CR26" s="34">
        <f t="shared" si="4"/>
        <v>0</v>
      </c>
      <c r="CS26" s="34">
        <f t="shared" si="4"/>
        <v>0</v>
      </c>
      <c r="CT26" s="34">
        <f t="shared" si="4"/>
        <v>0</v>
      </c>
      <c r="CU26" s="34">
        <f t="shared" si="4"/>
        <v>0</v>
      </c>
    </row>
    <row r="27" spans="1:99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</row>
    <row r="28" spans="1:99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</row>
    <row r="29" spans="1:99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</row>
    <row r="30" spans="1:99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>
        <f>8399365/3</f>
        <v>2799788.3333333335</v>
      </c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>
        <f>8399365/3</f>
        <v>2799788.3333333335</v>
      </c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</row>
    <row r="31" spans="1:99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90">
        <f>291375+137118</f>
        <v>428493</v>
      </c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90">
        <f>291375+137118</f>
        <v>428493</v>
      </c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</row>
    <row r="32" spans="1:99" s="1" customFormat="1" x14ac:dyDescent="0.2">
      <c r="A32" s="36" t="s">
        <v>7</v>
      </c>
      <c r="B32" s="23" t="s">
        <v>8</v>
      </c>
      <c r="C32" s="60"/>
      <c r="D32" s="24"/>
      <c r="E32" s="24"/>
      <c r="F32" s="24">
        <v>360000</v>
      </c>
      <c r="G32" s="24"/>
      <c r="I32" s="24"/>
      <c r="J32" s="24"/>
      <c r="K32" s="24"/>
      <c r="L32" s="24"/>
      <c r="M32" s="24">
        <v>420000</v>
      </c>
      <c r="N32" s="24"/>
      <c r="O32" s="24"/>
      <c r="P32" s="24"/>
      <c r="Q32" s="24">
        <v>400000</v>
      </c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</row>
    <row r="33" spans="1:99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>
        <v>271506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>
        <v>271506</v>
      </c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>
        <v>271506</v>
      </c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</row>
    <row r="34" spans="1:99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K34" s="24">
        <v>100113.9</v>
      </c>
      <c r="L34" s="24"/>
      <c r="M34" s="24">
        <v>100000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</row>
    <row r="35" spans="1:99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>
        <v>200113.9</v>
      </c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>
        <v>200113.9</v>
      </c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</row>
    <row r="36" spans="1:99" s="1" customFormat="1" x14ac:dyDescent="0.2">
      <c r="A36" s="36" t="s">
        <v>53</v>
      </c>
      <c r="B36" s="23"/>
      <c r="C36" s="60"/>
      <c r="D36" s="24"/>
      <c r="E36" s="24"/>
      <c r="G36" s="24"/>
      <c r="H36" s="24"/>
      <c r="I36" s="24"/>
      <c r="J36" s="24"/>
      <c r="K36" s="24">
        <v>100000</v>
      </c>
      <c r="L36" s="24">
        <v>100000</v>
      </c>
      <c r="M36" s="24">
        <v>100000</v>
      </c>
      <c r="N36" s="24"/>
      <c r="O36" s="24"/>
      <c r="P36" s="24">
        <v>145949</v>
      </c>
      <c r="Q36" s="24">
        <v>100000</v>
      </c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>
        <v>545949</v>
      </c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>
        <v>545949</v>
      </c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</row>
    <row r="37" spans="1:99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</row>
    <row r="38" spans="1:99" s="71" customFormat="1" x14ac:dyDescent="0.2">
      <c r="A38" s="69" t="s">
        <v>14</v>
      </c>
      <c r="B38" s="25" t="s">
        <v>30</v>
      </c>
      <c r="C38" s="70"/>
      <c r="D38" s="24"/>
      <c r="E38" s="24"/>
      <c r="F38" s="24"/>
      <c r="G38" s="24"/>
      <c r="H38" s="24"/>
      <c r="I38" s="24"/>
      <c r="J38" s="24"/>
      <c r="K38" s="100">
        <f>341779/2</f>
        <v>170889.5</v>
      </c>
      <c r="L38" s="24"/>
      <c r="M38" s="24"/>
      <c r="N38" s="24"/>
      <c r="O38" s="24"/>
      <c r="P38" s="100">
        <f>341779/2</f>
        <v>170889.5</v>
      </c>
      <c r="Q38" s="100">
        <v>191379</v>
      </c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</row>
    <row r="39" spans="1:99" s="71" customFormat="1" x14ac:dyDescent="0.2">
      <c r="A39" s="69" t="s">
        <v>115</v>
      </c>
      <c r="B39" s="25" t="s">
        <v>116</v>
      </c>
      <c r="C39" s="70"/>
      <c r="D39" s="24"/>
      <c r="F39" s="24"/>
      <c r="G39" s="24"/>
      <c r="H39" s="24"/>
      <c r="I39" s="24"/>
      <c r="J39" s="24"/>
      <c r="K39" s="24"/>
      <c r="L39" s="24"/>
      <c r="M39" s="100">
        <v>156160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</row>
    <row r="40" spans="1:99" s="71" customFormat="1" x14ac:dyDescent="0.2">
      <c r="A40" s="69" t="s">
        <v>117</v>
      </c>
      <c r="B40" s="25" t="s">
        <v>119</v>
      </c>
      <c r="C40" s="70"/>
      <c r="D40" s="24"/>
      <c r="E40" s="28"/>
      <c r="F40" s="24"/>
      <c r="G40" s="24"/>
      <c r="H40" s="24"/>
      <c r="I40" s="24"/>
      <c r="J40" s="24"/>
      <c r="K40" s="24"/>
      <c r="L40" s="24"/>
      <c r="M40" s="28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100">
        <v>691000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</row>
    <row r="41" spans="1:99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100">
        <v>235200</v>
      </c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</row>
    <row r="42" spans="1:99" s="71" customFormat="1" x14ac:dyDescent="0.2">
      <c r="A42" s="69" t="s">
        <v>17</v>
      </c>
      <c r="B42" s="25" t="s">
        <v>41</v>
      </c>
      <c r="C42" s="70">
        <f>1375000-500000-175000-50000-25000-25000</f>
        <v>600000</v>
      </c>
      <c r="D42" s="24"/>
      <c r="E42" s="100">
        <v>25000</v>
      </c>
      <c r="F42" s="24"/>
      <c r="G42" s="24"/>
      <c r="H42" s="24"/>
      <c r="I42" s="24"/>
      <c r="J42" s="24"/>
      <c r="K42" s="129">
        <v>25000</v>
      </c>
      <c r="M42" s="129">
        <v>110000</v>
      </c>
      <c r="N42" s="24"/>
      <c r="O42" s="24"/>
      <c r="P42" s="129">
        <v>170000</v>
      </c>
      <c r="Q42" s="142">
        <v>145000</v>
      </c>
      <c r="R42" s="129">
        <v>25000</v>
      </c>
      <c r="S42" s="129">
        <v>100000</v>
      </c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</row>
    <row r="43" spans="1:99" s="71" customFormat="1" x14ac:dyDescent="0.2">
      <c r="A43" s="69" t="s">
        <v>15</v>
      </c>
      <c r="B43" s="25" t="s">
        <v>31</v>
      </c>
      <c r="C43" s="70">
        <f>1205448-25000-25000</f>
        <v>1155448</v>
      </c>
      <c r="D43" s="24"/>
      <c r="E43" s="100">
        <v>25000</v>
      </c>
      <c r="F43" s="24"/>
      <c r="G43" s="24"/>
      <c r="H43" s="24"/>
      <c r="J43" s="108">
        <v>50000</v>
      </c>
      <c r="K43" s="108">
        <v>40224</v>
      </c>
      <c r="L43" s="108">
        <v>50000</v>
      </c>
      <c r="M43" s="140">
        <v>195080</v>
      </c>
      <c r="N43" s="24"/>
      <c r="O43" s="24"/>
      <c r="P43" s="98">
        <f>515224/4</f>
        <v>128806</v>
      </c>
      <c r="Q43" s="98">
        <f>515224/4</f>
        <v>128806</v>
      </c>
      <c r="R43" s="98">
        <f>515224/4</f>
        <v>128806</v>
      </c>
      <c r="S43" s="98">
        <f>515224/4+54464</f>
        <v>183270</v>
      </c>
      <c r="T43" s="108">
        <v>65224</v>
      </c>
      <c r="U43" s="24"/>
      <c r="V43" s="24"/>
      <c r="W43" s="108">
        <f>45000+65224</f>
        <v>110224</v>
      </c>
      <c r="X43" s="108">
        <v>50000</v>
      </c>
      <c r="Y43" s="24"/>
      <c r="Z43" s="24"/>
      <c r="AA43" s="100">
        <v>516230</v>
      </c>
      <c r="AB43" s="24"/>
      <c r="AC43" s="24"/>
      <c r="AD43" s="24"/>
      <c r="AE43" s="24"/>
      <c r="AF43" s="24"/>
      <c r="AG43" s="100">
        <v>516230</v>
      </c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</row>
    <row r="44" spans="1:99" s="71" customFormat="1" x14ac:dyDescent="0.2">
      <c r="A44" s="69" t="s">
        <v>16</v>
      </c>
      <c r="B44" s="25" t="s">
        <v>32</v>
      </c>
      <c r="C44" s="70">
        <f>1122350-25000</f>
        <v>1097350</v>
      </c>
      <c r="D44" s="24"/>
      <c r="E44" s="100">
        <v>25000</v>
      </c>
      <c r="F44" s="24"/>
      <c r="G44" s="24"/>
      <c r="H44" s="24"/>
      <c r="I44" s="24"/>
      <c r="J44" s="24"/>
      <c r="M44" s="108">
        <v>75000</v>
      </c>
      <c r="N44" s="24"/>
      <c r="O44" s="24"/>
      <c r="P44" s="108">
        <v>99852.5</v>
      </c>
      <c r="Q44" s="108">
        <f>82906+5000.5</f>
        <v>87906.5</v>
      </c>
      <c r="R44" s="108">
        <v>194764</v>
      </c>
      <c r="S44" s="108">
        <f>499410/4+20000</f>
        <v>144852.5</v>
      </c>
      <c r="T44" s="108">
        <v>99852</v>
      </c>
      <c r="U44" s="24"/>
      <c r="V44" s="24"/>
      <c r="W44" s="108">
        <f>45000+124852.5</f>
        <v>169852.5</v>
      </c>
      <c r="X44" s="108">
        <f>85388+64882+50000</f>
        <v>200270</v>
      </c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</row>
    <row r="45" spans="1:99" s="71" customFormat="1" x14ac:dyDescent="0.2">
      <c r="A45" s="69" t="s">
        <v>85</v>
      </c>
      <c r="B45" s="25" t="s">
        <v>47</v>
      </c>
      <c r="C45" s="70">
        <f>2180*A6</f>
        <v>164251.66400000002</v>
      </c>
      <c r="D45" s="24"/>
      <c r="E45" s="100">
        <f>200*$A$6</f>
        <v>15068.960000000001</v>
      </c>
      <c r="F45" s="24"/>
      <c r="G45" s="24"/>
      <c r="H45" s="24"/>
      <c r="I45" s="24"/>
      <c r="J45" s="24"/>
      <c r="K45" s="108">
        <f>250*$A$6</f>
        <v>18836.2</v>
      </c>
      <c r="L45" s="108">
        <f>445*$A$6</f>
        <v>33528.436000000002</v>
      </c>
      <c r="M45" s="108">
        <f>645*$A$6</f>
        <v>48597.396000000001</v>
      </c>
      <c r="N45" s="24"/>
      <c r="O45" s="24"/>
      <c r="P45" s="24"/>
      <c r="Q45" s="24"/>
      <c r="R45" s="24"/>
      <c r="S45" s="24"/>
      <c r="T45" s="108">
        <f>645*$A$6</f>
        <v>48597.396000000001</v>
      </c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</row>
    <row r="46" spans="1:99" s="71" customFormat="1" x14ac:dyDescent="0.2">
      <c r="A46" s="69" t="s">
        <v>120</v>
      </c>
      <c r="B46" s="25" t="s">
        <v>121</v>
      </c>
      <c r="C46" s="76"/>
      <c r="D46" s="24"/>
      <c r="E46" s="24"/>
      <c r="F46" s="28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100">
        <v>507000</v>
      </c>
      <c r="U46" s="24"/>
      <c r="V46" s="24"/>
      <c r="W46" s="24"/>
      <c r="X46" s="24"/>
      <c r="Y46" s="24"/>
      <c r="Z46" s="100">
        <v>1014000</v>
      </c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</row>
    <row r="47" spans="1:99" s="73" customFormat="1" x14ac:dyDescent="0.2">
      <c r="A47" s="69" t="s">
        <v>22</v>
      </c>
      <c r="B47" s="25" t="s">
        <v>48</v>
      </c>
      <c r="C47" s="137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138">
        <f>52206*A9</f>
        <v>523349.48819999996</v>
      </c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138">
        <f>52206*A9+2988*A6</f>
        <v>748479.75059999991</v>
      </c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</row>
    <row r="48" spans="1:99" s="73" customFormat="1" x14ac:dyDescent="0.2">
      <c r="A48" s="69" t="s">
        <v>108</v>
      </c>
      <c r="B48" s="25" t="s">
        <v>109</v>
      </c>
      <c r="C48" s="120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</row>
    <row r="49" spans="1:99" s="71" customFormat="1" x14ac:dyDescent="0.2">
      <c r="A49" s="69" t="s">
        <v>36</v>
      </c>
      <c r="B49" s="25" t="s">
        <v>37</v>
      </c>
      <c r="C49" s="130"/>
      <c r="D49" s="24"/>
      <c r="E49" s="24"/>
      <c r="F49" s="72"/>
      <c r="G49" s="24"/>
      <c r="H49" s="24"/>
      <c r="I49" s="24"/>
      <c r="J49" s="24"/>
      <c r="K49" s="24"/>
      <c r="L49" s="24"/>
      <c r="M49" s="100">
        <f>2662*A6</f>
        <v>200567.85760000002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100">
        <f>1037.5*A6</f>
        <v>78170.23000000001</v>
      </c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</row>
    <row r="50" spans="1:99" s="71" customFormat="1" x14ac:dyDescent="0.2">
      <c r="A50" s="69" t="s">
        <v>86</v>
      </c>
      <c r="B50" s="25" t="s">
        <v>35</v>
      </c>
      <c r="C50" s="70">
        <f>1700*A6+4050*A6</f>
        <v>433232.60000000003</v>
      </c>
      <c r="D50" s="77"/>
      <c r="F50" s="72"/>
      <c r="G50" s="24"/>
      <c r="H50" s="24"/>
      <c r="I50" s="24"/>
      <c r="J50" s="108">
        <f>250*$A$6</f>
        <v>18836.2</v>
      </c>
      <c r="K50" s="108">
        <f>500*$A$6</f>
        <v>37672.400000000001</v>
      </c>
      <c r="L50" s="108">
        <f>500*$A$6</f>
        <v>37672.400000000001</v>
      </c>
      <c r="M50" s="108">
        <f>850*$A$6</f>
        <v>64043.080000000009</v>
      </c>
      <c r="N50" s="24"/>
      <c r="O50" s="24"/>
      <c r="P50" s="108">
        <f>600*$A$6</f>
        <v>45206.880000000005</v>
      </c>
      <c r="Q50" s="108">
        <f>600*$A$6</f>
        <v>45206.880000000005</v>
      </c>
      <c r="R50" s="108">
        <f>600*$A$6</f>
        <v>45206.880000000005</v>
      </c>
      <c r="S50" s="108">
        <f>500*$A$6</f>
        <v>37672.400000000001</v>
      </c>
      <c r="T50" s="108">
        <f>900*$A$6+525*A6</f>
        <v>107366.34000000001</v>
      </c>
      <c r="U50" s="24"/>
      <c r="V50" s="24"/>
      <c r="W50" s="24"/>
      <c r="X50" s="24"/>
      <c r="Y50" s="24"/>
      <c r="Z50" s="24"/>
      <c r="AA50" s="24"/>
      <c r="AB50" s="24"/>
      <c r="AC50" s="24"/>
      <c r="AD50" s="100">
        <f>490*A6</f>
        <v>36918.952000000005</v>
      </c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</row>
    <row r="51" spans="1:99" s="71" customFormat="1" x14ac:dyDescent="0.2">
      <c r="A51" s="69" t="s">
        <v>29</v>
      </c>
      <c r="B51" s="25" t="s">
        <v>42</v>
      </c>
      <c r="C51" s="70">
        <v>20000</v>
      </c>
      <c r="D51" s="24"/>
      <c r="E51" s="24"/>
      <c r="F51" s="72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</row>
    <row r="52" spans="1:99" s="71" customFormat="1" x14ac:dyDescent="0.2">
      <c r="A52" s="69" t="s">
        <v>29</v>
      </c>
      <c r="B52" s="25" t="s">
        <v>43</v>
      </c>
      <c r="C52" s="70">
        <v>439750</v>
      </c>
      <c r="D52" s="24"/>
      <c r="F52" s="24"/>
      <c r="G52" s="24"/>
      <c r="H52" s="24"/>
      <c r="I52" s="24"/>
      <c r="J52" s="95">
        <v>50000</v>
      </c>
      <c r="L52" s="95">
        <v>50000</v>
      </c>
      <c r="M52" s="95">
        <f>50000+14750</f>
        <v>64750</v>
      </c>
      <c r="N52" s="24"/>
      <c r="O52" s="24"/>
      <c r="P52" s="95">
        <v>100000</v>
      </c>
      <c r="Q52" s="95">
        <v>50000</v>
      </c>
      <c r="R52" s="95">
        <v>50000</v>
      </c>
      <c r="S52" s="95">
        <v>25000</v>
      </c>
      <c r="T52" s="95">
        <v>50000</v>
      </c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</row>
    <row r="53" spans="1:99" s="71" customFormat="1" x14ac:dyDescent="0.2">
      <c r="A53" s="69" t="s">
        <v>29</v>
      </c>
      <c r="B53" s="25" t="s">
        <v>55</v>
      </c>
      <c r="C53" s="70">
        <f>800*A6</f>
        <v>60275.840000000004</v>
      </c>
      <c r="D53" s="24"/>
      <c r="E53" s="24"/>
      <c r="F53" s="24"/>
      <c r="G53" s="24"/>
      <c r="H53" s="24"/>
      <c r="I53" s="24"/>
      <c r="J53" s="24"/>
      <c r="K53" s="24"/>
      <c r="L53" s="24"/>
      <c r="M53" s="95">
        <f>250*$A$6</f>
        <v>18836.2</v>
      </c>
      <c r="N53" s="24"/>
      <c r="O53" s="24"/>
      <c r="P53" s="24"/>
      <c r="Q53" s="24"/>
      <c r="R53" s="24"/>
      <c r="S53" s="95">
        <f>50*$A$6+500*A6</f>
        <v>41439.64</v>
      </c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</row>
    <row r="54" spans="1:99" s="71" customFormat="1" x14ac:dyDescent="0.2">
      <c r="A54" s="69" t="s">
        <v>140</v>
      </c>
      <c r="B54" s="25" t="s">
        <v>133</v>
      </c>
      <c r="C54" s="70"/>
      <c r="D54" s="24"/>
      <c r="E54" s="100">
        <v>40900</v>
      </c>
      <c r="F54" s="28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</row>
    <row r="55" spans="1:99" s="71" customFormat="1" x14ac:dyDescent="0.2">
      <c r="A55" s="69" t="s">
        <v>124</v>
      </c>
      <c r="B55" s="25" t="s">
        <v>125</v>
      </c>
      <c r="C55" s="70"/>
      <c r="D55" s="24"/>
      <c r="E55" s="28"/>
      <c r="F55" s="28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100">
        <v>203210</v>
      </c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</row>
    <row r="56" spans="1:99" s="71" customFormat="1" x14ac:dyDescent="0.2">
      <c r="A56" s="69" t="s">
        <v>40</v>
      </c>
      <c r="B56" s="25" t="s">
        <v>44</v>
      </c>
      <c r="C56" s="7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</row>
    <row r="57" spans="1:99" s="71" customFormat="1" x14ac:dyDescent="0.2">
      <c r="A57" s="69" t="s">
        <v>90</v>
      </c>
      <c r="B57" s="25" t="s">
        <v>91</v>
      </c>
      <c r="C57" s="70">
        <v>1012000</v>
      </c>
      <c r="D57" s="77"/>
      <c r="E57" s="28"/>
      <c r="G57" s="28"/>
      <c r="H57" s="28"/>
      <c r="I57" s="28"/>
      <c r="J57" s="28"/>
      <c r="K57" s="28"/>
      <c r="L57" s="28"/>
      <c r="M57" s="129">
        <v>1012000</v>
      </c>
      <c r="N57" s="28"/>
      <c r="O57" s="28"/>
      <c r="P57" s="129">
        <v>1012000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</row>
    <row r="58" spans="1:99" s="71" customFormat="1" x14ac:dyDescent="0.2">
      <c r="A58" s="69" t="s">
        <v>138</v>
      </c>
      <c r="B58" s="25" t="s">
        <v>136</v>
      </c>
      <c r="C58" s="70"/>
      <c r="D58" s="77"/>
      <c r="E58" s="28"/>
      <c r="F58" s="28"/>
      <c r="G58" s="28"/>
      <c r="H58" s="28"/>
      <c r="I58" s="28"/>
      <c r="J58" s="28"/>
      <c r="K58" s="28"/>
      <c r="L58" s="100">
        <f>3550*A6</f>
        <v>267474.04000000004</v>
      </c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</row>
    <row r="59" spans="1:99" s="71" customFormat="1" x14ac:dyDescent="0.2">
      <c r="A59" s="69" t="s">
        <v>102</v>
      </c>
      <c r="B59" s="25" t="s">
        <v>103</v>
      </c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</row>
    <row r="60" spans="1:99" s="71" customFormat="1" x14ac:dyDescent="0.2">
      <c r="A60" s="151" t="s">
        <v>139</v>
      </c>
      <c r="B60" s="152" t="s">
        <v>114</v>
      </c>
      <c r="C60" s="70"/>
      <c r="D60" s="77"/>
      <c r="E60" s="28"/>
      <c r="F60" s="28"/>
      <c r="G60" s="28"/>
      <c r="H60" s="28"/>
      <c r="I60" s="28"/>
      <c r="J60" s="100">
        <v>346500</v>
      </c>
      <c r="K60" s="100">
        <v>693000</v>
      </c>
      <c r="L60" s="28"/>
      <c r="M60" s="24"/>
      <c r="N60" s="24"/>
      <c r="O60" s="24"/>
      <c r="P60" s="24"/>
      <c r="Q60" s="28"/>
      <c r="R60" s="28"/>
      <c r="S60" s="28"/>
      <c r="T60" s="28"/>
      <c r="U60" s="28"/>
      <c r="V60" s="28"/>
      <c r="W60" s="28"/>
      <c r="X60" s="28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</row>
    <row r="61" spans="1:99" s="71" customFormat="1" x14ac:dyDescent="0.2">
      <c r="A61" s="69" t="s">
        <v>34</v>
      </c>
      <c r="B61" s="25" t="s">
        <v>45</v>
      </c>
      <c r="C61" s="70">
        <f>1014000-100000-100000+400-50000-25000-25000-25000</f>
        <v>689400</v>
      </c>
      <c r="D61" s="77"/>
      <c r="E61" s="28"/>
      <c r="G61" s="24"/>
      <c r="H61" s="24"/>
      <c r="I61" s="24"/>
      <c r="J61" s="24"/>
      <c r="K61" s="108">
        <v>25000</v>
      </c>
      <c r="M61" s="108">
        <v>53800</v>
      </c>
      <c r="N61" s="24"/>
      <c r="O61" s="24"/>
      <c r="P61" s="108">
        <v>110600</v>
      </c>
      <c r="Q61" s="106">
        <v>75000</v>
      </c>
      <c r="R61" s="106">
        <v>50000</v>
      </c>
      <c r="S61" s="24"/>
      <c r="T61" s="108">
        <v>400000</v>
      </c>
      <c r="U61" s="24"/>
      <c r="V61" s="24"/>
      <c r="W61" s="24" t="s">
        <v>89</v>
      </c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</row>
    <row r="62" spans="1:99" s="71" customFormat="1" x14ac:dyDescent="0.2">
      <c r="A62" s="69" t="s">
        <v>128</v>
      </c>
      <c r="B62" s="25" t="s">
        <v>129</v>
      </c>
      <c r="C62" s="70"/>
      <c r="D62" s="77"/>
      <c r="E62" s="28"/>
      <c r="F62" s="28"/>
      <c r="G62" s="28"/>
      <c r="H62" s="28"/>
      <c r="I62" s="28"/>
      <c r="J62" s="28"/>
      <c r="K62" s="28"/>
      <c r="L62" s="28"/>
      <c r="M62" s="100">
        <v>17798.11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</row>
    <row r="63" spans="1:99" s="71" customFormat="1" x14ac:dyDescent="0.2">
      <c r="A63" s="69" t="s">
        <v>101</v>
      </c>
      <c r="B63" s="25" t="s">
        <v>130</v>
      </c>
      <c r="C63" s="70"/>
      <c r="D63" s="77"/>
      <c r="E63" s="100">
        <v>25000</v>
      </c>
      <c r="G63" s="24"/>
      <c r="H63" s="24"/>
      <c r="I63" s="24"/>
      <c r="J63" s="24"/>
      <c r="K63" s="24"/>
      <c r="M63" s="108">
        <v>120000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</row>
    <row r="64" spans="1:99" s="71" customFormat="1" x14ac:dyDescent="0.2">
      <c r="A64" s="69" t="s">
        <v>134</v>
      </c>
      <c r="B64" s="25" t="s">
        <v>135</v>
      </c>
      <c r="C64" s="70"/>
      <c r="D64" s="77"/>
      <c r="E64" s="28"/>
      <c r="F64" s="28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</row>
    <row r="65" spans="1:99" s="71" customFormat="1" x14ac:dyDescent="0.2">
      <c r="A65" s="69" t="s">
        <v>38</v>
      </c>
      <c r="B65" s="25" t="s">
        <v>39</v>
      </c>
      <c r="C65" s="70"/>
      <c r="D65" s="24"/>
      <c r="E65" s="28"/>
      <c r="G65" s="24"/>
      <c r="H65" s="24"/>
      <c r="I65" s="24"/>
      <c r="J65" s="24"/>
      <c r="K65" s="100">
        <f>15000+16800</f>
        <v>31800</v>
      </c>
      <c r="L65" s="100">
        <v>34850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</row>
    <row r="66" spans="1:99" s="71" customFormat="1" x14ac:dyDescent="0.2">
      <c r="A66" s="69" t="s">
        <v>74</v>
      </c>
      <c r="B66" s="25" t="s">
        <v>131</v>
      </c>
      <c r="C66" s="70"/>
      <c r="D66" s="24"/>
      <c r="E66" s="28"/>
      <c r="F66" s="28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100">
        <v>22000</v>
      </c>
      <c r="X66" s="24"/>
      <c r="Y66" s="24"/>
      <c r="Z66" s="100">
        <v>15000</v>
      </c>
      <c r="AA66" s="143">
        <v>40000</v>
      </c>
      <c r="AB66" s="100">
        <v>12500</v>
      </c>
      <c r="AC66" s="24"/>
      <c r="AD66" s="100">
        <v>20000</v>
      </c>
      <c r="AE66" s="24"/>
      <c r="AF66" s="100">
        <v>80000</v>
      </c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</row>
    <row r="67" spans="1:99" s="71" customFormat="1" x14ac:dyDescent="0.2">
      <c r="A67" s="69" t="s">
        <v>74</v>
      </c>
      <c r="B67" s="25" t="s">
        <v>83</v>
      </c>
      <c r="C67" s="70"/>
      <c r="D67" s="24"/>
      <c r="E67" s="98">
        <v>10250</v>
      </c>
      <c r="G67" s="24"/>
      <c r="H67" s="24"/>
      <c r="I67" s="24"/>
      <c r="J67" s="24"/>
      <c r="K67" s="24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4"/>
      <c r="AB67" s="24"/>
      <c r="AC67" s="24"/>
      <c r="AD67" s="24"/>
      <c r="AE67" s="24"/>
      <c r="AF67" s="114">
        <v>3567700</v>
      </c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</row>
    <row r="68" spans="1:99" s="73" customFormat="1" x14ac:dyDescent="0.2">
      <c r="A68" s="78"/>
      <c r="B68" s="79"/>
      <c r="C68" s="75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/>
      <c r="BR68" s="72"/>
      <c r="BS68" s="72"/>
      <c r="BT68" s="72"/>
      <c r="BU68" s="72"/>
      <c r="BV68" s="72"/>
      <c r="BW68" s="72"/>
      <c r="BX68" s="72"/>
      <c r="BY68" s="72"/>
      <c r="BZ68" s="72"/>
      <c r="CA68" s="72"/>
      <c r="CB68" s="72"/>
      <c r="CC68" s="72"/>
      <c r="CD68" s="72"/>
      <c r="CE68" s="72"/>
      <c r="CF68" s="72"/>
      <c r="CG68" s="72"/>
      <c r="CH68" s="72"/>
      <c r="CI68" s="72"/>
      <c r="CJ68" s="72"/>
      <c r="CK68" s="72"/>
      <c r="CL68" s="72"/>
      <c r="CM68" s="72"/>
      <c r="CN68" s="72"/>
      <c r="CO68" s="72"/>
      <c r="CP68" s="72"/>
      <c r="CQ68" s="72"/>
      <c r="CR68" s="72"/>
      <c r="CS68" s="72"/>
      <c r="CT68" s="72"/>
      <c r="CU68" s="72"/>
    </row>
    <row r="69" spans="1:99" s="94" customFormat="1" ht="33.75" x14ac:dyDescent="0.2">
      <c r="A69" s="91" t="s">
        <v>60</v>
      </c>
      <c r="B69" s="92" t="s">
        <v>58</v>
      </c>
      <c r="C69" s="93">
        <v>248639.70012000017</v>
      </c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3"/>
      <c r="BI69" s="93"/>
      <c r="BJ69" s="93"/>
      <c r="BK69" s="93"/>
      <c r="BL69" s="93"/>
      <c r="BM69" s="93"/>
      <c r="BN69" s="93"/>
      <c r="BO69" s="93"/>
      <c r="BP69" s="93"/>
      <c r="BQ69" s="93"/>
      <c r="BR69" s="93"/>
      <c r="BS69" s="93"/>
      <c r="BT69" s="93"/>
      <c r="BU69" s="93"/>
      <c r="BV69" s="93"/>
      <c r="BW69" s="93"/>
      <c r="BX69" s="93"/>
      <c r="BY69" s="93"/>
      <c r="BZ69" s="93"/>
      <c r="CA69" s="93"/>
      <c r="CB69" s="93"/>
      <c r="CC69" s="93"/>
      <c r="CD69" s="93"/>
      <c r="CE69" s="93"/>
      <c r="CF69" s="93"/>
      <c r="CG69" s="93"/>
      <c r="CH69" s="93"/>
      <c r="CI69" s="93"/>
      <c r="CJ69" s="93"/>
      <c r="CK69" s="93"/>
      <c r="CL69" s="93"/>
      <c r="CM69" s="93"/>
      <c r="CN69" s="93"/>
      <c r="CO69" s="93"/>
      <c r="CP69" s="93"/>
      <c r="CQ69" s="93"/>
      <c r="CR69" s="93"/>
      <c r="CS69" s="93"/>
      <c r="CT69" s="93"/>
      <c r="CU69" s="93"/>
    </row>
    <row r="70" spans="1:99" s="94" customFormat="1" ht="33.75" x14ac:dyDescent="0.2">
      <c r="A70" s="91" t="s">
        <v>60</v>
      </c>
      <c r="B70" s="92" t="s">
        <v>59</v>
      </c>
      <c r="C70" s="93">
        <v>0</v>
      </c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3"/>
      <c r="BK70" s="93"/>
      <c r="BL70" s="93"/>
      <c r="BM70" s="93"/>
      <c r="BN70" s="93"/>
      <c r="BO70" s="93"/>
      <c r="BP70" s="93"/>
      <c r="BQ70" s="93"/>
      <c r="BR70" s="93"/>
      <c r="BS70" s="93"/>
      <c r="BT70" s="93"/>
      <c r="BU70" s="93"/>
      <c r="BV70" s="93"/>
      <c r="BW70" s="93"/>
      <c r="BX70" s="93"/>
      <c r="BY70" s="93"/>
      <c r="BZ70" s="93"/>
      <c r="CA70" s="93"/>
      <c r="CB70" s="93"/>
      <c r="CC70" s="93"/>
      <c r="CD70" s="93"/>
      <c r="CE70" s="93"/>
      <c r="CF70" s="93"/>
      <c r="CG70" s="93"/>
      <c r="CH70" s="93"/>
      <c r="CI70" s="93"/>
      <c r="CJ70" s="93"/>
      <c r="CK70" s="93"/>
      <c r="CL70" s="93"/>
      <c r="CM70" s="93"/>
      <c r="CN70" s="93"/>
      <c r="CO70" s="93"/>
      <c r="CP70" s="93"/>
      <c r="CQ70" s="93"/>
      <c r="CR70" s="93"/>
      <c r="CS70" s="93"/>
      <c r="CT70" s="93"/>
      <c r="CU70" s="93"/>
    </row>
    <row r="71" spans="1:99" s="5" customFormat="1" x14ac:dyDescent="0.2">
      <c r="A71" s="42"/>
      <c r="B71" s="12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</row>
    <row r="72" spans="1:99" s="5" customFormat="1" x14ac:dyDescent="0.2">
      <c r="A72" s="36" t="s">
        <v>49</v>
      </c>
      <c r="B72" s="12"/>
      <c r="C72" s="13"/>
      <c r="D72" s="26"/>
      <c r="G72" s="13"/>
      <c r="H72" s="13"/>
      <c r="I72" s="13"/>
      <c r="J72" s="13"/>
      <c r="K72" s="13"/>
      <c r="L72" s="13"/>
      <c r="M72" s="13"/>
      <c r="N72" s="13"/>
      <c r="O72" s="13"/>
      <c r="P72" s="126">
        <f>1184471.02/0.77</f>
        <v>1538274.0519480519</v>
      </c>
      <c r="Q72" s="13"/>
      <c r="R72" s="13"/>
      <c r="S72" s="126">
        <f>(1369064.01)/0.77</f>
        <v>1778005.2077922078</v>
      </c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</row>
    <row r="73" spans="1:99" s="5" customFormat="1" x14ac:dyDescent="0.2">
      <c r="A73" s="36" t="s">
        <v>57</v>
      </c>
      <c r="B73" s="12"/>
      <c r="C73" s="68"/>
      <c r="D73" s="26"/>
      <c r="E73" s="13"/>
      <c r="F73" s="13"/>
      <c r="G73" s="13"/>
      <c r="H73" s="13"/>
      <c r="J73" s="13"/>
      <c r="K73" s="13"/>
      <c r="L73" s="13"/>
      <c r="N73" s="13"/>
      <c r="O73" s="13"/>
      <c r="P73" s="139">
        <f>1933893.44/0.77</f>
        <v>2511549.9220779222</v>
      </c>
      <c r="Q73" s="13"/>
      <c r="R73" s="13"/>
      <c r="S73" s="13"/>
      <c r="T73" s="139">
        <f>1749467.21/0.77</f>
        <v>2272035.3376623373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</row>
    <row r="74" spans="1:99" s="5" customFormat="1" x14ac:dyDescent="0.2">
      <c r="A74" s="36" t="s">
        <v>61</v>
      </c>
      <c r="B74" s="12"/>
      <c r="C74" s="13">
        <v>112000</v>
      </c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9">
        <v>390000</v>
      </c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</row>
    <row r="75" spans="1:99" s="5" customFormat="1" x14ac:dyDescent="0.2">
      <c r="A75" s="42"/>
      <c r="B75" s="12"/>
      <c r="C75" s="68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</row>
    <row r="76" spans="1:99" s="5" customFormat="1" x14ac:dyDescent="0.2">
      <c r="A76" s="36" t="s">
        <v>72</v>
      </c>
      <c r="B76" s="27" t="s">
        <v>73</v>
      </c>
      <c r="C76" s="62">
        <v>3637079.2460000003</v>
      </c>
      <c r="D76" s="35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</row>
    <row r="77" spans="1:99" s="5" customFormat="1" x14ac:dyDescent="0.2">
      <c r="A77" s="42"/>
      <c r="B77" s="12"/>
      <c r="C77" s="61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</row>
    <row r="78" spans="1:99" s="84" customFormat="1" x14ac:dyDescent="0.2">
      <c r="A78" s="81" t="s">
        <v>66</v>
      </c>
      <c r="B78" s="82"/>
      <c r="C78" s="63"/>
      <c r="D78" s="83"/>
      <c r="E78" s="83">
        <f>$C$5+E16-E26</f>
        <v>1301208.1599999999</v>
      </c>
      <c r="F78" s="83">
        <f t="shared" ref="F78:BP78" si="5">E78+F16-F26</f>
        <v>941208.15999999992</v>
      </c>
      <c r="G78" s="83">
        <f t="shared" si="5"/>
        <v>941208.15999999992</v>
      </c>
      <c r="H78" s="83">
        <f t="shared" si="5"/>
        <v>941208.15999999992</v>
      </c>
      <c r="I78" s="83">
        <f t="shared" si="5"/>
        <v>941208.15999999992</v>
      </c>
      <c r="J78" s="83">
        <f t="shared" si="5"/>
        <v>1267313.45392</v>
      </c>
      <c r="K78" s="83">
        <f t="shared" si="5"/>
        <v>24777.45392</v>
      </c>
      <c r="L78" s="83">
        <f t="shared" si="5"/>
        <v>6488752.5779200001</v>
      </c>
      <c r="M78" s="83">
        <f t="shared" si="5"/>
        <v>3460613.9343200005</v>
      </c>
      <c r="N78" s="83">
        <f t="shared" si="5"/>
        <v>3460613.9343200005</v>
      </c>
      <c r="O78" s="83">
        <f t="shared" si="5"/>
        <v>3460613.9343200005</v>
      </c>
      <c r="P78" s="83">
        <f t="shared" si="5"/>
        <v>5309986.080294027</v>
      </c>
      <c r="Q78" s="83">
        <f t="shared" si="5"/>
        <v>4086687.7002940271</v>
      </c>
      <c r="R78" s="83">
        <f t="shared" si="5"/>
        <v>3592910.8202940272</v>
      </c>
      <c r="S78" s="83">
        <f t="shared" si="5"/>
        <v>1282671.0725018196</v>
      </c>
      <c r="T78" s="83">
        <f t="shared" si="5"/>
        <v>-2790753.4893605178</v>
      </c>
      <c r="U78" s="83">
        <f t="shared" si="5"/>
        <v>-2790753.4893605178</v>
      </c>
      <c r="V78" s="83">
        <f t="shared" si="5"/>
        <v>-2790753.4893605178</v>
      </c>
      <c r="W78" s="83">
        <f t="shared" si="5"/>
        <v>-3092829.9893605178</v>
      </c>
      <c r="X78" s="83">
        <f t="shared" si="5"/>
        <v>-3343099.9893605178</v>
      </c>
      <c r="Y78" s="83">
        <f t="shared" si="5"/>
        <v>-3343099.9893605178</v>
      </c>
      <c r="Z78" s="83">
        <f t="shared" si="5"/>
        <v>-7518749.3414938524</v>
      </c>
      <c r="AA78" s="83">
        <f t="shared" si="5"/>
        <v>-8765979.3414938524</v>
      </c>
      <c r="AB78" s="83">
        <f t="shared" si="5"/>
        <v>-8778479.3414938524</v>
      </c>
      <c r="AC78" s="83">
        <f t="shared" si="5"/>
        <v>-8778479.3414938524</v>
      </c>
      <c r="AD78" s="83">
        <f t="shared" si="5"/>
        <v>-9038608.293493852</v>
      </c>
      <c r="AE78" s="83">
        <f t="shared" si="5"/>
        <v>-9038608.293493852</v>
      </c>
      <c r="AF78" s="83">
        <f t="shared" si="5"/>
        <v>-12686308.293493852</v>
      </c>
      <c r="AG78" s="83">
        <f t="shared" si="5"/>
        <v>-13202538.293493852</v>
      </c>
      <c r="AH78" s="83">
        <f t="shared" si="5"/>
        <v>-14932280.944093851</v>
      </c>
      <c r="AI78" s="83">
        <f t="shared" si="5"/>
        <v>-14932280.944093851</v>
      </c>
      <c r="AJ78" s="83">
        <f t="shared" si="5"/>
        <v>-14932280.944093851</v>
      </c>
      <c r="AK78" s="83">
        <f t="shared" si="5"/>
        <v>-12308330.674093852</v>
      </c>
      <c r="AL78" s="83">
        <f t="shared" si="5"/>
        <v>-12308330.674093852</v>
      </c>
      <c r="AM78" s="83">
        <f t="shared" si="5"/>
        <v>-12308330.674093852</v>
      </c>
      <c r="AN78" s="83">
        <f t="shared" si="5"/>
        <v>-12308330.674093852</v>
      </c>
      <c r="AO78" s="83">
        <f t="shared" si="5"/>
        <v>-12579836.674093852</v>
      </c>
      <c r="AP78" s="83">
        <f t="shared" si="5"/>
        <v>-12579836.674093852</v>
      </c>
      <c r="AQ78" s="83">
        <f t="shared" si="5"/>
        <v>-12579836.674093852</v>
      </c>
      <c r="AR78" s="83">
        <f t="shared" si="5"/>
        <v>-12579836.674093852</v>
      </c>
      <c r="AS78" s="83">
        <f t="shared" si="5"/>
        <v>-12579836.674093852</v>
      </c>
      <c r="AT78" s="83">
        <f t="shared" si="5"/>
        <v>-12579836.674093852</v>
      </c>
      <c r="AU78" s="83">
        <f t="shared" si="5"/>
        <v>-4091170.7848938517</v>
      </c>
      <c r="AV78" s="83">
        <f t="shared" si="5"/>
        <v>-4091170.7848938517</v>
      </c>
      <c r="AW78" s="83">
        <f t="shared" si="5"/>
        <v>-4091170.7848938517</v>
      </c>
      <c r="AX78" s="83">
        <f t="shared" si="5"/>
        <v>-4091170.7848938517</v>
      </c>
      <c r="AY78" s="83">
        <f t="shared" si="5"/>
        <v>-4091170.7848938517</v>
      </c>
      <c r="AZ78" s="83">
        <f t="shared" si="5"/>
        <v>-4091170.7848938517</v>
      </c>
      <c r="BA78" s="83">
        <f t="shared" si="5"/>
        <v>-4091170.7848938517</v>
      </c>
      <c r="BB78" s="83">
        <f t="shared" si="5"/>
        <v>-4091170.7848938517</v>
      </c>
      <c r="BC78" s="83">
        <f t="shared" si="5"/>
        <v>-4091170.7848938517</v>
      </c>
      <c r="BD78" s="83">
        <f t="shared" si="5"/>
        <v>-4091170.7848938517</v>
      </c>
      <c r="BE78" s="83">
        <f t="shared" si="5"/>
        <v>-4091170.7848938517</v>
      </c>
      <c r="BF78" s="83">
        <f t="shared" si="5"/>
        <v>-4174323.8382271854</v>
      </c>
      <c r="BG78" s="83">
        <f t="shared" si="5"/>
        <v>-4174323.8382271854</v>
      </c>
      <c r="BH78" s="83">
        <f t="shared" si="5"/>
        <v>-4174323.8382271854</v>
      </c>
      <c r="BI78" s="83">
        <f t="shared" si="5"/>
        <v>-4920386.7382271858</v>
      </c>
      <c r="BJ78" s="83">
        <f t="shared" si="5"/>
        <v>-4920386.7382271858</v>
      </c>
      <c r="BK78" s="83">
        <f t="shared" si="5"/>
        <v>-4920386.7382271858</v>
      </c>
      <c r="BL78" s="83">
        <f t="shared" si="5"/>
        <v>-4920386.7382271858</v>
      </c>
      <c r="BM78" s="83">
        <f t="shared" si="5"/>
        <v>-4920386.7382271858</v>
      </c>
      <c r="BN78" s="83">
        <f t="shared" si="5"/>
        <v>-4920386.7382271858</v>
      </c>
      <c r="BO78" s="83">
        <f t="shared" si="5"/>
        <v>-1775258.458227186</v>
      </c>
      <c r="BP78" s="83">
        <f t="shared" si="5"/>
        <v>-1775258.458227186</v>
      </c>
      <c r="BQ78" s="83">
        <f t="shared" ref="BQ78:CU78" si="6">BP78+BQ16-BQ26</f>
        <v>-1775258.458227186</v>
      </c>
      <c r="BR78" s="83">
        <f t="shared" si="6"/>
        <v>-1775258.458227186</v>
      </c>
      <c r="BS78" s="83">
        <f t="shared" si="6"/>
        <v>-1775258.458227186</v>
      </c>
      <c r="BT78" s="83">
        <f t="shared" si="6"/>
        <v>-2046764.458227186</v>
      </c>
      <c r="BU78" s="83">
        <f t="shared" si="6"/>
        <v>-2046764.458227186</v>
      </c>
      <c r="BV78" s="83">
        <f t="shared" si="6"/>
        <v>-2046764.458227186</v>
      </c>
      <c r="BW78" s="83">
        <f t="shared" si="6"/>
        <v>-2046764.458227186</v>
      </c>
      <c r="BX78" s="83">
        <f t="shared" si="6"/>
        <v>-2046764.458227186</v>
      </c>
      <c r="BY78" s="83">
        <f t="shared" si="6"/>
        <v>-2046764.458227186</v>
      </c>
      <c r="BZ78" s="83">
        <f t="shared" si="6"/>
        <v>-2046764.458227186</v>
      </c>
      <c r="CA78" s="83">
        <f t="shared" si="6"/>
        <v>-2046764.458227186</v>
      </c>
      <c r="CB78" s="83">
        <f t="shared" si="6"/>
        <v>-2046764.458227186</v>
      </c>
      <c r="CC78" s="83">
        <f t="shared" si="6"/>
        <v>-2046764.458227186</v>
      </c>
      <c r="CD78" s="83">
        <f t="shared" si="6"/>
        <v>-2046764.458227186</v>
      </c>
      <c r="CE78" s="83">
        <f t="shared" si="6"/>
        <v>-2046764.458227186</v>
      </c>
      <c r="CF78" s="83">
        <f t="shared" si="6"/>
        <v>-2046764.458227186</v>
      </c>
      <c r="CG78" s="83">
        <f t="shared" si="6"/>
        <v>-2046764.458227186</v>
      </c>
      <c r="CH78" s="83">
        <f t="shared" si="6"/>
        <v>-2046764.458227186</v>
      </c>
      <c r="CI78" s="83">
        <f t="shared" si="6"/>
        <v>-2046764.458227186</v>
      </c>
      <c r="CJ78" s="83">
        <f t="shared" si="6"/>
        <v>-2046764.458227186</v>
      </c>
      <c r="CK78" s="83">
        <f t="shared" si="6"/>
        <v>-2046764.458227186</v>
      </c>
      <c r="CL78" s="83">
        <f t="shared" si="6"/>
        <v>-2046764.458227186</v>
      </c>
      <c r="CM78" s="83">
        <f t="shared" si="6"/>
        <v>-2046764.458227186</v>
      </c>
      <c r="CN78" s="83">
        <f t="shared" si="6"/>
        <v>-2046764.458227186</v>
      </c>
      <c r="CO78" s="83">
        <f t="shared" si="6"/>
        <v>-2046764.458227186</v>
      </c>
      <c r="CP78" s="83">
        <f t="shared" si="6"/>
        <v>-2046764.458227186</v>
      </c>
      <c r="CQ78" s="83">
        <f t="shared" si="6"/>
        <v>-2046764.458227186</v>
      </c>
      <c r="CR78" s="83">
        <f t="shared" si="6"/>
        <v>-2046764.458227186</v>
      </c>
      <c r="CS78" s="83">
        <f t="shared" si="6"/>
        <v>-2046764.458227186</v>
      </c>
      <c r="CT78" s="83">
        <f t="shared" si="6"/>
        <v>-2046764.458227186</v>
      </c>
      <c r="CU78" s="83">
        <f t="shared" si="6"/>
        <v>-2046764.458227186</v>
      </c>
    </row>
    <row r="80" spans="1:99" s="5" customFormat="1" x14ac:dyDescent="0.2">
      <c r="A80" s="42"/>
      <c r="B80" s="12"/>
      <c r="C80" s="68"/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</row>
    <row r="81" spans="1:99" s="89" customFormat="1" x14ac:dyDescent="0.2">
      <c r="A81" s="85" t="s">
        <v>65</v>
      </c>
      <c r="B81" s="86"/>
      <c r="C81" s="87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88"/>
      <c r="CO81" s="88"/>
      <c r="CP81" s="88"/>
      <c r="CQ81" s="88"/>
      <c r="CR81" s="88"/>
      <c r="CS81" s="88"/>
      <c r="CT81" s="88"/>
      <c r="CU81" s="88"/>
    </row>
    <row r="82" spans="1:99" s="5" customFormat="1" ht="22.5" x14ac:dyDescent="0.2">
      <c r="A82" s="36" t="s">
        <v>67</v>
      </c>
      <c r="B82" s="27" t="s">
        <v>68</v>
      </c>
      <c r="C82" s="68">
        <v>3221210.79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</row>
    <row r="83" spans="1:99" s="5" customFormat="1" x14ac:dyDescent="0.2">
      <c r="A83" s="36" t="s">
        <v>69</v>
      </c>
      <c r="B83" s="27" t="s">
        <v>70</v>
      </c>
      <c r="C83" s="68">
        <v>9814338.4000000004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</row>
    <row r="84" spans="1:99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</row>
    <row r="85" spans="1:99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</row>
    <row r="87" spans="1:99" x14ac:dyDescent="0.25">
      <c r="B87" s="14"/>
    </row>
  </sheetData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87"/>
  <sheetViews>
    <sheetView topLeftCell="A14" workbookViewId="0">
      <selection activeCell="AA31" sqref="AA31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2" width="10.85546875" style="3" bestFit="1" customWidth="1"/>
    <col min="13" max="13" width="11.7109375" style="3" bestFit="1" customWidth="1"/>
    <col min="14" max="27" width="10.85546875" style="3" bestFit="1" customWidth="1"/>
    <col min="28" max="28" width="14" style="3" customWidth="1"/>
    <col min="29" max="29" width="12.85546875" style="3" customWidth="1"/>
    <col min="30" max="30" width="14.28515625" style="3" customWidth="1"/>
    <col min="31" max="31" width="12" style="3" customWidth="1"/>
    <col min="32" max="32" width="11" style="3" customWidth="1"/>
    <col min="33" max="33" width="11.85546875" style="3" customWidth="1"/>
    <col min="34" max="34" width="12.42578125" style="3" customWidth="1"/>
    <col min="35" max="35" width="14.85546875" style="3" customWidth="1"/>
    <col min="36" max="36" width="13" style="3" customWidth="1"/>
    <col min="37" max="37" width="12.7109375" style="3" customWidth="1"/>
    <col min="38" max="38" width="11.85546875" style="3" customWidth="1"/>
    <col min="39" max="39" width="11.140625" style="3" customWidth="1"/>
    <col min="40" max="40" width="11.7109375" style="3" customWidth="1"/>
    <col min="41" max="41" width="12.5703125" style="3" customWidth="1"/>
    <col min="42" max="42" width="15.7109375" style="3" customWidth="1"/>
    <col min="43" max="43" width="12.7109375" style="3" customWidth="1"/>
    <col min="44" max="45" width="12.85546875" style="3" customWidth="1"/>
    <col min="46" max="47" width="11.85546875" style="3" customWidth="1"/>
    <col min="48" max="48" width="10.28515625" style="3" bestFit="1" customWidth="1"/>
    <col min="49" max="58" width="9" style="3"/>
    <col min="59" max="59" width="12" style="3" customWidth="1"/>
    <col min="60" max="60" width="11.140625" style="3" customWidth="1"/>
    <col min="61" max="61" width="10.28515625" style="3" customWidth="1"/>
    <col min="62" max="62" width="11.42578125" style="3" customWidth="1"/>
    <col min="63" max="67" width="9" style="3"/>
    <col min="68" max="68" width="10.28515625" style="3" bestFit="1" customWidth="1"/>
    <col min="69" max="72" width="9" style="3"/>
    <col min="73" max="73" width="12.42578125" style="3" customWidth="1"/>
    <col min="74" max="16384" width="9" style="3"/>
  </cols>
  <sheetData>
    <row r="1" spans="1:100" ht="12" thickBot="1" x14ac:dyDescent="0.3"/>
    <row r="2" spans="1:100" s="1" customFormat="1" x14ac:dyDescent="0.2">
      <c r="A2" s="43" t="s">
        <v>50</v>
      </c>
      <c r="B2" s="15" t="s">
        <v>27</v>
      </c>
      <c r="C2" s="50">
        <v>1620748.17</v>
      </c>
    </row>
    <row r="3" spans="1:100" s="1" customFormat="1" ht="12" thickBot="1" x14ac:dyDescent="0.25">
      <c r="A3" s="44">
        <v>88.346299999999999</v>
      </c>
      <c r="B3" s="15" t="s">
        <v>28</v>
      </c>
      <c r="C3" s="50">
        <v>10778.95</v>
      </c>
    </row>
    <row r="4" spans="1:100" s="8" customFormat="1" ht="12" thickBot="1" x14ac:dyDescent="0.25">
      <c r="A4" s="45"/>
      <c r="B4" s="15" t="s">
        <v>25</v>
      </c>
      <c r="C4" s="51">
        <v>0</v>
      </c>
    </row>
    <row r="5" spans="1:100" s="6" customFormat="1" x14ac:dyDescent="0.2">
      <c r="A5" s="43" t="s">
        <v>51</v>
      </c>
      <c r="B5" s="49" t="s">
        <v>26</v>
      </c>
      <c r="C5" s="52">
        <f>SUM(C2:C4)</f>
        <v>1631527.1199999999</v>
      </c>
    </row>
    <row r="6" spans="1:100" s="6" customFormat="1" ht="12" thickBot="1" x14ac:dyDescent="0.25">
      <c r="A6" s="44">
        <v>75.344800000000006</v>
      </c>
      <c r="B6" s="16"/>
      <c r="C6" s="53"/>
      <c r="D6" s="17"/>
    </row>
    <row r="7" spans="1:100" s="6" customFormat="1" ht="12" thickBot="1" x14ac:dyDescent="0.25">
      <c r="A7" s="105" t="s">
        <v>51</v>
      </c>
      <c r="B7" s="18" t="s">
        <v>127</v>
      </c>
      <c r="C7" s="54">
        <f>SUM(E16:AD16)</f>
        <v>15001631.9812</v>
      </c>
    </row>
    <row r="8" spans="1:100" x14ac:dyDescent="0.25">
      <c r="A8" s="43" t="s">
        <v>52</v>
      </c>
      <c r="B8" s="18" t="s">
        <v>126</v>
      </c>
      <c r="C8" s="54">
        <f>SUM(E25:AD26)</f>
        <v>25583076.816613853</v>
      </c>
    </row>
    <row r="9" spans="1:100" ht="12" thickBot="1" x14ac:dyDescent="0.3">
      <c r="A9" s="44">
        <v>10.024699999999999</v>
      </c>
      <c r="B9" s="19" t="s">
        <v>64</v>
      </c>
      <c r="C9" s="55">
        <f>C5+C7-C8-C11</f>
        <v>-18764551.645533852</v>
      </c>
    </row>
    <row r="10" spans="1:100" x14ac:dyDescent="0.25">
      <c r="A10" s="99" t="s">
        <v>80</v>
      </c>
      <c r="B10" s="18" t="s">
        <v>23</v>
      </c>
      <c r="C10" s="56">
        <f>C16</f>
        <v>0</v>
      </c>
    </row>
    <row r="11" spans="1:100" x14ac:dyDescent="0.25">
      <c r="A11" s="101" t="s">
        <v>87</v>
      </c>
      <c r="B11" s="18" t="s">
        <v>24</v>
      </c>
      <c r="C11" s="54">
        <f>C26</f>
        <v>9814633.9301199988</v>
      </c>
    </row>
    <row r="12" spans="1:100" x14ac:dyDescent="0.25">
      <c r="A12" s="107" t="s">
        <v>88</v>
      </c>
    </row>
    <row r="13" spans="1:100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100" s="2" customFormat="1" x14ac:dyDescent="0.25">
      <c r="A14" s="64"/>
      <c r="B14" s="65"/>
      <c r="C14" s="58" t="s">
        <v>56</v>
      </c>
      <c r="D14" s="66"/>
      <c r="E14" s="66">
        <v>46148</v>
      </c>
      <c r="F14" s="66">
        <v>46149</v>
      </c>
      <c r="G14" s="66">
        <v>46150</v>
      </c>
      <c r="H14" s="66">
        <v>46151</v>
      </c>
      <c r="I14" s="66">
        <v>46152</v>
      </c>
      <c r="J14" s="66">
        <v>46153</v>
      </c>
      <c r="K14" s="66">
        <v>46154</v>
      </c>
      <c r="L14" s="66">
        <v>46155</v>
      </c>
      <c r="M14" s="66">
        <v>46156</v>
      </c>
      <c r="N14" s="66">
        <v>46157</v>
      </c>
      <c r="O14" s="66">
        <v>46158</v>
      </c>
      <c r="P14" s="66">
        <v>46159</v>
      </c>
      <c r="Q14" s="66">
        <v>46160</v>
      </c>
      <c r="R14" s="66">
        <v>46161</v>
      </c>
      <c r="S14" s="66">
        <v>46162</v>
      </c>
      <c r="T14" s="66">
        <v>46163</v>
      </c>
      <c r="U14" s="66">
        <v>46164</v>
      </c>
      <c r="V14" s="66">
        <v>46165</v>
      </c>
      <c r="W14" s="66">
        <v>46166</v>
      </c>
      <c r="X14" s="66">
        <v>46167</v>
      </c>
      <c r="Y14" s="66">
        <v>46168</v>
      </c>
      <c r="Z14" s="66">
        <v>46169</v>
      </c>
      <c r="AA14" s="66">
        <v>46170</v>
      </c>
      <c r="AB14" s="66">
        <v>46171</v>
      </c>
      <c r="AC14" s="66">
        <v>46172</v>
      </c>
      <c r="AD14" s="66">
        <v>46173</v>
      </c>
      <c r="AE14" s="66">
        <v>46174</v>
      </c>
      <c r="AF14" s="66">
        <v>46175</v>
      </c>
      <c r="AG14" s="66">
        <v>46176</v>
      </c>
      <c r="AH14" s="66">
        <v>46177</v>
      </c>
      <c r="AI14" s="66">
        <v>46178</v>
      </c>
      <c r="AJ14" s="66">
        <v>46179</v>
      </c>
      <c r="AK14" s="66">
        <v>46180</v>
      </c>
      <c r="AL14" s="66">
        <v>46181</v>
      </c>
      <c r="AM14" s="66">
        <v>46182</v>
      </c>
      <c r="AN14" s="66">
        <v>46183</v>
      </c>
      <c r="AO14" s="66">
        <v>46184</v>
      </c>
      <c r="AP14" s="66">
        <v>46185</v>
      </c>
      <c r="AQ14" s="66">
        <v>46186</v>
      </c>
      <c r="AR14" s="66">
        <v>46187</v>
      </c>
      <c r="AS14" s="66">
        <v>46188</v>
      </c>
      <c r="AT14" s="66">
        <v>46189</v>
      </c>
      <c r="AU14" s="66">
        <v>46190</v>
      </c>
      <c r="AV14" s="66">
        <v>46191</v>
      </c>
      <c r="AW14" s="66">
        <v>46192</v>
      </c>
      <c r="AX14" s="66">
        <v>46193</v>
      </c>
      <c r="AY14" s="66">
        <v>46194</v>
      </c>
      <c r="AZ14" s="66">
        <v>46195</v>
      </c>
      <c r="BA14" s="66">
        <v>46196</v>
      </c>
      <c r="BB14" s="66">
        <v>46197</v>
      </c>
      <c r="BC14" s="66">
        <v>46198</v>
      </c>
      <c r="BD14" s="66">
        <v>46199</v>
      </c>
      <c r="BE14" s="66">
        <v>46200</v>
      </c>
      <c r="BF14" s="66">
        <v>46201</v>
      </c>
      <c r="BG14" s="66">
        <v>46202</v>
      </c>
      <c r="BH14" s="66">
        <v>46203</v>
      </c>
      <c r="BI14" s="66">
        <v>46204</v>
      </c>
      <c r="BJ14" s="66">
        <v>46205</v>
      </c>
      <c r="BK14" s="66">
        <v>46206</v>
      </c>
      <c r="BL14" s="66">
        <v>46207</v>
      </c>
      <c r="BM14" s="66">
        <v>46208</v>
      </c>
      <c r="BN14" s="66">
        <v>46209</v>
      </c>
      <c r="BO14" s="66">
        <v>46210</v>
      </c>
      <c r="BP14" s="66">
        <v>46211</v>
      </c>
      <c r="BQ14" s="66">
        <v>46212</v>
      </c>
      <c r="BR14" s="66">
        <v>46213</v>
      </c>
      <c r="BS14" s="66">
        <v>46214</v>
      </c>
      <c r="BT14" s="66">
        <v>46215</v>
      </c>
      <c r="BU14" s="66">
        <v>46216</v>
      </c>
      <c r="BV14" s="66">
        <v>46217</v>
      </c>
      <c r="BW14" s="66">
        <v>46218</v>
      </c>
      <c r="BX14" s="66">
        <v>46219</v>
      </c>
      <c r="BY14" s="66">
        <v>46220</v>
      </c>
      <c r="BZ14" s="66">
        <v>46221</v>
      </c>
      <c r="CA14" s="66">
        <v>46222</v>
      </c>
      <c r="CB14" s="66">
        <v>46223</v>
      </c>
      <c r="CC14" s="66">
        <v>46224</v>
      </c>
      <c r="CD14" s="66">
        <v>46225</v>
      </c>
      <c r="CE14" s="66">
        <v>46226</v>
      </c>
      <c r="CF14" s="66">
        <v>46227</v>
      </c>
      <c r="CG14" s="66">
        <v>46228</v>
      </c>
      <c r="CH14" s="66">
        <v>46229</v>
      </c>
      <c r="CI14" s="66">
        <v>46230</v>
      </c>
      <c r="CJ14" s="66">
        <v>46231</v>
      </c>
      <c r="CK14" s="66">
        <v>46232</v>
      </c>
      <c r="CL14" s="66">
        <v>46233</v>
      </c>
      <c r="CM14" s="66">
        <v>46234</v>
      </c>
      <c r="CN14" s="66">
        <v>46235</v>
      </c>
      <c r="CO14" s="66">
        <v>46236</v>
      </c>
      <c r="CP14" s="66">
        <v>46237</v>
      </c>
      <c r="CQ14" s="66">
        <v>46238</v>
      </c>
      <c r="CR14" s="66">
        <v>46239</v>
      </c>
      <c r="CS14" s="66">
        <v>46240</v>
      </c>
      <c r="CT14" s="66">
        <v>46241</v>
      </c>
      <c r="CU14" s="66">
        <v>46242</v>
      </c>
      <c r="CV14" s="66">
        <v>46243</v>
      </c>
    </row>
    <row r="15" spans="1:100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</row>
    <row r="16" spans="1:100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H16" si="0">SUM(E17:E25)</f>
        <v>0</v>
      </c>
      <c r="F16" s="29">
        <f t="shared" si="0"/>
        <v>0</v>
      </c>
      <c r="G16" s="29">
        <f t="shared" si="0"/>
        <v>7037500</v>
      </c>
      <c r="H16" s="135">
        <f t="shared" si="0"/>
        <v>0</v>
      </c>
      <c r="I16" s="135">
        <f>SUM(I17:I25)</f>
        <v>0</v>
      </c>
      <c r="J16" s="135">
        <f t="shared" ref="J16:BU16" si="1">SUM(J17:J25)</f>
        <v>0</v>
      </c>
      <c r="K16" s="29">
        <f t="shared" si="1"/>
        <v>0</v>
      </c>
      <c r="L16" s="29">
        <f t="shared" si="1"/>
        <v>0</v>
      </c>
      <c r="M16" s="29">
        <f t="shared" si="1"/>
        <v>7882500</v>
      </c>
      <c r="N16" s="29">
        <f t="shared" si="1"/>
        <v>0</v>
      </c>
      <c r="O16" s="135">
        <f t="shared" si="1"/>
        <v>0</v>
      </c>
      <c r="P16" s="135">
        <f t="shared" si="1"/>
        <v>0</v>
      </c>
      <c r="Q16" s="29">
        <f t="shared" si="1"/>
        <v>0</v>
      </c>
      <c r="R16" s="29">
        <f t="shared" si="1"/>
        <v>0</v>
      </c>
      <c r="S16" s="29">
        <f t="shared" si="1"/>
        <v>0</v>
      </c>
      <c r="T16" s="29">
        <f t="shared" si="1"/>
        <v>0</v>
      </c>
      <c r="U16" s="29">
        <f t="shared" si="1"/>
        <v>0</v>
      </c>
      <c r="V16" s="135">
        <f t="shared" si="1"/>
        <v>0</v>
      </c>
      <c r="W16" s="135">
        <f t="shared" si="1"/>
        <v>0</v>
      </c>
      <c r="X16" s="29">
        <f t="shared" si="1"/>
        <v>0</v>
      </c>
      <c r="Y16" s="29">
        <f t="shared" si="1"/>
        <v>0</v>
      </c>
      <c r="Z16" s="29">
        <f t="shared" si="1"/>
        <v>0</v>
      </c>
      <c r="AA16" s="29">
        <f t="shared" si="1"/>
        <v>81631.981199999995</v>
      </c>
      <c r="AB16" s="29">
        <f t="shared" si="1"/>
        <v>0</v>
      </c>
      <c r="AC16" s="135">
        <f t="shared" si="1"/>
        <v>0</v>
      </c>
      <c r="AD16" s="135">
        <f t="shared" si="1"/>
        <v>0</v>
      </c>
      <c r="AE16" s="29">
        <f t="shared" si="1"/>
        <v>0</v>
      </c>
      <c r="AF16" s="29">
        <f t="shared" si="1"/>
        <v>0</v>
      </c>
      <c r="AG16" s="29">
        <f t="shared" si="1"/>
        <v>0</v>
      </c>
      <c r="AH16" s="29">
        <f t="shared" si="1"/>
        <v>0</v>
      </c>
      <c r="AI16" s="29">
        <f t="shared" si="1"/>
        <v>0</v>
      </c>
      <c r="AJ16" s="135">
        <f t="shared" si="1"/>
        <v>0</v>
      </c>
      <c r="AK16" s="135">
        <f t="shared" si="1"/>
        <v>0</v>
      </c>
      <c r="AL16" s="29">
        <f t="shared" si="1"/>
        <v>3092120.5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135">
        <f t="shared" si="1"/>
        <v>0</v>
      </c>
      <c r="AR16" s="135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8488665.8892000001</v>
      </c>
      <c r="AW16" s="29">
        <f t="shared" si="1"/>
        <v>0</v>
      </c>
      <c r="AX16" s="135">
        <f t="shared" si="1"/>
        <v>0</v>
      </c>
      <c r="AY16" s="135">
        <f t="shared" si="1"/>
        <v>0</v>
      </c>
      <c r="AZ16" s="29">
        <f t="shared" si="1"/>
        <v>0</v>
      </c>
      <c r="BA16" s="29">
        <f t="shared" si="1"/>
        <v>0</v>
      </c>
      <c r="BB16" s="29">
        <f t="shared" si="1"/>
        <v>0</v>
      </c>
      <c r="BC16" s="29">
        <f t="shared" si="1"/>
        <v>0</v>
      </c>
      <c r="BD16" s="29">
        <f t="shared" si="1"/>
        <v>0</v>
      </c>
      <c r="BE16" s="135">
        <f t="shared" si="1"/>
        <v>0</v>
      </c>
      <c r="BF16" s="135">
        <f t="shared" si="1"/>
        <v>0</v>
      </c>
      <c r="BG16" s="29">
        <f t="shared" si="1"/>
        <v>3145128.28</v>
      </c>
      <c r="BH16" s="29">
        <f t="shared" si="1"/>
        <v>0</v>
      </c>
      <c r="BI16" s="29">
        <f t="shared" si="1"/>
        <v>0</v>
      </c>
      <c r="BJ16" s="29">
        <f t="shared" si="1"/>
        <v>0</v>
      </c>
      <c r="BK16" s="29">
        <f t="shared" si="1"/>
        <v>0</v>
      </c>
      <c r="BL16" s="135">
        <f t="shared" si="1"/>
        <v>0</v>
      </c>
      <c r="BM16" s="135">
        <f t="shared" si="1"/>
        <v>0</v>
      </c>
      <c r="BN16" s="29">
        <f t="shared" si="1"/>
        <v>0</v>
      </c>
      <c r="BO16" s="29">
        <f t="shared" si="1"/>
        <v>0</v>
      </c>
      <c r="BP16" s="29">
        <f t="shared" si="1"/>
        <v>3145128.28</v>
      </c>
      <c r="BQ16" s="29">
        <f t="shared" si="1"/>
        <v>0</v>
      </c>
      <c r="BR16" s="29">
        <f t="shared" si="1"/>
        <v>0</v>
      </c>
      <c r="BS16" s="135">
        <f t="shared" si="1"/>
        <v>0</v>
      </c>
      <c r="BT16" s="135">
        <f t="shared" si="1"/>
        <v>0</v>
      </c>
      <c r="BU16" s="29">
        <f t="shared" si="1"/>
        <v>0</v>
      </c>
      <c r="BV16" s="29">
        <f t="shared" ref="BV16:CV16" si="2">SUM(BV17:BV25)</f>
        <v>0</v>
      </c>
      <c r="BW16" s="29">
        <f t="shared" si="2"/>
        <v>0</v>
      </c>
      <c r="BX16" s="29">
        <f t="shared" si="2"/>
        <v>0</v>
      </c>
      <c r="BY16" s="29">
        <f t="shared" si="2"/>
        <v>0</v>
      </c>
      <c r="BZ16" s="29">
        <f t="shared" si="2"/>
        <v>0</v>
      </c>
      <c r="CA16" s="29">
        <f t="shared" si="2"/>
        <v>0</v>
      </c>
      <c r="CB16" s="29">
        <f t="shared" si="2"/>
        <v>0</v>
      </c>
      <c r="CC16" s="29">
        <f t="shared" si="2"/>
        <v>0</v>
      </c>
      <c r="CD16" s="29">
        <f t="shared" si="2"/>
        <v>0</v>
      </c>
      <c r="CE16" s="29">
        <f t="shared" si="2"/>
        <v>0</v>
      </c>
      <c r="CF16" s="29">
        <f t="shared" si="2"/>
        <v>0</v>
      </c>
      <c r="CG16" s="29">
        <f t="shared" si="2"/>
        <v>0</v>
      </c>
      <c r="CH16" s="29">
        <f t="shared" si="2"/>
        <v>0</v>
      </c>
      <c r="CI16" s="29">
        <f t="shared" si="2"/>
        <v>0</v>
      </c>
      <c r="CJ16" s="29">
        <f t="shared" si="2"/>
        <v>0</v>
      </c>
      <c r="CK16" s="29">
        <f t="shared" si="2"/>
        <v>0</v>
      </c>
      <c r="CL16" s="29">
        <f t="shared" si="2"/>
        <v>0</v>
      </c>
      <c r="CM16" s="29">
        <f t="shared" si="2"/>
        <v>0</v>
      </c>
      <c r="CN16" s="29">
        <f t="shared" si="2"/>
        <v>0</v>
      </c>
      <c r="CO16" s="29">
        <f t="shared" si="2"/>
        <v>0</v>
      </c>
      <c r="CP16" s="29">
        <f t="shared" si="2"/>
        <v>0</v>
      </c>
      <c r="CQ16" s="29">
        <f t="shared" si="2"/>
        <v>0</v>
      </c>
      <c r="CR16" s="29">
        <f t="shared" si="2"/>
        <v>0</v>
      </c>
      <c r="CS16" s="29">
        <f t="shared" si="2"/>
        <v>0</v>
      </c>
      <c r="CT16" s="29">
        <f t="shared" si="2"/>
        <v>0</v>
      </c>
      <c r="CU16" s="29">
        <f t="shared" si="2"/>
        <v>0</v>
      </c>
      <c r="CV16" s="29">
        <f t="shared" si="2"/>
        <v>0</v>
      </c>
    </row>
    <row r="17" spans="1:100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1"/>
      <c r="CP17" s="141"/>
      <c r="CQ17" s="141"/>
      <c r="CR17" s="141"/>
      <c r="CS17" s="141"/>
      <c r="CT17" s="141"/>
      <c r="CU17" s="141"/>
      <c r="CV17" s="141"/>
    </row>
    <row r="18" spans="1:100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</row>
    <row r="19" spans="1:100" s="80" customForma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</row>
    <row r="20" spans="1:100" s="80" customFormat="1" x14ac:dyDescent="0.25">
      <c r="A20" s="40" t="s">
        <v>12</v>
      </c>
      <c r="B20" s="21"/>
      <c r="C20" s="32"/>
      <c r="D20" s="30"/>
      <c r="E20" s="30"/>
      <c r="F20" s="30"/>
      <c r="G20" s="30">
        <v>7037500</v>
      </c>
      <c r="H20" s="30"/>
      <c r="I20" s="30"/>
      <c r="J20" s="30"/>
      <c r="K20" s="30"/>
      <c r="L20" s="30"/>
      <c r="M20" s="30">
        <v>7882500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</row>
    <row r="21" spans="1:100" s="80" customForma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>
        <f>924*A3</f>
        <v>81631.981199999995</v>
      </c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</row>
    <row r="22" spans="1:100" s="80" customForma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</row>
    <row r="23" spans="1:100" s="80" customForma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>
        <f>96084*A3</f>
        <v>8488665.8892000001</v>
      </c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</row>
    <row r="24" spans="1:100" s="80" customForma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>
        <f>35000*A3</f>
        <v>3092120.5</v>
      </c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>
        <f>35600*A3</f>
        <v>3145128.28</v>
      </c>
      <c r="BH24" s="30"/>
      <c r="BI24" s="30"/>
      <c r="BJ24" s="30"/>
      <c r="BK24" s="30"/>
      <c r="BL24" s="30"/>
      <c r="BM24" s="30"/>
      <c r="BN24" s="30"/>
      <c r="BO24" s="30"/>
      <c r="BP24" s="30">
        <f>35600*A3</f>
        <v>3145128.28</v>
      </c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</row>
    <row r="25" spans="1:100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</row>
    <row r="26" spans="1:100" s="4" customFormat="1" x14ac:dyDescent="0.2">
      <c r="A26" s="41" t="s">
        <v>1</v>
      </c>
      <c r="B26" s="22"/>
      <c r="C26" s="34">
        <f>SUM(C28:C76)</f>
        <v>9814633.9301199988</v>
      </c>
      <c r="D26" s="34"/>
      <c r="E26" s="34">
        <f t="shared" ref="E26:AH26" si="3">SUM(E27:E77)</f>
        <v>164096.88</v>
      </c>
      <c r="F26" s="34">
        <f t="shared" si="3"/>
        <v>682282.29600000009</v>
      </c>
      <c r="G26" s="34">
        <f t="shared" si="3"/>
        <v>3720156.5319480519</v>
      </c>
      <c r="H26" s="34">
        <f t="shared" si="3"/>
        <v>0</v>
      </c>
      <c r="I26" s="34">
        <f t="shared" si="3"/>
        <v>0</v>
      </c>
      <c r="J26" s="34">
        <f t="shared" si="3"/>
        <v>0</v>
      </c>
      <c r="K26" s="34">
        <f t="shared" si="3"/>
        <v>829009.59600000002</v>
      </c>
      <c r="L26" s="34">
        <f t="shared" si="3"/>
        <v>1798258.46</v>
      </c>
      <c r="M26" s="34">
        <f t="shared" si="3"/>
        <v>2966950.0837922078</v>
      </c>
      <c r="N26" s="34">
        <f t="shared" si="3"/>
        <v>4680416.5852623377</v>
      </c>
      <c r="O26" s="34">
        <f t="shared" si="3"/>
        <v>0</v>
      </c>
      <c r="P26" s="34">
        <f t="shared" si="3"/>
        <v>0</v>
      </c>
      <c r="Q26" s="34">
        <f t="shared" si="3"/>
        <v>3311964.302077922</v>
      </c>
      <c r="R26" s="34">
        <f t="shared" si="3"/>
        <v>453298.38</v>
      </c>
      <c r="S26" s="34">
        <f t="shared" si="3"/>
        <v>224012.88</v>
      </c>
      <c r="T26" s="34">
        <f t="shared" si="3"/>
        <v>183270</v>
      </c>
      <c r="U26" s="34">
        <f t="shared" si="3"/>
        <v>1030349.4882</v>
      </c>
      <c r="V26" s="34">
        <f t="shared" si="3"/>
        <v>0</v>
      </c>
      <c r="W26" s="34">
        <f t="shared" si="3"/>
        <v>0</v>
      </c>
      <c r="X26" s="34">
        <f t="shared" si="3"/>
        <v>22000</v>
      </c>
      <c r="Y26" s="34">
        <f t="shared" si="3"/>
        <v>0</v>
      </c>
      <c r="Z26" s="34">
        <f t="shared" si="3"/>
        <v>0</v>
      </c>
      <c r="AA26" s="34">
        <f t="shared" si="3"/>
        <v>4257281.333333334</v>
      </c>
      <c r="AB26" s="34">
        <f t="shared" si="3"/>
        <v>1247230</v>
      </c>
      <c r="AC26" s="34">
        <f t="shared" si="3"/>
        <v>12500</v>
      </c>
      <c r="AD26" s="34">
        <f t="shared" si="3"/>
        <v>0</v>
      </c>
      <c r="AE26" s="34">
        <f t="shared" si="3"/>
        <v>260128.95199999999</v>
      </c>
      <c r="AF26" s="34">
        <f t="shared" si="3"/>
        <v>0</v>
      </c>
      <c r="AG26" s="34">
        <f t="shared" si="3"/>
        <v>3647700</v>
      </c>
      <c r="AH26" s="34">
        <f t="shared" si="3"/>
        <v>516230</v>
      </c>
      <c r="AI26" s="34">
        <f t="shared" ref="AI26:CT26" si="4">SUM(AI27:AI77)</f>
        <v>1729742.6505999998</v>
      </c>
      <c r="AJ26" s="34">
        <f t="shared" si="4"/>
        <v>0</v>
      </c>
      <c r="AK26" s="34">
        <f t="shared" si="4"/>
        <v>0</v>
      </c>
      <c r="AL26" s="34">
        <f t="shared" si="4"/>
        <v>390000</v>
      </c>
      <c r="AM26" s="34">
        <f t="shared" si="4"/>
        <v>0</v>
      </c>
      <c r="AN26" s="34">
        <f t="shared" si="4"/>
        <v>0</v>
      </c>
      <c r="AO26" s="34">
        <f t="shared" si="4"/>
        <v>0</v>
      </c>
      <c r="AP26" s="34">
        <f t="shared" si="4"/>
        <v>271506</v>
      </c>
      <c r="AQ26" s="34">
        <f t="shared" si="4"/>
        <v>0</v>
      </c>
      <c r="AR26" s="34">
        <f t="shared" si="4"/>
        <v>0</v>
      </c>
      <c r="AS26" s="34">
        <f t="shared" si="4"/>
        <v>0</v>
      </c>
      <c r="AT26" s="34">
        <f t="shared" si="4"/>
        <v>0</v>
      </c>
      <c r="AU26" s="34">
        <f t="shared" si="4"/>
        <v>0</v>
      </c>
      <c r="AV26" s="34">
        <f t="shared" si="4"/>
        <v>0</v>
      </c>
      <c r="AW26" s="34">
        <f t="shared" si="4"/>
        <v>0</v>
      </c>
      <c r="AX26" s="34">
        <f t="shared" si="4"/>
        <v>0</v>
      </c>
      <c r="AY26" s="34">
        <f t="shared" si="4"/>
        <v>0</v>
      </c>
      <c r="AZ26" s="34">
        <f t="shared" si="4"/>
        <v>0</v>
      </c>
      <c r="BA26" s="34">
        <f t="shared" si="4"/>
        <v>0</v>
      </c>
      <c r="BB26" s="34">
        <f t="shared" si="4"/>
        <v>0</v>
      </c>
      <c r="BC26" s="34">
        <f t="shared" si="4"/>
        <v>0</v>
      </c>
      <c r="BD26" s="34">
        <f t="shared" si="4"/>
        <v>0</v>
      </c>
      <c r="BE26" s="34">
        <f t="shared" si="4"/>
        <v>0</v>
      </c>
      <c r="BF26" s="34">
        <f t="shared" si="4"/>
        <v>0</v>
      </c>
      <c r="BG26" s="34">
        <f t="shared" si="4"/>
        <v>3228281.3333333335</v>
      </c>
      <c r="BH26" s="34">
        <f t="shared" si="4"/>
        <v>0</v>
      </c>
      <c r="BI26" s="34">
        <f t="shared" si="4"/>
        <v>0</v>
      </c>
      <c r="BJ26" s="34">
        <f t="shared" si="4"/>
        <v>746062.9</v>
      </c>
      <c r="BK26" s="34">
        <f t="shared" si="4"/>
        <v>0</v>
      </c>
      <c r="BL26" s="34">
        <f t="shared" si="4"/>
        <v>0</v>
      </c>
      <c r="BM26" s="34">
        <f t="shared" si="4"/>
        <v>0</v>
      </c>
      <c r="BN26" s="34">
        <f t="shared" si="4"/>
        <v>0</v>
      </c>
      <c r="BO26" s="34">
        <f t="shared" si="4"/>
        <v>0</v>
      </c>
      <c r="BP26" s="34">
        <f t="shared" si="4"/>
        <v>0</v>
      </c>
      <c r="BQ26" s="34">
        <f t="shared" si="4"/>
        <v>0</v>
      </c>
      <c r="BR26" s="34">
        <f t="shared" si="4"/>
        <v>0</v>
      </c>
      <c r="BS26" s="34">
        <f t="shared" si="4"/>
        <v>0</v>
      </c>
      <c r="BT26" s="34">
        <f t="shared" si="4"/>
        <v>0</v>
      </c>
      <c r="BU26" s="34">
        <f t="shared" si="4"/>
        <v>271506</v>
      </c>
      <c r="BV26" s="34">
        <f t="shared" si="4"/>
        <v>0</v>
      </c>
      <c r="BW26" s="34">
        <f t="shared" si="4"/>
        <v>0</v>
      </c>
      <c r="BX26" s="34">
        <f t="shared" si="4"/>
        <v>0</v>
      </c>
      <c r="BY26" s="34">
        <f t="shared" si="4"/>
        <v>0</v>
      </c>
      <c r="BZ26" s="34">
        <f t="shared" si="4"/>
        <v>0</v>
      </c>
      <c r="CA26" s="34">
        <f t="shared" si="4"/>
        <v>0</v>
      </c>
      <c r="CB26" s="34">
        <f t="shared" si="4"/>
        <v>0</v>
      </c>
      <c r="CC26" s="34">
        <f t="shared" si="4"/>
        <v>0</v>
      </c>
      <c r="CD26" s="34">
        <f t="shared" si="4"/>
        <v>0</v>
      </c>
      <c r="CE26" s="34">
        <f t="shared" si="4"/>
        <v>0</v>
      </c>
      <c r="CF26" s="34">
        <f t="shared" si="4"/>
        <v>0</v>
      </c>
      <c r="CG26" s="34">
        <f t="shared" si="4"/>
        <v>0</v>
      </c>
      <c r="CH26" s="34">
        <f t="shared" si="4"/>
        <v>0</v>
      </c>
      <c r="CI26" s="34">
        <f t="shared" si="4"/>
        <v>0</v>
      </c>
      <c r="CJ26" s="34">
        <f t="shared" si="4"/>
        <v>0</v>
      </c>
      <c r="CK26" s="34">
        <f t="shared" si="4"/>
        <v>0</v>
      </c>
      <c r="CL26" s="34">
        <f t="shared" si="4"/>
        <v>0</v>
      </c>
      <c r="CM26" s="34">
        <f t="shared" si="4"/>
        <v>0</v>
      </c>
      <c r="CN26" s="34">
        <f t="shared" si="4"/>
        <v>0</v>
      </c>
      <c r="CO26" s="34">
        <f t="shared" si="4"/>
        <v>0</v>
      </c>
      <c r="CP26" s="34">
        <f t="shared" si="4"/>
        <v>0</v>
      </c>
      <c r="CQ26" s="34">
        <f t="shared" si="4"/>
        <v>0</v>
      </c>
      <c r="CR26" s="34">
        <f t="shared" si="4"/>
        <v>0</v>
      </c>
      <c r="CS26" s="34">
        <f t="shared" si="4"/>
        <v>0</v>
      </c>
      <c r="CT26" s="34">
        <f t="shared" si="4"/>
        <v>0</v>
      </c>
      <c r="CU26" s="34">
        <f t="shared" ref="CU26:CV26" si="5">SUM(CU27:CU77)</f>
        <v>0</v>
      </c>
      <c r="CV26" s="34">
        <f t="shared" si="5"/>
        <v>0</v>
      </c>
    </row>
    <row r="27" spans="1:100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</row>
    <row r="28" spans="1:100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</row>
    <row r="29" spans="1:100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</row>
    <row r="30" spans="1:100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>
        <f>8399365/3</f>
        <v>2799788.3333333335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>
        <f>8399365/3</f>
        <v>2799788.3333333335</v>
      </c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</row>
    <row r="31" spans="1:100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90">
        <f>291375+137118</f>
        <v>428493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90">
        <f>291375+137118</f>
        <v>428493</v>
      </c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</row>
    <row r="32" spans="1:100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>
        <v>360000</v>
      </c>
      <c r="H32" s="24"/>
      <c r="J32" s="24"/>
      <c r="K32" s="24"/>
      <c r="L32" s="24"/>
      <c r="M32" s="24"/>
      <c r="N32" s="24">
        <f>200000</f>
        <v>200000</v>
      </c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</row>
    <row r="33" spans="1:100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>
        <v>271506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>
        <v>271506</v>
      </c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>
        <v>271506</v>
      </c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</row>
    <row r="34" spans="1:100" s="1" customFormat="1" x14ac:dyDescent="0.2">
      <c r="A34" s="36" t="s">
        <v>54</v>
      </c>
      <c r="B34" s="23"/>
      <c r="C34" s="60"/>
      <c r="D34" s="24"/>
      <c r="F34" s="24"/>
      <c r="G34" s="24"/>
      <c r="H34" s="24"/>
      <c r="I34" s="24"/>
      <c r="J34" s="24"/>
      <c r="K34" s="24">
        <v>100000</v>
      </c>
      <c r="L34" s="24">
        <v>100113.9</v>
      </c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</row>
    <row r="35" spans="1:100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>
        <v>200113.9</v>
      </c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>
        <v>200113.9</v>
      </c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</row>
    <row r="36" spans="1:100" s="1" customFormat="1" x14ac:dyDescent="0.2">
      <c r="A36" s="36" t="s">
        <v>53</v>
      </c>
      <c r="B36" s="23"/>
      <c r="C36" s="60"/>
      <c r="D36" s="24"/>
      <c r="E36" s="24"/>
      <c r="F36" s="24"/>
      <c r="H36" s="24"/>
      <c r="I36" s="24"/>
      <c r="J36" s="24"/>
      <c r="K36" s="24">
        <v>100000</v>
      </c>
      <c r="L36" s="24">
        <v>100000</v>
      </c>
      <c r="M36" s="24">
        <v>100000</v>
      </c>
      <c r="N36" s="24">
        <v>100000</v>
      </c>
      <c r="O36" s="24"/>
      <c r="P36" s="24"/>
      <c r="Q36" s="24">
        <v>145949</v>
      </c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>
        <v>545949</v>
      </c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>
        <v>545949</v>
      </c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</row>
    <row r="37" spans="1:100" s="1" customForma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</row>
    <row r="38" spans="1:100" s="71" customFormat="1" x14ac:dyDescent="0.2">
      <c r="A38" s="69" t="s">
        <v>14</v>
      </c>
      <c r="B38" s="25" t="s">
        <v>30</v>
      </c>
      <c r="C38" s="70"/>
      <c r="D38" s="24"/>
      <c r="F38" s="24"/>
      <c r="G38" s="24"/>
      <c r="H38" s="24"/>
      <c r="I38" s="24"/>
      <c r="J38" s="24"/>
      <c r="K38" s="24"/>
      <c r="L38" s="100">
        <v>341779</v>
      </c>
      <c r="M38" s="24"/>
      <c r="N38" s="24"/>
      <c r="O38" s="24"/>
      <c r="P38" s="24"/>
      <c r="Q38" s="24"/>
      <c r="R38" s="100">
        <v>191379</v>
      </c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</row>
    <row r="39" spans="1:100" s="71" customFormat="1" x14ac:dyDescent="0.2">
      <c r="A39" s="69" t="s">
        <v>115</v>
      </c>
      <c r="B39" s="25" t="s">
        <v>116</v>
      </c>
      <c r="C39" s="70"/>
      <c r="D39" s="24"/>
      <c r="E39" s="24"/>
      <c r="F39" s="100">
        <v>156160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</row>
    <row r="40" spans="1:100" s="71" customFormat="1" x14ac:dyDescent="0.2">
      <c r="A40" s="69" t="s">
        <v>117</v>
      </c>
      <c r="B40" s="25" t="s">
        <v>119</v>
      </c>
      <c r="C40" s="70"/>
      <c r="D40" s="24"/>
      <c r="E40" s="24"/>
      <c r="F40" s="28"/>
      <c r="G40" s="24"/>
      <c r="H40" s="24"/>
      <c r="I40" s="24"/>
      <c r="J40" s="24"/>
      <c r="K40" s="24"/>
      <c r="L40" s="24"/>
      <c r="M40" s="24"/>
      <c r="N40" s="28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100">
        <v>691000</v>
      </c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</row>
    <row r="41" spans="1:100" s="71" customFormat="1" x14ac:dyDescent="0.2">
      <c r="A41" s="69" t="s">
        <v>97</v>
      </c>
      <c r="B41" s="25" t="s">
        <v>137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100">
        <v>235200</v>
      </c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</row>
    <row r="42" spans="1:100" s="71" customFormat="1" x14ac:dyDescent="0.2">
      <c r="A42" s="69" t="s">
        <v>17</v>
      </c>
      <c r="B42" s="25" t="s">
        <v>41</v>
      </c>
      <c r="C42" s="70">
        <f>1375000-500000-175000-50000-25000</f>
        <v>625000</v>
      </c>
      <c r="D42" s="24"/>
      <c r="E42" s="100">
        <v>25000</v>
      </c>
      <c r="G42" s="142">
        <f>45000+50000-25000+100000</f>
        <v>170000</v>
      </c>
      <c r="H42" s="24"/>
      <c r="I42" s="24"/>
      <c r="J42" s="24"/>
      <c r="L42" s="129">
        <v>50000</v>
      </c>
      <c r="M42" s="129">
        <v>100000</v>
      </c>
      <c r="N42" s="129">
        <v>110000</v>
      </c>
      <c r="O42" s="24"/>
      <c r="P42" s="24"/>
      <c r="Q42" s="129">
        <v>170000</v>
      </c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</row>
    <row r="43" spans="1:100" s="71" customFormat="1" x14ac:dyDescent="0.2">
      <c r="A43" s="69" t="s">
        <v>15</v>
      </c>
      <c r="B43" s="25" t="s">
        <v>31</v>
      </c>
      <c r="C43" s="70">
        <f>1205448-25000</f>
        <v>1180448</v>
      </c>
      <c r="D43" s="24"/>
      <c r="E43" s="100">
        <v>25000</v>
      </c>
      <c r="F43" s="108">
        <f>25000+100000</f>
        <v>125000</v>
      </c>
      <c r="G43" s="108">
        <f>45000+65224</f>
        <v>110224</v>
      </c>
      <c r="H43" s="24"/>
      <c r="I43" s="24"/>
      <c r="K43" s="108">
        <v>65224</v>
      </c>
      <c r="L43" s="108">
        <v>90224</v>
      </c>
      <c r="N43" s="140">
        <v>195080</v>
      </c>
      <c r="O43" s="24"/>
      <c r="P43" s="24"/>
      <c r="Q43" s="98">
        <f>515224/4</f>
        <v>128806</v>
      </c>
      <c r="R43" s="98">
        <f>515224/4</f>
        <v>128806</v>
      </c>
      <c r="S43" s="98">
        <f>515224/4</f>
        <v>128806</v>
      </c>
      <c r="T43" s="98">
        <f>515224/4+54464</f>
        <v>183270</v>
      </c>
      <c r="U43" s="24"/>
      <c r="V43" s="24"/>
      <c r="W43" s="24"/>
      <c r="X43" s="24"/>
      <c r="Y43" s="24"/>
      <c r="Z43" s="24"/>
      <c r="AA43" s="24"/>
      <c r="AB43" s="100">
        <v>516230</v>
      </c>
      <c r="AC43" s="24"/>
      <c r="AD43" s="24"/>
      <c r="AE43" s="24"/>
      <c r="AF43" s="24"/>
      <c r="AG43" s="24"/>
      <c r="AH43" s="100">
        <v>516230</v>
      </c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</row>
    <row r="44" spans="1:100" s="71" customFormat="1" x14ac:dyDescent="0.2">
      <c r="A44" s="69" t="s">
        <v>16</v>
      </c>
      <c r="B44" s="25" t="s">
        <v>32</v>
      </c>
      <c r="C44" s="70">
        <v>1122350</v>
      </c>
      <c r="D44" s="24"/>
      <c r="E44" s="100">
        <v>25000</v>
      </c>
      <c r="F44" s="108">
        <f>499410/4+20000</f>
        <v>144852.5</v>
      </c>
      <c r="G44" s="108">
        <f>45000+124852.5</f>
        <v>169852.5</v>
      </c>
      <c r="H44" s="24"/>
      <c r="I44" s="24"/>
      <c r="J44" s="24"/>
      <c r="K44" s="108">
        <v>99852</v>
      </c>
      <c r="L44" s="108">
        <v>194764</v>
      </c>
      <c r="M44" s="108">
        <f>85388+64882+50000</f>
        <v>200270</v>
      </c>
      <c r="N44" s="108">
        <v>100000</v>
      </c>
      <c r="O44" s="24"/>
      <c r="P44" s="24"/>
      <c r="Q44" s="108">
        <v>99852.5</v>
      </c>
      <c r="R44" s="108">
        <f>82906+5000.5</f>
        <v>87906.5</v>
      </c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</row>
    <row r="45" spans="1:100" s="71" customFormat="1" x14ac:dyDescent="0.2">
      <c r="A45" s="69" t="s">
        <v>85</v>
      </c>
      <c r="B45" s="25" t="s">
        <v>47</v>
      </c>
      <c r="C45" s="70">
        <f>2380*A6</f>
        <v>179320.62400000001</v>
      </c>
      <c r="D45" s="24"/>
      <c r="E45" s="100">
        <f>200*$A$6</f>
        <v>15068.960000000001</v>
      </c>
      <c r="F45" s="108">
        <f>645*$A$6</f>
        <v>48597.396000000001</v>
      </c>
      <c r="H45" s="24"/>
      <c r="I45" s="24"/>
      <c r="J45" s="24"/>
      <c r="K45" s="108">
        <f>645*$A$6</f>
        <v>48597.396000000001</v>
      </c>
      <c r="L45" s="108">
        <f>450*$A$6</f>
        <v>33905.160000000003</v>
      </c>
      <c r="M45" s="108">
        <f>445*$A$6</f>
        <v>33528.436000000002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</row>
    <row r="46" spans="1:100" s="71" customFormat="1" x14ac:dyDescent="0.2">
      <c r="A46" s="69" t="s">
        <v>120</v>
      </c>
      <c r="B46" s="25" t="s">
        <v>121</v>
      </c>
      <c r="C46" s="76"/>
      <c r="D46" s="24"/>
      <c r="E46" s="24"/>
      <c r="F46" s="24"/>
      <c r="G46" s="28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100">
        <v>507000</v>
      </c>
      <c r="V46" s="24"/>
      <c r="W46" s="24"/>
      <c r="X46" s="24"/>
      <c r="Y46" s="24"/>
      <c r="Z46" s="24"/>
      <c r="AA46" s="100">
        <v>1014000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</row>
    <row r="47" spans="1:100" s="73" customFormat="1" x14ac:dyDescent="0.2">
      <c r="A47" s="69" t="s">
        <v>22</v>
      </c>
      <c r="B47" s="25" t="s">
        <v>48</v>
      </c>
      <c r="C47" s="137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138">
        <f>52206*A9</f>
        <v>523349.48819999996</v>
      </c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138">
        <f>52206*A9+2988*A6</f>
        <v>748479.75059999991</v>
      </c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  <c r="CV47" s="72"/>
    </row>
    <row r="48" spans="1:100" s="73" customFormat="1" x14ac:dyDescent="0.2">
      <c r="A48" s="69" t="s">
        <v>108</v>
      </c>
      <c r="B48" s="25" t="s">
        <v>109</v>
      </c>
      <c r="C48" s="120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</row>
    <row r="49" spans="1:100" s="71" customFormat="1" x14ac:dyDescent="0.2">
      <c r="A49" s="69" t="s">
        <v>36</v>
      </c>
      <c r="B49" s="25" t="s">
        <v>37</v>
      </c>
      <c r="C49" s="130"/>
      <c r="D49" s="24"/>
      <c r="E49" s="24"/>
      <c r="F49" s="24"/>
      <c r="H49" s="24"/>
      <c r="I49" s="24"/>
      <c r="J49" s="24"/>
      <c r="K49" s="24"/>
      <c r="L49" s="24"/>
      <c r="M49" s="24"/>
      <c r="N49" s="100">
        <f>2662*A6</f>
        <v>200567.85760000002</v>
      </c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</row>
    <row r="50" spans="1:100" s="71" customFormat="1" x14ac:dyDescent="0.2">
      <c r="A50" s="69" t="s">
        <v>86</v>
      </c>
      <c r="B50" s="25" t="s">
        <v>35</v>
      </c>
      <c r="C50" s="70">
        <f>1900*A6+4050*A6</f>
        <v>448301.56000000006</v>
      </c>
      <c r="D50" s="77"/>
      <c r="E50" s="100">
        <f>200*$A$6</f>
        <v>15068.960000000001</v>
      </c>
      <c r="F50" s="108">
        <f>500*$A$6</f>
        <v>37672.400000000001</v>
      </c>
      <c r="G50" s="108">
        <f>900*$A$6+525*A6</f>
        <v>107366.34000000001</v>
      </c>
      <c r="H50" s="24"/>
      <c r="I50" s="24"/>
      <c r="J50" s="24"/>
      <c r="K50" s="108">
        <f>250*$A$6</f>
        <v>18836.2</v>
      </c>
      <c r="L50" s="108">
        <f>500*$A$6</f>
        <v>37672.400000000001</v>
      </c>
      <c r="M50" s="108">
        <f>500*$A$6</f>
        <v>37672.400000000001</v>
      </c>
      <c r="N50" s="108">
        <f>850*$A$6</f>
        <v>64043.080000000009</v>
      </c>
      <c r="O50" s="24"/>
      <c r="P50" s="24"/>
      <c r="Q50" s="108">
        <f>600*$A$6</f>
        <v>45206.880000000005</v>
      </c>
      <c r="R50" s="108">
        <f>600*$A$6</f>
        <v>45206.880000000005</v>
      </c>
      <c r="S50" s="108">
        <f>600*$A$6</f>
        <v>45206.880000000005</v>
      </c>
      <c r="T50" s="28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100">
        <f>490*A6</f>
        <v>36918.952000000005</v>
      </c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</row>
    <row r="51" spans="1:100" s="71" customFormat="1" x14ac:dyDescent="0.2">
      <c r="A51" s="69" t="s">
        <v>29</v>
      </c>
      <c r="B51" s="25" t="s">
        <v>42</v>
      </c>
      <c r="C51" s="70">
        <v>20000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</row>
    <row r="52" spans="1:100" s="71" customFormat="1" x14ac:dyDescent="0.2">
      <c r="A52" s="69" t="s">
        <v>29</v>
      </c>
      <c r="B52" s="25" t="s">
        <v>43</v>
      </c>
      <c r="C52" s="70">
        <v>439750</v>
      </c>
      <c r="D52" s="24"/>
      <c r="E52" s="28"/>
      <c r="F52" s="95">
        <v>50000</v>
      </c>
      <c r="G52" s="95">
        <v>25000</v>
      </c>
      <c r="H52" s="24"/>
      <c r="I52" s="24"/>
      <c r="J52" s="24"/>
      <c r="K52" s="95">
        <v>50000</v>
      </c>
      <c r="L52" s="95">
        <v>50000</v>
      </c>
      <c r="M52" s="95">
        <v>50000</v>
      </c>
      <c r="N52" s="95">
        <f>50000+14750</f>
        <v>64750</v>
      </c>
      <c r="O52" s="24"/>
      <c r="P52" s="24"/>
      <c r="Q52" s="95">
        <v>100000</v>
      </c>
      <c r="R52" s="24"/>
      <c r="S52" s="95">
        <v>50000</v>
      </c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</row>
    <row r="53" spans="1:100" s="71" customFormat="1" x14ac:dyDescent="0.2">
      <c r="A53" s="69" t="s">
        <v>29</v>
      </c>
      <c r="B53" s="25" t="s">
        <v>55</v>
      </c>
      <c r="C53" s="70">
        <f>1000*A6</f>
        <v>75344.800000000003</v>
      </c>
      <c r="D53" s="24"/>
      <c r="E53" s="100">
        <f>200*A6</f>
        <v>15068.960000000001</v>
      </c>
      <c r="F53" s="24"/>
      <c r="G53" s="95">
        <f>50*$A$6+500*A6</f>
        <v>41439.64</v>
      </c>
      <c r="H53" s="24"/>
      <c r="I53" s="24"/>
      <c r="J53" s="24"/>
      <c r="K53" s="24"/>
      <c r="L53" s="24"/>
      <c r="M53" s="24"/>
      <c r="N53" s="95">
        <f>250*$A$6</f>
        <v>18836.2</v>
      </c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</row>
    <row r="54" spans="1:100" s="71" customFormat="1" x14ac:dyDescent="0.2">
      <c r="A54" s="69" t="s">
        <v>140</v>
      </c>
      <c r="B54" s="25" t="s">
        <v>133</v>
      </c>
      <c r="C54" s="70"/>
      <c r="D54" s="24"/>
      <c r="E54" s="24"/>
      <c r="F54" s="24"/>
      <c r="G54" s="100">
        <v>40900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</row>
    <row r="55" spans="1:100" s="71" customFormat="1" x14ac:dyDescent="0.2">
      <c r="A55" s="69" t="s">
        <v>124</v>
      </c>
      <c r="B55" s="25" t="s">
        <v>125</v>
      </c>
      <c r="C55" s="70"/>
      <c r="D55" s="24"/>
      <c r="E55" s="28"/>
      <c r="F55" s="28"/>
      <c r="G55" s="28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100">
        <v>203210</v>
      </c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</row>
    <row r="56" spans="1:100" s="71" customFormat="1" x14ac:dyDescent="0.2">
      <c r="A56" s="69" t="s">
        <v>40</v>
      </c>
      <c r="B56" s="25" t="s">
        <v>44</v>
      </c>
      <c r="C56" s="70"/>
      <c r="D56" s="24"/>
      <c r="E56" s="100">
        <v>2090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</row>
    <row r="57" spans="1:100" s="71" customFormat="1" x14ac:dyDescent="0.2">
      <c r="A57" s="69" t="s">
        <v>90</v>
      </c>
      <c r="B57" s="25" t="s">
        <v>91</v>
      </c>
      <c r="C57" s="70">
        <v>1012000</v>
      </c>
      <c r="D57" s="77"/>
      <c r="E57" s="28"/>
      <c r="F57" s="28"/>
      <c r="G57" s="100">
        <v>1012000</v>
      </c>
      <c r="H57" s="28"/>
      <c r="I57" s="28"/>
      <c r="J57" s="28"/>
      <c r="K57" s="28"/>
      <c r="L57" s="28"/>
      <c r="M57" s="28"/>
      <c r="N57" s="100">
        <v>1012000</v>
      </c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</row>
    <row r="58" spans="1:100" s="71" customFormat="1" x14ac:dyDescent="0.2">
      <c r="A58" s="69" t="s">
        <v>138</v>
      </c>
      <c r="B58" s="25" t="s">
        <v>136</v>
      </c>
      <c r="C58" s="70"/>
      <c r="D58" s="77"/>
      <c r="E58" s="28"/>
      <c r="F58" s="28"/>
      <c r="G58" s="28"/>
      <c r="H58" s="28"/>
      <c r="I58" s="28"/>
      <c r="J58" s="28"/>
      <c r="K58" s="28"/>
      <c r="L58" s="28"/>
      <c r="M58" s="100">
        <f>3550*A6</f>
        <v>267474.04000000004</v>
      </c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</row>
    <row r="59" spans="1:100" s="71" customFormat="1" x14ac:dyDescent="0.2">
      <c r="A59" s="69" t="s">
        <v>102</v>
      </c>
      <c r="B59" s="25" t="s">
        <v>103</v>
      </c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</row>
    <row r="60" spans="1:100" s="71" customFormat="1" x14ac:dyDescent="0.2">
      <c r="A60" s="151" t="s">
        <v>139</v>
      </c>
      <c r="B60" s="152" t="s">
        <v>114</v>
      </c>
      <c r="C60" s="70"/>
      <c r="D60" s="77"/>
      <c r="E60" s="24"/>
      <c r="F60" s="28"/>
      <c r="G60" s="28"/>
      <c r="H60" s="28"/>
      <c r="I60" s="28"/>
      <c r="J60" s="28"/>
      <c r="K60" s="100">
        <v>346500</v>
      </c>
      <c r="L60" s="100">
        <v>693000</v>
      </c>
      <c r="M60" s="28"/>
      <c r="N60" s="24"/>
      <c r="O60" s="24"/>
      <c r="P60" s="24"/>
      <c r="Q60" s="24"/>
      <c r="R60" s="28"/>
      <c r="S60" s="28"/>
      <c r="T60" s="28"/>
      <c r="U60" s="28"/>
      <c r="V60" s="28"/>
      <c r="W60" s="28"/>
      <c r="X60" s="28"/>
      <c r="Y60" s="28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</row>
    <row r="61" spans="1:100" s="71" customFormat="1" x14ac:dyDescent="0.2">
      <c r="A61" s="69" t="s">
        <v>34</v>
      </c>
      <c r="B61" s="25" t="s">
        <v>45</v>
      </c>
      <c r="C61" s="70">
        <f>1014000-100000-100000+400-50000-25000-25000</f>
        <v>714400</v>
      </c>
      <c r="D61" s="77"/>
      <c r="E61" s="100">
        <v>25000</v>
      </c>
      <c r="F61" s="28"/>
      <c r="G61" s="106">
        <v>75000</v>
      </c>
      <c r="H61" s="24"/>
      <c r="I61" s="24"/>
      <c r="J61" s="24"/>
      <c r="K61" s="24"/>
      <c r="L61" s="108">
        <v>75000</v>
      </c>
      <c r="M61" s="108">
        <v>400000</v>
      </c>
      <c r="N61" s="108">
        <v>53800</v>
      </c>
      <c r="O61" s="24"/>
      <c r="P61" s="24"/>
      <c r="Q61" s="108">
        <v>110600</v>
      </c>
      <c r="R61" s="24"/>
      <c r="S61" s="24"/>
      <c r="T61" s="24"/>
      <c r="U61" s="24"/>
      <c r="V61" s="24"/>
      <c r="W61" s="24"/>
      <c r="X61" s="24" t="s">
        <v>89</v>
      </c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</row>
    <row r="62" spans="1:100" s="71" customFormat="1" x14ac:dyDescent="0.2">
      <c r="A62" s="69" t="s">
        <v>128</v>
      </c>
      <c r="B62" s="25" t="s">
        <v>129</v>
      </c>
      <c r="C62" s="70"/>
      <c r="D62" s="77"/>
      <c r="E62" s="28"/>
      <c r="F62" s="28"/>
      <c r="G62" s="28"/>
      <c r="H62" s="28"/>
      <c r="I62" s="28"/>
      <c r="J62" s="28"/>
      <c r="K62" s="28"/>
      <c r="L62" s="28"/>
      <c r="M62" s="28"/>
      <c r="N62" s="100">
        <v>17798.11</v>
      </c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</row>
    <row r="63" spans="1:100" s="71" customFormat="1" x14ac:dyDescent="0.2">
      <c r="A63" s="69" t="s">
        <v>101</v>
      </c>
      <c r="B63" s="25" t="s">
        <v>130</v>
      </c>
      <c r="C63" s="70"/>
      <c r="D63" s="77"/>
      <c r="E63" s="24"/>
      <c r="F63" s="108">
        <v>120000</v>
      </c>
      <c r="G63" s="108">
        <v>25000</v>
      </c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</row>
    <row r="64" spans="1:100" s="71" customFormat="1" x14ac:dyDescent="0.2">
      <c r="A64" s="69" t="s">
        <v>134</v>
      </c>
      <c r="B64" s="25" t="s">
        <v>135</v>
      </c>
      <c r="C64" s="70"/>
      <c r="D64" s="77"/>
      <c r="E64" s="24"/>
      <c r="F64" s="28"/>
      <c r="G64" s="28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</row>
    <row r="65" spans="1:100" s="71" customFormat="1" x14ac:dyDescent="0.2">
      <c r="A65" s="69" t="s">
        <v>38</v>
      </c>
      <c r="B65" s="25" t="s">
        <v>39</v>
      </c>
      <c r="C65" s="70"/>
      <c r="D65" s="24"/>
      <c r="E65" s="100">
        <v>16800</v>
      </c>
      <c r="F65" s="28"/>
      <c r="G65" s="100">
        <v>34850</v>
      </c>
      <c r="H65" s="24"/>
      <c r="I65" s="24"/>
      <c r="J65" s="24"/>
      <c r="K65" s="24"/>
      <c r="L65" s="100">
        <f>15000+16800</f>
        <v>31800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</row>
    <row r="66" spans="1:100" s="71" customFormat="1" x14ac:dyDescent="0.2">
      <c r="A66" s="69" t="s">
        <v>74</v>
      </c>
      <c r="B66" s="25" t="s">
        <v>131</v>
      </c>
      <c r="C66" s="70"/>
      <c r="D66" s="24"/>
      <c r="E66" s="28"/>
      <c r="F66" s="28"/>
      <c r="G66" s="28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100">
        <v>22000</v>
      </c>
      <c r="Y66" s="24"/>
      <c r="Z66" s="24"/>
      <c r="AA66" s="100">
        <v>15000</v>
      </c>
      <c r="AB66" s="143">
        <v>40000</v>
      </c>
      <c r="AC66" s="100">
        <v>12500</v>
      </c>
      <c r="AD66" s="24"/>
      <c r="AE66" s="100">
        <v>20000</v>
      </c>
      <c r="AF66" s="24"/>
      <c r="AG66" s="100">
        <v>80000</v>
      </c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</row>
    <row r="67" spans="1:100" s="71" customFormat="1" x14ac:dyDescent="0.2">
      <c r="A67" s="69" t="s">
        <v>74</v>
      </c>
      <c r="B67" s="25" t="s">
        <v>83</v>
      </c>
      <c r="C67" s="70"/>
      <c r="D67" s="24"/>
      <c r="E67" s="24"/>
      <c r="F67" s="24"/>
      <c r="G67" s="98">
        <v>10250</v>
      </c>
      <c r="H67" s="24"/>
      <c r="I67" s="24"/>
      <c r="J67" s="24"/>
      <c r="K67" s="24"/>
      <c r="L67" s="24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4"/>
      <c r="AC67" s="24"/>
      <c r="AD67" s="24"/>
      <c r="AE67" s="24"/>
      <c r="AF67" s="24"/>
      <c r="AG67" s="114">
        <v>3567700</v>
      </c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</row>
    <row r="68" spans="1:100" s="73" customFormat="1" x14ac:dyDescent="0.2">
      <c r="A68" s="78"/>
      <c r="B68" s="79"/>
      <c r="C68" s="75"/>
      <c r="D68" s="72"/>
      <c r="E68" s="72" t="s">
        <v>89</v>
      </c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/>
      <c r="BR68" s="72"/>
      <c r="BS68" s="72"/>
      <c r="BT68" s="72"/>
      <c r="BU68" s="72"/>
      <c r="BV68" s="72"/>
      <c r="BW68" s="72"/>
      <c r="BX68" s="72"/>
      <c r="BY68" s="72"/>
      <c r="BZ68" s="72"/>
      <c r="CA68" s="72"/>
      <c r="CB68" s="72"/>
      <c r="CC68" s="72"/>
      <c r="CD68" s="72"/>
      <c r="CE68" s="72"/>
      <c r="CF68" s="72"/>
      <c r="CG68" s="72"/>
      <c r="CH68" s="72"/>
      <c r="CI68" s="72"/>
      <c r="CJ68" s="72"/>
      <c r="CK68" s="72"/>
      <c r="CL68" s="72"/>
      <c r="CM68" s="72"/>
      <c r="CN68" s="72"/>
      <c r="CO68" s="72"/>
      <c r="CP68" s="72"/>
      <c r="CQ68" s="72"/>
      <c r="CR68" s="72"/>
      <c r="CS68" s="72"/>
      <c r="CT68" s="72"/>
      <c r="CU68" s="72"/>
      <c r="CV68" s="72"/>
    </row>
    <row r="69" spans="1:100" s="94" customFormat="1" ht="33.75" x14ac:dyDescent="0.2">
      <c r="A69" s="91" t="s">
        <v>60</v>
      </c>
      <c r="B69" s="92" t="s">
        <v>58</v>
      </c>
      <c r="C69" s="93">
        <v>248639.70012000017</v>
      </c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3"/>
      <c r="BI69" s="93"/>
      <c r="BJ69" s="93"/>
      <c r="BK69" s="93"/>
      <c r="BL69" s="93"/>
      <c r="BM69" s="93"/>
      <c r="BN69" s="93"/>
      <c r="BO69" s="93"/>
      <c r="BP69" s="93"/>
      <c r="BQ69" s="93"/>
      <c r="BR69" s="93"/>
      <c r="BS69" s="93"/>
      <c r="BT69" s="93"/>
      <c r="BU69" s="93"/>
      <c r="BV69" s="93"/>
      <c r="BW69" s="93"/>
      <c r="BX69" s="93"/>
      <c r="BY69" s="93"/>
      <c r="BZ69" s="93"/>
      <c r="CA69" s="93"/>
      <c r="CB69" s="93"/>
      <c r="CC69" s="93"/>
      <c r="CD69" s="93"/>
      <c r="CE69" s="93"/>
      <c r="CF69" s="93"/>
      <c r="CG69" s="93"/>
      <c r="CH69" s="93"/>
      <c r="CI69" s="93"/>
      <c r="CJ69" s="93"/>
      <c r="CK69" s="93"/>
      <c r="CL69" s="93"/>
      <c r="CM69" s="93"/>
      <c r="CN69" s="93"/>
      <c r="CO69" s="93"/>
      <c r="CP69" s="93"/>
      <c r="CQ69" s="93"/>
      <c r="CR69" s="93"/>
      <c r="CS69" s="93"/>
      <c r="CT69" s="93"/>
      <c r="CU69" s="93"/>
      <c r="CV69" s="93"/>
    </row>
    <row r="70" spans="1:100" s="94" customFormat="1" ht="33.75" x14ac:dyDescent="0.2">
      <c r="A70" s="91" t="s">
        <v>60</v>
      </c>
      <c r="B70" s="92" t="s">
        <v>59</v>
      </c>
      <c r="C70" s="93">
        <v>0</v>
      </c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3"/>
      <c r="BK70" s="93"/>
      <c r="BL70" s="93"/>
      <c r="BM70" s="93"/>
      <c r="BN70" s="93"/>
      <c r="BO70" s="93"/>
      <c r="BP70" s="93"/>
      <c r="BQ70" s="93"/>
      <c r="BR70" s="93"/>
      <c r="BS70" s="93"/>
      <c r="BT70" s="93"/>
      <c r="BU70" s="93"/>
      <c r="BV70" s="93"/>
      <c r="BW70" s="93"/>
      <c r="BX70" s="93"/>
      <c r="BY70" s="93"/>
      <c r="BZ70" s="93"/>
      <c r="CA70" s="93"/>
      <c r="CB70" s="93"/>
      <c r="CC70" s="93"/>
      <c r="CD70" s="93"/>
      <c r="CE70" s="93"/>
      <c r="CF70" s="93"/>
      <c r="CG70" s="93"/>
      <c r="CH70" s="93"/>
      <c r="CI70" s="93"/>
      <c r="CJ70" s="93"/>
      <c r="CK70" s="93"/>
      <c r="CL70" s="93"/>
      <c r="CM70" s="93"/>
      <c r="CN70" s="93"/>
      <c r="CO70" s="93"/>
      <c r="CP70" s="93"/>
      <c r="CQ70" s="93"/>
      <c r="CR70" s="93"/>
      <c r="CS70" s="93"/>
      <c r="CT70" s="93"/>
      <c r="CU70" s="93"/>
      <c r="CV70" s="93"/>
    </row>
    <row r="71" spans="1:100" s="5" customFormat="1" x14ac:dyDescent="0.2">
      <c r="A71" s="42"/>
      <c r="B71" s="12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</row>
    <row r="72" spans="1:100" s="5" customFormat="1" x14ac:dyDescent="0.2">
      <c r="A72" s="36" t="s">
        <v>49</v>
      </c>
      <c r="B72" s="12"/>
      <c r="C72" s="13"/>
      <c r="D72" s="26"/>
      <c r="E72" s="13"/>
      <c r="G72" s="126">
        <f>1184471.02/0.77</f>
        <v>1538274.0519480519</v>
      </c>
      <c r="H72" s="13"/>
      <c r="I72" s="13"/>
      <c r="J72" s="13"/>
      <c r="K72" s="13"/>
      <c r="L72" s="13"/>
      <c r="M72" s="126">
        <f>(1369064.01)/0.77</f>
        <v>1778005.2077922078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</row>
    <row r="73" spans="1:100" s="5" customFormat="1" x14ac:dyDescent="0.2">
      <c r="A73" s="36" t="s">
        <v>57</v>
      </c>
      <c r="B73" s="12"/>
      <c r="C73" s="68"/>
      <c r="D73" s="26"/>
      <c r="E73" s="13"/>
      <c r="F73" s="13"/>
      <c r="G73" s="13"/>
      <c r="H73" s="13"/>
      <c r="I73" s="13"/>
      <c r="K73" s="13"/>
      <c r="L73" s="13"/>
      <c r="N73" s="139">
        <f>1749467.21/0.77</f>
        <v>2272035.3376623373</v>
      </c>
      <c r="O73" s="13"/>
      <c r="P73" s="13"/>
      <c r="Q73" s="139">
        <f>1933893.44/0.77</f>
        <v>2511549.9220779222</v>
      </c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</row>
    <row r="74" spans="1:100" s="5" customFormat="1" x14ac:dyDescent="0.2">
      <c r="A74" s="36" t="s">
        <v>61</v>
      </c>
      <c r="B74" s="12"/>
      <c r="C74" s="13">
        <v>112000</v>
      </c>
      <c r="D74" s="26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9">
        <v>390000</v>
      </c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</row>
    <row r="75" spans="1:100" s="5" customFormat="1" x14ac:dyDescent="0.2">
      <c r="A75" s="42"/>
      <c r="B75" s="12"/>
      <c r="C75" s="68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</row>
    <row r="76" spans="1:100" s="5" customFormat="1" x14ac:dyDescent="0.2">
      <c r="A76" s="36" t="s">
        <v>72</v>
      </c>
      <c r="B76" s="27" t="s">
        <v>73</v>
      </c>
      <c r="C76" s="62">
        <v>3637079.2460000003</v>
      </c>
      <c r="D76" s="35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</row>
    <row r="77" spans="1:100" s="5" customFormat="1" x14ac:dyDescent="0.2">
      <c r="A77" s="42"/>
      <c r="B77" s="12"/>
      <c r="C77" s="61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</row>
    <row r="78" spans="1:100" s="84" customFormat="1" x14ac:dyDescent="0.2">
      <c r="A78" s="81" t="s">
        <v>66</v>
      </c>
      <c r="B78" s="82"/>
      <c r="C78" s="63"/>
      <c r="D78" s="83"/>
      <c r="E78" s="83">
        <f>$C$5+E16-E26</f>
        <v>1467430.2399999998</v>
      </c>
      <c r="F78" s="83">
        <f t="shared" ref="F78:BP78" si="6">E78+F16-F26</f>
        <v>785147.94399999967</v>
      </c>
      <c r="G78" s="83">
        <f t="shared" si="6"/>
        <v>4102491.4120519483</v>
      </c>
      <c r="H78" s="83">
        <f t="shared" si="6"/>
        <v>4102491.4120519483</v>
      </c>
      <c r="I78" s="83">
        <f t="shared" si="6"/>
        <v>4102491.4120519483</v>
      </c>
      <c r="J78" s="83">
        <f t="shared" si="6"/>
        <v>4102491.4120519483</v>
      </c>
      <c r="K78" s="83">
        <f t="shared" si="6"/>
        <v>3273481.8160519483</v>
      </c>
      <c r="L78" s="83">
        <f t="shared" si="6"/>
        <v>1475223.3560519484</v>
      </c>
      <c r="M78" s="83">
        <f t="shared" si="6"/>
        <v>6390773.2722597402</v>
      </c>
      <c r="N78" s="83">
        <f t="shared" si="6"/>
        <v>1710356.6869974025</v>
      </c>
      <c r="O78" s="83">
        <f t="shared" si="6"/>
        <v>1710356.6869974025</v>
      </c>
      <c r="P78" s="83">
        <f t="shared" si="6"/>
        <v>1710356.6869974025</v>
      </c>
      <c r="Q78" s="83">
        <f t="shared" si="6"/>
        <v>-1601607.6150805196</v>
      </c>
      <c r="R78" s="83">
        <f t="shared" si="6"/>
        <v>-2054905.9950805195</v>
      </c>
      <c r="S78" s="83">
        <f t="shared" si="6"/>
        <v>-2278918.8750805194</v>
      </c>
      <c r="T78" s="83">
        <f t="shared" si="6"/>
        <v>-2462188.8750805194</v>
      </c>
      <c r="U78" s="83">
        <f t="shared" si="6"/>
        <v>-3492538.3632805194</v>
      </c>
      <c r="V78" s="83">
        <f t="shared" si="6"/>
        <v>-3492538.3632805194</v>
      </c>
      <c r="W78" s="83">
        <f t="shared" si="6"/>
        <v>-3492538.3632805194</v>
      </c>
      <c r="X78" s="83">
        <f t="shared" si="6"/>
        <v>-3514538.3632805194</v>
      </c>
      <c r="Y78" s="83">
        <f t="shared" si="6"/>
        <v>-3514538.3632805194</v>
      </c>
      <c r="Z78" s="83">
        <f t="shared" si="6"/>
        <v>-3514538.3632805194</v>
      </c>
      <c r="AA78" s="83">
        <f t="shared" si="6"/>
        <v>-7690187.7154138535</v>
      </c>
      <c r="AB78" s="83">
        <f t="shared" si="6"/>
        <v>-8937417.7154138535</v>
      </c>
      <c r="AC78" s="83">
        <f t="shared" si="6"/>
        <v>-8949917.7154138535</v>
      </c>
      <c r="AD78" s="83">
        <f t="shared" si="6"/>
        <v>-8949917.7154138535</v>
      </c>
      <c r="AE78" s="83">
        <f t="shared" si="6"/>
        <v>-9210046.6674138531</v>
      </c>
      <c r="AF78" s="83">
        <f t="shared" si="6"/>
        <v>-9210046.6674138531</v>
      </c>
      <c r="AG78" s="83">
        <f t="shared" si="6"/>
        <v>-12857746.667413853</v>
      </c>
      <c r="AH78" s="83">
        <f t="shared" si="6"/>
        <v>-13373976.667413853</v>
      </c>
      <c r="AI78" s="83">
        <f t="shared" si="6"/>
        <v>-15103719.318013852</v>
      </c>
      <c r="AJ78" s="83">
        <f t="shared" si="6"/>
        <v>-15103719.318013852</v>
      </c>
      <c r="AK78" s="83">
        <f t="shared" si="6"/>
        <v>-15103719.318013852</v>
      </c>
      <c r="AL78" s="83">
        <f t="shared" si="6"/>
        <v>-12401598.818013852</v>
      </c>
      <c r="AM78" s="83">
        <f t="shared" si="6"/>
        <v>-12401598.818013852</v>
      </c>
      <c r="AN78" s="83">
        <f t="shared" si="6"/>
        <v>-12401598.818013852</v>
      </c>
      <c r="AO78" s="83">
        <f t="shared" si="6"/>
        <v>-12401598.818013852</v>
      </c>
      <c r="AP78" s="83">
        <f t="shared" si="6"/>
        <v>-12673104.818013852</v>
      </c>
      <c r="AQ78" s="83">
        <f t="shared" si="6"/>
        <v>-12673104.818013852</v>
      </c>
      <c r="AR78" s="83">
        <f t="shared" si="6"/>
        <v>-12673104.818013852</v>
      </c>
      <c r="AS78" s="83">
        <f t="shared" si="6"/>
        <v>-12673104.818013852</v>
      </c>
      <c r="AT78" s="83">
        <f t="shared" si="6"/>
        <v>-12673104.818013852</v>
      </c>
      <c r="AU78" s="83">
        <f t="shared" si="6"/>
        <v>-12673104.818013852</v>
      </c>
      <c r="AV78" s="83">
        <f t="shared" si="6"/>
        <v>-4184438.9288138524</v>
      </c>
      <c r="AW78" s="83">
        <f t="shared" si="6"/>
        <v>-4184438.9288138524</v>
      </c>
      <c r="AX78" s="83">
        <f t="shared" si="6"/>
        <v>-4184438.9288138524</v>
      </c>
      <c r="AY78" s="83">
        <f t="shared" si="6"/>
        <v>-4184438.9288138524</v>
      </c>
      <c r="AZ78" s="83">
        <f t="shared" si="6"/>
        <v>-4184438.9288138524</v>
      </c>
      <c r="BA78" s="83">
        <f t="shared" si="6"/>
        <v>-4184438.9288138524</v>
      </c>
      <c r="BB78" s="83">
        <f t="shared" si="6"/>
        <v>-4184438.9288138524</v>
      </c>
      <c r="BC78" s="83">
        <f t="shared" si="6"/>
        <v>-4184438.9288138524</v>
      </c>
      <c r="BD78" s="83">
        <f t="shared" si="6"/>
        <v>-4184438.9288138524</v>
      </c>
      <c r="BE78" s="83">
        <f t="shared" si="6"/>
        <v>-4184438.9288138524</v>
      </c>
      <c r="BF78" s="83">
        <f t="shared" si="6"/>
        <v>-4184438.9288138524</v>
      </c>
      <c r="BG78" s="83">
        <f t="shared" si="6"/>
        <v>-4267591.9821471861</v>
      </c>
      <c r="BH78" s="83">
        <f t="shared" si="6"/>
        <v>-4267591.9821471861</v>
      </c>
      <c r="BI78" s="83">
        <f t="shared" si="6"/>
        <v>-4267591.9821471861</v>
      </c>
      <c r="BJ78" s="83">
        <f t="shared" si="6"/>
        <v>-5013654.8821471864</v>
      </c>
      <c r="BK78" s="83">
        <f t="shared" si="6"/>
        <v>-5013654.8821471864</v>
      </c>
      <c r="BL78" s="83">
        <f t="shared" si="6"/>
        <v>-5013654.8821471864</v>
      </c>
      <c r="BM78" s="83">
        <f t="shared" si="6"/>
        <v>-5013654.8821471864</v>
      </c>
      <c r="BN78" s="83">
        <f t="shared" si="6"/>
        <v>-5013654.8821471864</v>
      </c>
      <c r="BO78" s="83">
        <f t="shared" si="6"/>
        <v>-5013654.8821471864</v>
      </c>
      <c r="BP78" s="83">
        <f t="shared" si="6"/>
        <v>-1868526.6021471866</v>
      </c>
      <c r="BQ78" s="83">
        <f t="shared" ref="BQ78:CV78" si="7">BP78+BQ16-BQ26</f>
        <v>-1868526.6021471866</v>
      </c>
      <c r="BR78" s="83">
        <f t="shared" si="7"/>
        <v>-1868526.6021471866</v>
      </c>
      <c r="BS78" s="83">
        <f t="shared" si="7"/>
        <v>-1868526.6021471866</v>
      </c>
      <c r="BT78" s="83">
        <f t="shared" si="7"/>
        <v>-1868526.6021471866</v>
      </c>
      <c r="BU78" s="83">
        <f t="shared" si="7"/>
        <v>-2140032.6021471866</v>
      </c>
      <c r="BV78" s="83">
        <f t="shared" si="7"/>
        <v>-2140032.6021471866</v>
      </c>
      <c r="BW78" s="83">
        <f t="shared" si="7"/>
        <v>-2140032.6021471866</v>
      </c>
      <c r="BX78" s="83">
        <f t="shared" si="7"/>
        <v>-2140032.6021471866</v>
      </c>
      <c r="BY78" s="83">
        <f t="shared" si="7"/>
        <v>-2140032.6021471866</v>
      </c>
      <c r="BZ78" s="83">
        <f t="shared" si="7"/>
        <v>-2140032.6021471866</v>
      </c>
      <c r="CA78" s="83">
        <f t="shared" si="7"/>
        <v>-2140032.6021471866</v>
      </c>
      <c r="CB78" s="83">
        <f t="shared" si="7"/>
        <v>-2140032.6021471866</v>
      </c>
      <c r="CC78" s="83">
        <f t="shared" si="7"/>
        <v>-2140032.6021471866</v>
      </c>
      <c r="CD78" s="83">
        <f t="shared" si="7"/>
        <v>-2140032.6021471866</v>
      </c>
      <c r="CE78" s="83">
        <f t="shared" si="7"/>
        <v>-2140032.6021471866</v>
      </c>
      <c r="CF78" s="83">
        <f t="shared" si="7"/>
        <v>-2140032.6021471866</v>
      </c>
      <c r="CG78" s="83">
        <f t="shared" si="7"/>
        <v>-2140032.6021471866</v>
      </c>
      <c r="CH78" s="83">
        <f t="shared" si="7"/>
        <v>-2140032.6021471866</v>
      </c>
      <c r="CI78" s="83">
        <f t="shared" si="7"/>
        <v>-2140032.6021471866</v>
      </c>
      <c r="CJ78" s="83">
        <f t="shared" si="7"/>
        <v>-2140032.6021471866</v>
      </c>
      <c r="CK78" s="83">
        <f t="shared" si="7"/>
        <v>-2140032.6021471866</v>
      </c>
      <c r="CL78" s="83">
        <f t="shared" si="7"/>
        <v>-2140032.6021471866</v>
      </c>
      <c r="CM78" s="83">
        <f t="shared" si="7"/>
        <v>-2140032.6021471866</v>
      </c>
      <c r="CN78" s="83">
        <f t="shared" si="7"/>
        <v>-2140032.6021471866</v>
      </c>
      <c r="CO78" s="83">
        <f t="shared" si="7"/>
        <v>-2140032.6021471866</v>
      </c>
      <c r="CP78" s="83">
        <f t="shared" si="7"/>
        <v>-2140032.6021471866</v>
      </c>
      <c r="CQ78" s="83">
        <f t="shared" si="7"/>
        <v>-2140032.6021471866</v>
      </c>
      <c r="CR78" s="83">
        <f t="shared" si="7"/>
        <v>-2140032.6021471866</v>
      </c>
      <c r="CS78" s="83">
        <f t="shared" si="7"/>
        <v>-2140032.6021471866</v>
      </c>
      <c r="CT78" s="83">
        <f t="shared" si="7"/>
        <v>-2140032.6021471866</v>
      </c>
      <c r="CU78" s="83">
        <f t="shared" si="7"/>
        <v>-2140032.6021471866</v>
      </c>
      <c r="CV78" s="83">
        <f t="shared" si="7"/>
        <v>-2140032.6021471866</v>
      </c>
    </row>
    <row r="80" spans="1:100" s="5" customFormat="1" x14ac:dyDescent="0.2">
      <c r="A80" s="42"/>
      <c r="B80" s="12"/>
      <c r="C80" s="68"/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</row>
    <row r="81" spans="1:100" s="89" customFormat="1" x14ac:dyDescent="0.2">
      <c r="A81" s="85" t="s">
        <v>65</v>
      </c>
      <c r="B81" s="86"/>
      <c r="C81" s="87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88"/>
      <c r="CO81" s="88"/>
      <c r="CP81" s="88"/>
      <c r="CQ81" s="88"/>
      <c r="CR81" s="88"/>
      <c r="CS81" s="88"/>
      <c r="CT81" s="88"/>
      <c r="CU81" s="88"/>
      <c r="CV81" s="88"/>
    </row>
    <row r="82" spans="1:100" s="5" customFormat="1" ht="22.5" x14ac:dyDescent="0.2">
      <c r="A82" s="36" t="s">
        <v>67</v>
      </c>
      <c r="B82" s="27" t="s">
        <v>68</v>
      </c>
      <c r="C82" s="68">
        <v>3221210.79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</row>
    <row r="83" spans="1:100" s="5" customFormat="1" x14ac:dyDescent="0.2">
      <c r="A83" s="36" t="s">
        <v>69</v>
      </c>
      <c r="B83" s="27" t="s">
        <v>70</v>
      </c>
      <c r="C83" s="68">
        <v>9814338.4000000004</v>
      </c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</row>
    <row r="84" spans="1:100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</row>
    <row r="85" spans="1:100" s="5" customFormat="1" x14ac:dyDescent="0.2">
      <c r="A85" s="36"/>
      <c r="B85" s="27"/>
      <c r="C85" s="68"/>
      <c r="D85" s="26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</row>
    <row r="87" spans="1:100" x14ac:dyDescent="0.25">
      <c r="B87" s="14"/>
    </row>
  </sheetData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W86"/>
  <sheetViews>
    <sheetView workbookViewId="0">
      <selection activeCell="B35" sqref="B35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3" width="10.85546875" style="3" bestFit="1" customWidth="1"/>
    <col min="14" max="14" width="11.7109375" style="3" bestFit="1" customWidth="1"/>
    <col min="15" max="28" width="10.85546875" style="3" bestFit="1" customWidth="1"/>
    <col min="29" max="29" width="14" style="3" customWidth="1"/>
    <col min="30" max="30" width="12.85546875" style="3" customWidth="1"/>
    <col min="31" max="31" width="14.28515625" style="3" customWidth="1"/>
    <col min="32" max="32" width="12" style="3" customWidth="1"/>
    <col min="33" max="33" width="11" style="3" customWidth="1"/>
    <col min="34" max="34" width="11.85546875" style="3" customWidth="1"/>
    <col min="35" max="35" width="12.42578125" style="3" customWidth="1"/>
    <col min="36" max="36" width="14.85546875" style="3" customWidth="1"/>
    <col min="37" max="37" width="13" style="3" customWidth="1"/>
    <col min="38" max="38" width="12.7109375" style="3" customWidth="1"/>
    <col min="39" max="39" width="11.85546875" style="3" customWidth="1"/>
    <col min="40" max="40" width="11.140625" style="3" customWidth="1"/>
    <col min="41" max="41" width="11.7109375" style="3" customWidth="1"/>
    <col min="42" max="42" width="12.5703125" style="3" customWidth="1"/>
    <col min="43" max="43" width="15.7109375" style="3" customWidth="1"/>
    <col min="44" max="44" width="12.7109375" style="3" customWidth="1"/>
    <col min="45" max="46" width="12.85546875" style="3" customWidth="1"/>
    <col min="47" max="48" width="11.85546875" style="3" customWidth="1"/>
    <col min="49" max="49" width="10.28515625" style="3" bestFit="1" customWidth="1"/>
    <col min="50" max="59" width="9" style="3"/>
    <col min="60" max="60" width="12" style="3" customWidth="1"/>
    <col min="61" max="61" width="11.140625" style="3" customWidth="1"/>
    <col min="62" max="62" width="10.28515625" style="3" customWidth="1"/>
    <col min="63" max="63" width="11.42578125" style="3" customWidth="1"/>
    <col min="64" max="73" width="9" style="3"/>
    <col min="74" max="74" width="12.42578125" style="3" customWidth="1"/>
    <col min="75" max="16384" width="9" style="3"/>
  </cols>
  <sheetData>
    <row r="1" spans="1:101" ht="12" thickBot="1" x14ac:dyDescent="0.3"/>
    <row r="2" spans="1:101" s="1" customFormat="1" x14ac:dyDescent="0.2">
      <c r="A2" s="43" t="s">
        <v>50</v>
      </c>
      <c r="B2" s="15" t="s">
        <v>27</v>
      </c>
      <c r="C2" s="50">
        <v>1584819.86</v>
      </c>
    </row>
    <row r="3" spans="1:101" s="1" customFormat="1" ht="12" thickBot="1" x14ac:dyDescent="0.25">
      <c r="A3" s="44">
        <v>88.642899999999997</v>
      </c>
      <c r="B3" s="15" t="s">
        <v>28</v>
      </c>
      <c r="C3" s="50">
        <v>10778.95</v>
      </c>
    </row>
    <row r="4" spans="1:101" s="8" customFormat="1" ht="12" thickBot="1" x14ac:dyDescent="0.25">
      <c r="A4" s="45"/>
      <c r="B4" s="15" t="s">
        <v>25</v>
      </c>
      <c r="C4" s="51">
        <v>0</v>
      </c>
    </row>
    <row r="5" spans="1:101" s="6" customFormat="1" x14ac:dyDescent="0.2">
      <c r="A5" s="43" t="s">
        <v>51</v>
      </c>
      <c r="B5" s="49" t="s">
        <v>26</v>
      </c>
      <c r="C5" s="52">
        <f>SUM(C2:C4)</f>
        <v>1595598.81</v>
      </c>
    </row>
    <row r="6" spans="1:101" s="6" customFormat="1" ht="12" thickBot="1" x14ac:dyDescent="0.25">
      <c r="A6" s="44">
        <v>75.438800000000001</v>
      </c>
      <c r="B6" s="16"/>
      <c r="C6" s="53"/>
      <c r="D6" s="17"/>
    </row>
    <row r="7" spans="1:101" s="6" customFormat="1" ht="12" thickBot="1" x14ac:dyDescent="0.25">
      <c r="A7" s="105" t="s">
        <v>51</v>
      </c>
      <c r="B7" s="18" t="s">
        <v>127</v>
      </c>
      <c r="C7" s="54">
        <f>SUM(E16:AE16)</f>
        <v>15001906.0396</v>
      </c>
    </row>
    <row r="8" spans="1:101" x14ac:dyDescent="0.25">
      <c r="A8" s="43" t="s">
        <v>52</v>
      </c>
      <c r="B8" s="18" t="s">
        <v>126</v>
      </c>
      <c r="C8" s="54">
        <f>SUM(E25:AE26)</f>
        <v>25456417.992213853</v>
      </c>
    </row>
    <row r="9" spans="1:101" ht="12" thickBot="1" x14ac:dyDescent="0.3">
      <c r="A9" s="44">
        <v>10.959300000000001</v>
      </c>
      <c r="B9" s="19" t="s">
        <v>64</v>
      </c>
      <c r="C9" s="55">
        <f>C5+C7-C8-C11</f>
        <v>-18793459.312733851</v>
      </c>
    </row>
    <row r="10" spans="1:101" x14ac:dyDescent="0.25">
      <c r="A10" s="99" t="s">
        <v>80</v>
      </c>
      <c r="B10" s="18" t="s">
        <v>23</v>
      </c>
      <c r="C10" s="56">
        <f>C16</f>
        <v>0</v>
      </c>
    </row>
    <row r="11" spans="1:101" x14ac:dyDescent="0.25">
      <c r="A11" s="101" t="s">
        <v>87</v>
      </c>
      <c r="B11" s="18" t="s">
        <v>24</v>
      </c>
      <c r="C11" s="54">
        <f>C26</f>
        <v>9934546.1701200008</v>
      </c>
    </row>
    <row r="12" spans="1:101" x14ac:dyDescent="0.25">
      <c r="A12" s="107" t="s">
        <v>88</v>
      </c>
    </row>
    <row r="13" spans="1:101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101" s="2" customFormat="1" x14ac:dyDescent="0.25">
      <c r="A14" s="64"/>
      <c r="B14" s="65"/>
      <c r="C14" s="58" t="s">
        <v>56</v>
      </c>
      <c r="D14" s="66"/>
      <c r="E14" s="66">
        <v>46147</v>
      </c>
      <c r="F14" s="66">
        <v>46148</v>
      </c>
      <c r="G14" s="66">
        <v>46149</v>
      </c>
      <c r="H14" s="66">
        <v>46150</v>
      </c>
      <c r="I14" s="66">
        <v>46151</v>
      </c>
      <c r="J14" s="66">
        <v>46152</v>
      </c>
      <c r="K14" s="66">
        <v>46153</v>
      </c>
      <c r="L14" s="66">
        <v>46154</v>
      </c>
      <c r="M14" s="66">
        <v>46155</v>
      </c>
      <c r="N14" s="66">
        <v>46156</v>
      </c>
      <c r="O14" s="66">
        <v>46157</v>
      </c>
      <c r="P14" s="66">
        <v>46158</v>
      </c>
      <c r="Q14" s="66">
        <v>46159</v>
      </c>
      <c r="R14" s="66">
        <v>46160</v>
      </c>
      <c r="S14" s="66">
        <v>46161</v>
      </c>
      <c r="T14" s="66">
        <v>46162</v>
      </c>
      <c r="U14" s="66">
        <v>46163</v>
      </c>
      <c r="V14" s="66">
        <v>46164</v>
      </c>
      <c r="W14" s="66">
        <v>46165</v>
      </c>
      <c r="X14" s="66">
        <v>46166</v>
      </c>
      <c r="Y14" s="66">
        <v>46167</v>
      </c>
      <c r="Z14" s="66">
        <v>46168</v>
      </c>
      <c r="AA14" s="66">
        <v>46169</v>
      </c>
      <c r="AB14" s="66">
        <v>46170</v>
      </c>
      <c r="AC14" s="66">
        <v>46171</v>
      </c>
      <c r="AD14" s="66">
        <v>46172</v>
      </c>
      <c r="AE14" s="66">
        <v>46173</v>
      </c>
      <c r="AF14" s="66">
        <v>46174</v>
      </c>
      <c r="AG14" s="66">
        <v>46175</v>
      </c>
      <c r="AH14" s="66">
        <v>46176</v>
      </c>
      <c r="AI14" s="66">
        <v>46177</v>
      </c>
      <c r="AJ14" s="66">
        <v>46178</v>
      </c>
      <c r="AK14" s="66">
        <v>46179</v>
      </c>
      <c r="AL14" s="66">
        <v>46180</v>
      </c>
      <c r="AM14" s="66">
        <v>46181</v>
      </c>
      <c r="AN14" s="66">
        <v>46182</v>
      </c>
      <c r="AO14" s="66">
        <v>46183</v>
      </c>
      <c r="AP14" s="66">
        <v>46184</v>
      </c>
      <c r="AQ14" s="66">
        <v>46185</v>
      </c>
      <c r="AR14" s="66">
        <v>46186</v>
      </c>
      <c r="AS14" s="66">
        <v>46187</v>
      </c>
      <c r="AT14" s="66">
        <v>46188</v>
      </c>
      <c r="AU14" s="66">
        <v>46189</v>
      </c>
      <c r="AV14" s="66">
        <v>46190</v>
      </c>
      <c r="AW14" s="66">
        <v>46191</v>
      </c>
      <c r="AX14" s="66">
        <v>46192</v>
      </c>
      <c r="AY14" s="66">
        <v>46193</v>
      </c>
      <c r="AZ14" s="66">
        <v>46194</v>
      </c>
      <c r="BA14" s="66">
        <v>46195</v>
      </c>
      <c r="BB14" s="66">
        <v>46196</v>
      </c>
      <c r="BC14" s="66">
        <v>46197</v>
      </c>
      <c r="BD14" s="66">
        <v>46198</v>
      </c>
      <c r="BE14" s="66">
        <v>46199</v>
      </c>
      <c r="BF14" s="66">
        <v>46200</v>
      </c>
      <c r="BG14" s="66">
        <v>46201</v>
      </c>
      <c r="BH14" s="66">
        <v>46202</v>
      </c>
      <c r="BI14" s="66">
        <v>46203</v>
      </c>
      <c r="BJ14" s="66">
        <v>46204</v>
      </c>
      <c r="BK14" s="66">
        <v>46205</v>
      </c>
      <c r="BL14" s="66">
        <v>46206</v>
      </c>
      <c r="BM14" s="66">
        <v>46207</v>
      </c>
      <c r="BN14" s="66">
        <v>46208</v>
      </c>
      <c r="BO14" s="66">
        <v>46209</v>
      </c>
      <c r="BP14" s="66">
        <v>46210</v>
      </c>
      <c r="BQ14" s="66">
        <v>46211</v>
      </c>
      <c r="BR14" s="66">
        <v>46212</v>
      </c>
      <c r="BS14" s="66">
        <v>46213</v>
      </c>
      <c r="BT14" s="66">
        <v>46214</v>
      </c>
      <c r="BU14" s="66">
        <v>46215</v>
      </c>
      <c r="BV14" s="66">
        <v>46216</v>
      </c>
      <c r="BW14" s="66">
        <v>46217</v>
      </c>
      <c r="BX14" s="66">
        <v>46218</v>
      </c>
      <c r="BY14" s="66">
        <v>46219</v>
      </c>
      <c r="BZ14" s="66">
        <v>46220</v>
      </c>
      <c r="CA14" s="66">
        <v>46221</v>
      </c>
      <c r="CB14" s="66">
        <v>46222</v>
      </c>
      <c r="CC14" s="66">
        <v>46223</v>
      </c>
      <c r="CD14" s="66">
        <v>46224</v>
      </c>
      <c r="CE14" s="66">
        <v>46225</v>
      </c>
      <c r="CF14" s="66">
        <v>46226</v>
      </c>
      <c r="CG14" s="66">
        <v>46227</v>
      </c>
      <c r="CH14" s="66">
        <v>46228</v>
      </c>
      <c r="CI14" s="66">
        <v>46229</v>
      </c>
      <c r="CJ14" s="66">
        <v>46230</v>
      </c>
      <c r="CK14" s="66">
        <v>46231</v>
      </c>
      <c r="CL14" s="66">
        <v>46232</v>
      </c>
      <c r="CM14" s="66">
        <v>46233</v>
      </c>
      <c r="CN14" s="66">
        <v>46234</v>
      </c>
      <c r="CO14" s="66">
        <v>46235</v>
      </c>
      <c r="CP14" s="66">
        <v>46236</v>
      </c>
      <c r="CQ14" s="66">
        <v>46237</v>
      </c>
      <c r="CR14" s="66">
        <v>46238</v>
      </c>
      <c r="CS14" s="66">
        <v>46239</v>
      </c>
      <c r="CT14" s="66">
        <v>46240</v>
      </c>
      <c r="CU14" s="66">
        <v>46241</v>
      </c>
      <c r="CV14" s="66">
        <v>46242</v>
      </c>
      <c r="CW14" s="66">
        <v>46243</v>
      </c>
    </row>
    <row r="15" spans="1:101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</row>
    <row r="16" spans="1:101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I16" si="0">SUM(E17:E25)</f>
        <v>7037500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135">
        <f t="shared" si="0"/>
        <v>0</v>
      </c>
      <c r="J16" s="135">
        <f>SUM(J17:J25)</f>
        <v>0</v>
      </c>
      <c r="K16" s="135">
        <f t="shared" ref="K16:BV16" si="1">SUM(K17:K25)</f>
        <v>0</v>
      </c>
      <c r="L16" s="29">
        <f t="shared" si="1"/>
        <v>0</v>
      </c>
      <c r="M16" s="29">
        <f t="shared" si="1"/>
        <v>0</v>
      </c>
      <c r="N16" s="29">
        <f t="shared" si="1"/>
        <v>7882500</v>
      </c>
      <c r="O16" s="29">
        <f t="shared" si="1"/>
        <v>0</v>
      </c>
      <c r="P16" s="135">
        <f t="shared" si="1"/>
        <v>0</v>
      </c>
      <c r="Q16" s="135">
        <f t="shared" si="1"/>
        <v>0</v>
      </c>
      <c r="R16" s="29">
        <f t="shared" si="1"/>
        <v>0</v>
      </c>
      <c r="S16" s="29">
        <f t="shared" si="1"/>
        <v>0</v>
      </c>
      <c r="T16" s="29">
        <f t="shared" si="1"/>
        <v>0</v>
      </c>
      <c r="U16" s="29">
        <f t="shared" si="1"/>
        <v>0</v>
      </c>
      <c r="V16" s="29">
        <f t="shared" si="1"/>
        <v>0</v>
      </c>
      <c r="W16" s="135">
        <f t="shared" si="1"/>
        <v>0</v>
      </c>
      <c r="X16" s="135">
        <f t="shared" si="1"/>
        <v>0</v>
      </c>
      <c r="Y16" s="29">
        <f t="shared" si="1"/>
        <v>0</v>
      </c>
      <c r="Z16" s="29">
        <f t="shared" si="1"/>
        <v>0</v>
      </c>
      <c r="AA16" s="29">
        <f t="shared" si="1"/>
        <v>0</v>
      </c>
      <c r="AB16" s="29">
        <f t="shared" si="1"/>
        <v>81906.039600000004</v>
      </c>
      <c r="AC16" s="29">
        <f t="shared" si="1"/>
        <v>0</v>
      </c>
      <c r="AD16" s="135">
        <f t="shared" si="1"/>
        <v>0</v>
      </c>
      <c r="AE16" s="135">
        <f t="shared" si="1"/>
        <v>0</v>
      </c>
      <c r="AF16" s="29">
        <f t="shared" si="1"/>
        <v>0</v>
      </c>
      <c r="AG16" s="29">
        <f t="shared" si="1"/>
        <v>0</v>
      </c>
      <c r="AH16" s="29">
        <f t="shared" si="1"/>
        <v>0</v>
      </c>
      <c r="AI16" s="29">
        <f t="shared" si="1"/>
        <v>0</v>
      </c>
      <c r="AJ16" s="29">
        <f t="shared" si="1"/>
        <v>0</v>
      </c>
      <c r="AK16" s="135">
        <f t="shared" si="1"/>
        <v>0</v>
      </c>
      <c r="AL16" s="135">
        <f t="shared" si="1"/>
        <v>0</v>
      </c>
      <c r="AM16" s="29">
        <f t="shared" si="1"/>
        <v>3102501.5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29">
        <f t="shared" si="1"/>
        <v>0</v>
      </c>
      <c r="AR16" s="135">
        <f t="shared" si="1"/>
        <v>0</v>
      </c>
      <c r="AS16" s="135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29">
        <f t="shared" si="1"/>
        <v>8517164.4035999998</v>
      </c>
      <c r="AX16" s="29">
        <f t="shared" si="1"/>
        <v>0</v>
      </c>
      <c r="AY16" s="135">
        <f t="shared" si="1"/>
        <v>0</v>
      </c>
      <c r="AZ16" s="135">
        <f t="shared" si="1"/>
        <v>0</v>
      </c>
      <c r="BA16" s="29">
        <f t="shared" si="1"/>
        <v>0</v>
      </c>
      <c r="BB16" s="29">
        <f t="shared" si="1"/>
        <v>0</v>
      </c>
      <c r="BC16" s="29">
        <f t="shared" si="1"/>
        <v>0</v>
      </c>
      <c r="BD16" s="29">
        <f t="shared" si="1"/>
        <v>0</v>
      </c>
      <c r="BE16" s="29">
        <f t="shared" si="1"/>
        <v>0</v>
      </c>
      <c r="BF16" s="135">
        <f t="shared" si="1"/>
        <v>0</v>
      </c>
      <c r="BG16" s="135">
        <f t="shared" si="1"/>
        <v>0</v>
      </c>
      <c r="BH16" s="29">
        <f t="shared" si="1"/>
        <v>3155687.2399999998</v>
      </c>
      <c r="BI16" s="29">
        <f t="shared" si="1"/>
        <v>0</v>
      </c>
      <c r="BJ16" s="29">
        <f t="shared" si="1"/>
        <v>0</v>
      </c>
      <c r="BK16" s="29">
        <f t="shared" si="1"/>
        <v>0</v>
      </c>
      <c r="BL16" s="29">
        <f t="shared" si="1"/>
        <v>0</v>
      </c>
      <c r="BM16" s="135">
        <f t="shared" si="1"/>
        <v>0</v>
      </c>
      <c r="BN16" s="135">
        <f t="shared" si="1"/>
        <v>0</v>
      </c>
      <c r="BO16" s="29">
        <f t="shared" si="1"/>
        <v>0</v>
      </c>
      <c r="BP16" s="29">
        <f t="shared" si="1"/>
        <v>0</v>
      </c>
      <c r="BQ16" s="29">
        <f t="shared" si="1"/>
        <v>0</v>
      </c>
      <c r="BR16" s="29">
        <f t="shared" si="1"/>
        <v>0</v>
      </c>
      <c r="BS16" s="29">
        <f t="shared" si="1"/>
        <v>0</v>
      </c>
      <c r="BT16" s="135">
        <f t="shared" si="1"/>
        <v>0</v>
      </c>
      <c r="BU16" s="135">
        <f t="shared" si="1"/>
        <v>0</v>
      </c>
      <c r="BV16" s="29">
        <f t="shared" si="1"/>
        <v>0</v>
      </c>
      <c r="BW16" s="29">
        <f t="shared" ref="BW16:CW16" si="2">SUM(BW17:BW25)</f>
        <v>0</v>
      </c>
      <c r="BX16" s="29">
        <f t="shared" si="2"/>
        <v>0</v>
      </c>
      <c r="BY16" s="29">
        <f t="shared" si="2"/>
        <v>0</v>
      </c>
      <c r="BZ16" s="29">
        <f t="shared" si="2"/>
        <v>0</v>
      </c>
      <c r="CA16" s="29">
        <f t="shared" si="2"/>
        <v>0</v>
      </c>
      <c r="CB16" s="29">
        <f t="shared" si="2"/>
        <v>0</v>
      </c>
      <c r="CC16" s="29">
        <f t="shared" si="2"/>
        <v>0</v>
      </c>
      <c r="CD16" s="29">
        <f t="shared" si="2"/>
        <v>0</v>
      </c>
      <c r="CE16" s="29">
        <f t="shared" si="2"/>
        <v>0</v>
      </c>
      <c r="CF16" s="29">
        <f t="shared" si="2"/>
        <v>0</v>
      </c>
      <c r="CG16" s="29">
        <f t="shared" si="2"/>
        <v>0</v>
      </c>
      <c r="CH16" s="29">
        <f t="shared" si="2"/>
        <v>0</v>
      </c>
      <c r="CI16" s="29">
        <f t="shared" si="2"/>
        <v>0</v>
      </c>
      <c r="CJ16" s="29">
        <f t="shared" si="2"/>
        <v>0</v>
      </c>
      <c r="CK16" s="29">
        <f t="shared" si="2"/>
        <v>0</v>
      </c>
      <c r="CL16" s="29">
        <f t="shared" si="2"/>
        <v>0</v>
      </c>
      <c r="CM16" s="29">
        <f t="shared" si="2"/>
        <v>0</v>
      </c>
      <c r="CN16" s="29">
        <f t="shared" si="2"/>
        <v>0</v>
      </c>
      <c r="CO16" s="29">
        <f t="shared" si="2"/>
        <v>0</v>
      </c>
      <c r="CP16" s="29">
        <f t="shared" si="2"/>
        <v>0</v>
      </c>
      <c r="CQ16" s="29">
        <f t="shared" si="2"/>
        <v>0</v>
      </c>
      <c r="CR16" s="29">
        <f t="shared" si="2"/>
        <v>0</v>
      </c>
      <c r="CS16" s="29">
        <f t="shared" si="2"/>
        <v>0</v>
      </c>
      <c r="CT16" s="29">
        <f t="shared" si="2"/>
        <v>0</v>
      </c>
      <c r="CU16" s="29">
        <f t="shared" si="2"/>
        <v>0</v>
      </c>
      <c r="CV16" s="29">
        <f t="shared" si="2"/>
        <v>0</v>
      </c>
      <c r="CW16" s="29">
        <f t="shared" si="2"/>
        <v>0</v>
      </c>
    </row>
    <row r="17" spans="1:101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</row>
    <row r="18" spans="1:101" s="80" customFormat="1" x14ac:dyDescent="0.25">
      <c r="A18" s="40" t="s">
        <v>9</v>
      </c>
      <c r="B18" s="21"/>
      <c r="C18" s="59"/>
      <c r="D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</row>
    <row r="19" spans="1:101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</row>
    <row r="20" spans="1:101" s="80" customFormat="1" ht="13.5" customHeight="1" x14ac:dyDescent="0.25">
      <c r="A20" s="40" t="s">
        <v>12</v>
      </c>
      <c r="B20" s="21"/>
      <c r="C20" s="32"/>
      <c r="D20" s="30"/>
      <c r="E20" s="30">
        <v>7037500</v>
      </c>
      <c r="F20" s="30"/>
      <c r="G20" s="30"/>
      <c r="H20" s="30"/>
      <c r="I20" s="30"/>
      <c r="J20" s="30"/>
      <c r="K20" s="30"/>
      <c r="L20" s="30"/>
      <c r="M20" s="30"/>
      <c r="N20" s="30">
        <v>7882500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</row>
    <row r="21" spans="1:101" s="80" customFormat="1" ht="13.5" customHeigh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>
        <f>924*A3</f>
        <v>81906.039600000004</v>
      </c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</row>
    <row r="22" spans="1:101" s="80" customFormat="1" ht="13.5" customHeigh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</row>
    <row r="23" spans="1:101" s="80" customFormat="1" ht="12" customHeigh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>
        <f>96084*A3</f>
        <v>8517164.4035999998</v>
      </c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</row>
    <row r="24" spans="1:101" s="80" customFormat="1" ht="10.5" customHeigh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>
        <f>35000*A3</f>
        <v>3102501.5</v>
      </c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>
        <f>35600*A3</f>
        <v>3155687.2399999998</v>
      </c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</row>
    <row r="25" spans="1:101" ht="3" customHeight="1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</row>
    <row r="26" spans="1:101" s="4" customFormat="1" x14ac:dyDescent="0.2">
      <c r="A26" s="41" t="s">
        <v>1</v>
      </c>
      <c r="B26" s="22"/>
      <c r="C26" s="34">
        <f>SUM(C28:C75)</f>
        <v>9934546.1701200008</v>
      </c>
      <c r="D26" s="34"/>
      <c r="E26" s="34">
        <f t="shared" ref="E26:AI26" si="3">SUM(E27:E76)</f>
        <v>1665963.2719480519</v>
      </c>
      <c r="F26" s="34">
        <f t="shared" si="3"/>
        <v>589143.92599999998</v>
      </c>
      <c r="G26" s="34">
        <f t="shared" si="3"/>
        <v>699189.92599999998</v>
      </c>
      <c r="H26" s="34">
        <f t="shared" si="3"/>
        <v>2197155.89</v>
      </c>
      <c r="I26" s="34">
        <f t="shared" si="3"/>
        <v>0</v>
      </c>
      <c r="J26" s="34">
        <f t="shared" si="3"/>
        <v>0</v>
      </c>
      <c r="K26" s="34">
        <f t="shared" si="3"/>
        <v>0</v>
      </c>
      <c r="L26" s="34">
        <f t="shared" si="3"/>
        <v>829093.72600000002</v>
      </c>
      <c r="M26" s="34">
        <f t="shared" si="3"/>
        <v>1626323.76</v>
      </c>
      <c r="N26" s="34">
        <f t="shared" si="3"/>
        <v>2665994.607792208</v>
      </c>
      <c r="O26" s="34">
        <f t="shared" si="3"/>
        <v>4658138.5732623376</v>
      </c>
      <c r="P26" s="34">
        <f t="shared" si="3"/>
        <v>0</v>
      </c>
      <c r="Q26" s="34">
        <f t="shared" si="3"/>
        <v>0</v>
      </c>
      <c r="R26" s="34">
        <f t="shared" si="3"/>
        <v>3051568.2020779224</v>
      </c>
      <c r="S26" s="34">
        <f t="shared" si="3"/>
        <v>448354.28</v>
      </c>
      <c r="T26" s="34">
        <f t="shared" si="3"/>
        <v>224069.28</v>
      </c>
      <c r="U26" s="34">
        <f t="shared" si="3"/>
        <v>183270</v>
      </c>
      <c r="V26" s="34">
        <f t="shared" si="3"/>
        <v>1079141.2157999999</v>
      </c>
      <c r="W26" s="34">
        <f t="shared" si="3"/>
        <v>0</v>
      </c>
      <c r="X26" s="34">
        <f t="shared" si="3"/>
        <v>0</v>
      </c>
      <c r="Y26" s="34">
        <f t="shared" si="3"/>
        <v>22000</v>
      </c>
      <c r="Z26" s="34">
        <f t="shared" si="3"/>
        <v>0</v>
      </c>
      <c r="AA26" s="34">
        <f t="shared" si="3"/>
        <v>0</v>
      </c>
      <c r="AB26" s="34">
        <f t="shared" si="3"/>
        <v>4257281.333333334</v>
      </c>
      <c r="AC26" s="34">
        <f t="shared" si="3"/>
        <v>1247230</v>
      </c>
      <c r="AD26" s="34">
        <f t="shared" si="3"/>
        <v>12500</v>
      </c>
      <c r="AE26" s="34">
        <f t="shared" si="3"/>
        <v>0</v>
      </c>
      <c r="AF26" s="34">
        <f t="shared" si="3"/>
        <v>260175.01199999999</v>
      </c>
      <c r="AG26" s="34">
        <f t="shared" si="3"/>
        <v>0</v>
      </c>
      <c r="AH26" s="34">
        <f t="shared" si="3"/>
        <v>3647700</v>
      </c>
      <c r="AI26" s="34">
        <f t="shared" si="3"/>
        <v>516230</v>
      </c>
      <c r="AJ26" s="34">
        <f t="shared" ref="AJ26:BO26" si="4">SUM(AJ27:AJ76)</f>
        <v>746062.9</v>
      </c>
      <c r="AK26" s="34">
        <f t="shared" si="4"/>
        <v>0</v>
      </c>
      <c r="AL26" s="34">
        <f t="shared" si="4"/>
        <v>0</v>
      </c>
      <c r="AM26" s="34">
        <f t="shared" si="4"/>
        <v>390000</v>
      </c>
      <c r="AN26" s="34">
        <f t="shared" si="4"/>
        <v>0</v>
      </c>
      <c r="AO26" s="34">
        <f t="shared" si="4"/>
        <v>0</v>
      </c>
      <c r="AP26" s="34">
        <f t="shared" si="4"/>
        <v>0</v>
      </c>
      <c r="AQ26" s="34">
        <f t="shared" si="4"/>
        <v>271506</v>
      </c>
      <c r="AR26" s="34">
        <f t="shared" si="4"/>
        <v>0</v>
      </c>
      <c r="AS26" s="34">
        <f t="shared" si="4"/>
        <v>0</v>
      </c>
      <c r="AT26" s="34">
        <f t="shared" si="4"/>
        <v>0</v>
      </c>
      <c r="AU26" s="34">
        <f t="shared" si="4"/>
        <v>0</v>
      </c>
      <c r="AV26" s="34">
        <f t="shared" si="4"/>
        <v>0</v>
      </c>
      <c r="AW26" s="34">
        <f t="shared" si="4"/>
        <v>0</v>
      </c>
      <c r="AX26" s="34">
        <f t="shared" si="4"/>
        <v>0</v>
      </c>
      <c r="AY26" s="34">
        <f t="shared" si="4"/>
        <v>0</v>
      </c>
      <c r="AZ26" s="34">
        <f t="shared" si="4"/>
        <v>0</v>
      </c>
      <c r="BA26" s="34">
        <f t="shared" si="4"/>
        <v>0</v>
      </c>
      <c r="BB26" s="34">
        <f t="shared" si="4"/>
        <v>0</v>
      </c>
      <c r="BC26" s="34">
        <f t="shared" si="4"/>
        <v>0</v>
      </c>
      <c r="BD26" s="34">
        <f t="shared" si="4"/>
        <v>0</v>
      </c>
      <c r="BE26" s="34">
        <f t="shared" si="4"/>
        <v>0</v>
      </c>
      <c r="BF26" s="34">
        <f t="shared" si="4"/>
        <v>0</v>
      </c>
      <c r="BG26" s="34">
        <f t="shared" si="4"/>
        <v>0</v>
      </c>
      <c r="BH26" s="34">
        <f t="shared" si="4"/>
        <v>3228281.3333333335</v>
      </c>
      <c r="BI26" s="34">
        <f t="shared" si="4"/>
        <v>0</v>
      </c>
      <c r="BJ26" s="34">
        <f t="shared" si="4"/>
        <v>0</v>
      </c>
      <c r="BK26" s="34">
        <f t="shared" si="4"/>
        <v>746062.9</v>
      </c>
      <c r="BL26" s="34">
        <f t="shared" si="4"/>
        <v>0</v>
      </c>
      <c r="BM26" s="34">
        <f t="shared" si="4"/>
        <v>0</v>
      </c>
      <c r="BN26" s="34">
        <f t="shared" si="4"/>
        <v>0</v>
      </c>
      <c r="BO26" s="34">
        <f t="shared" si="4"/>
        <v>0</v>
      </c>
      <c r="BP26" s="34">
        <f t="shared" ref="BP26:CU26" si="5">SUM(BP27:BP76)</f>
        <v>0</v>
      </c>
      <c r="BQ26" s="34">
        <f t="shared" si="5"/>
        <v>0</v>
      </c>
      <c r="BR26" s="34">
        <f t="shared" si="5"/>
        <v>0</v>
      </c>
      <c r="BS26" s="34">
        <f t="shared" si="5"/>
        <v>0</v>
      </c>
      <c r="BT26" s="34">
        <f t="shared" si="5"/>
        <v>0</v>
      </c>
      <c r="BU26" s="34">
        <f t="shared" si="5"/>
        <v>0</v>
      </c>
      <c r="BV26" s="34">
        <f t="shared" si="5"/>
        <v>271506</v>
      </c>
      <c r="BW26" s="34">
        <f t="shared" si="5"/>
        <v>0</v>
      </c>
      <c r="BX26" s="34">
        <f t="shared" si="5"/>
        <v>0</v>
      </c>
      <c r="BY26" s="34">
        <f t="shared" si="5"/>
        <v>0</v>
      </c>
      <c r="BZ26" s="34">
        <f t="shared" si="5"/>
        <v>0</v>
      </c>
      <c r="CA26" s="34">
        <f t="shared" si="5"/>
        <v>0</v>
      </c>
      <c r="CB26" s="34">
        <f t="shared" si="5"/>
        <v>0</v>
      </c>
      <c r="CC26" s="34">
        <f t="shared" si="5"/>
        <v>0</v>
      </c>
      <c r="CD26" s="34">
        <f t="shared" si="5"/>
        <v>0</v>
      </c>
      <c r="CE26" s="34">
        <f t="shared" si="5"/>
        <v>0</v>
      </c>
      <c r="CF26" s="34">
        <f t="shared" si="5"/>
        <v>0</v>
      </c>
      <c r="CG26" s="34">
        <f t="shared" si="5"/>
        <v>0</v>
      </c>
      <c r="CH26" s="34">
        <f t="shared" si="5"/>
        <v>0</v>
      </c>
      <c r="CI26" s="34">
        <f t="shared" si="5"/>
        <v>0</v>
      </c>
      <c r="CJ26" s="34">
        <f t="shared" si="5"/>
        <v>0</v>
      </c>
      <c r="CK26" s="34">
        <f t="shared" si="5"/>
        <v>0</v>
      </c>
      <c r="CL26" s="34">
        <f t="shared" si="5"/>
        <v>0</v>
      </c>
      <c r="CM26" s="34">
        <f t="shared" si="5"/>
        <v>0</v>
      </c>
      <c r="CN26" s="34">
        <f t="shared" si="5"/>
        <v>0</v>
      </c>
      <c r="CO26" s="34">
        <f t="shared" si="5"/>
        <v>0</v>
      </c>
      <c r="CP26" s="34">
        <f t="shared" si="5"/>
        <v>0</v>
      </c>
      <c r="CQ26" s="34">
        <f t="shared" si="5"/>
        <v>0</v>
      </c>
      <c r="CR26" s="34">
        <f t="shared" si="5"/>
        <v>0</v>
      </c>
      <c r="CS26" s="34">
        <f t="shared" si="5"/>
        <v>0</v>
      </c>
      <c r="CT26" s="34">
        <f t="shared" si="5"/>
        <v>0</v>
      </c>
      <c r="CU26" s="34">
        <f t="shared" si="5"/>
        <v>0</v>
      </c>
      <c r="CV26" s="34">
        <f t="shared" ref="CV26:CW26" si="6">SUM(CV27:CV76)</f>
        <v>0</v>
      </c>
      <c r="CW26" s="34">
        <f t="shared" si="6"/>
        <v>0</v>
      </c>
    </row>
    <row r="27" spans="1:101" ht="3" customHeight="1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</row>
    <row r="28" spans="1:101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</row>
    <row r="29" spans="1:101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</row>
    <row r="30" spans="1:101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>
        <f>8399365/3</f>
        <v>2799788.3333333335</v>
      </c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>
        <f>8399365/3</f>
        <v>2799788.3333333335</v>
      </c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</row>
    <row r="31" spans="1:101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90">
        <f>291375+137118</f>
        <v>428493</v>
      </c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90">
        <f>291375+137118</f>
        <v>428493</v>
      </c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</row>
    <row r="32" spans="1:101" s="1" customFormat="1" x14ac:dyDescent="0.2">
      <c r="A32" s="36" t="s">
        <v>7</v>
      </c>
      <c r="B32" s="23" t="s">
        <v>8</v>
      </c>
      <c r="C32" s="60"/>
      <c r="D32" s="24"/>
      <c r="F32" s="24"/>
      <c r="G32" s="24"/>
      <c r="H32" s="24">
        <v>360000</v>
      </c>
      <c r="I32" s="24"/>
      <c r="K32" s="24"/>
      <c r="L32" s="24"/>
      <c r="M32" s="24"/>
      <c r="N32" s="24"/>
      <c r="O32" s="24">
        <f>200000</f>
        <v>200000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</row>
    <row r="33" spans="1:101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>
        <v>271506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>
        <v>271506</v>
      </c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>
        <v>271506</v>
      </c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</row>
    <row r="34" spans="1:101" s="1" customFormat="1" x14ac:dyDescent="0.2">
      <c r="A34" s="36" t="s">
        <v>54</v>
      </c>
      <c r="B34" s="23"/>
      <c r="C34" s="60"/>
      <c r="D34" s="24"/>
      <c r="E34" s="24"/>
      <c r="G34" s="24"/>
      <c r="H34" s="24"/>
      <c r="I34" s="24"/>
      <c r="J34" s="24"/>
      <c r="K34" s="24"/>
      <c r="L34" s="24">
        <v>100000</v>
      </c>
      <c r="M34" s="24">
        <v>100113.9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</row>
    <row r="35" spans="1:101" s="1" customFormat="1" x14ac:dyDescent="0.2">
      <c r="A35" s="36" t="s">
        <v>71</v>
      </c>
      <c r="B35" s="23"/>
      <c r="C35" s="60"/>
      <c r="D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>
        <v>200113.9</v>
      </c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>
        <v>200113.9</v>
      </c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</row>
    <row r="36" spans="1:101" s="1" customFormat="1" x14ac:dyDescent="0.2">
      <c r="A36" s="36" t="s">
        <v>53</v>
      </c>
      <c r="B36" s="23"/>
      <c r="C36" s="60"/>
      <c r="D36" s="24"/>
      <c r="E36" s="24"/>
      <c r="F36" s="24"/>
      <c r="G36" s="24"/>
      <c r="I36" s="24"/>
      <c r="J36" s="24"/>
      <c r="K36" s="24"/>
      <c r="L36" s="24">
        <v>100000</v>
      </c>
      <c r="M36" s="24">
        <v>100000</v>
      </c>
      <c r="N36" s="24">
        <v>100000</v>
      </c>
      <c r="O36" s="24">
        <v>100000</v>
      </c>
      <c r="P36" s="24"/>
      <c r="Q36" s="24"/>
      <c r="R36" s="24">
        <v>145949</v>
      </c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>
        <v>545949</v>
      </c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>
        <v>545949</v>
      </c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</row>
    <row r="37" spans="1:101" s="1" customFormat="1" ht="11.25" customHeigh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</row>
    <row r="38" spans="1:101" s="71" customFormat="1" x14ac:dyDescent="0.2">
      <c r="A38" s="69" t="s">
        <v>14</v>
      </c>
      <c r="B38" s="25" t="s">
        <v>30</v>
      </c>
      <c r="C38" s="70"/>
      <c r="D38" s="24"/>
      <c r="E38" s="24"/>
      <c r="G38" s="24"/>
      <c r="H38" s="24"/>
      <c r="I38" s="24"/>
      <c r="J38" s="24"/>
      <c r="K38" s="24"/>
      <c r="L38" s="24"/>
      <c r="M38" s="100">
        <v>341779</v>
      </c>
      <c r="N38" s="24"/>
      <c r="O38" s="24"/>
      <c r="P38" s="24"/>
      <c r="Q38" s="24"/>
      <c r="R38" s="24"/>
      <c r="S38" s="100">
        <v>191379</v>
      </c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</row>
    <row r="39" spans="1:101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100">
        <v>156160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</row>
    <row r="40" spans="1:101" s="71" customFormat="1" x14ac:dyDescent="0.2">
      <c r="A40" s="69" t="s">
        <v>117</v>
      </c>
      <c r="B40" s="25" t="s">
        <v>119</v>
      </c>
      <c r="C40" s="70"/>
      <c r="D40" s="24"/>
      <c r="E40" s="24"/>
      <c r="F40" s="24"/>
      <c r="G40" s="28"/>
      <c r="H40" s="24"/>
      <c r="I40" s="24"/>
      <c r="J40" s="24"/>
      <c r="K40" s="24"/>
      <c r="L40" s="24"/>
      <c r="M40" s="24"/>
      <c r="N40" s="24"/>
      <c r="O40" s="28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100">
        <v>691000</v>
      </c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</row>
    <row r="41" spans="1:101" s="71" customFormat="1" x14ac:dyDescent="0.2">
      <c r="A41" s="69" t="s">
        <v>97</v>
      </c>
      <c r="B41" s="25" t="s">
        <v>98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</row>
    <row r="42" spans="1:101" s="71" customFormat="1" x14ac:dyDescent="0.2">
      <c r="A42" s="69" t="s">
        <v>17</v>
      </c>
      <c r="B42" s="25" t="s">
        <v>41</v>
      </c>
      <c r="C42" s="70">
        <f>1375000-500000-175000-50000-25000</f>
        <v>625000</v>
      </c>
      <c r="D42" s="24"/>
      <c r="E42" s="28"/>
      <c r="F42" s="129">
        <v>75000</v>
      </c>
      <c r="H42" s="142">
        <f>45000+50000-25000+100000</f>
        <v>170000</v>
      </c>
      <c r="I42" s="24"/>
      <c r="J42" s="24"/>
      <c r="K42" s="24"/>
      <c r="M42" s="24"/>
      <c r="N42" s="129">
        <v>100000</v>
      </c>
      <c r="O42" s="129">
        <v>110000</v>
      </c>
      <c r="P42" s="24"/>
      <c r="Q42" s="24"/>
      <c r="R42" s="129">
        <v>170000</v>
      </c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</row>
    <row r="43" spans="1:101" s="71" customFormat="1" x14ac:dyDescent="0.2">
      <c r="A43" s="69" t="s">
        <v>15</v>
      </c>
      <c r="B43" s="25" t="s">
        <v>31</v>
      </c>
      <c r="C43" s="70">
        <v>1205448</v>
      </c>
      <c r="D43" s="24"/>
      <c r="E43" s="144">
        <f>90224-65224</f>
        <v>25000</v>
      </c>
      <c r="F43" s="108">
        <v>115224</v>
      </c>
      <c r="G43" s="108">
        <f>25000+100000</f>
        <v>125000</v>
      </c>
      <c r="H43" s="108">
        <f>45000+65224</f>
        <v>110224</v>
      </c>
      <c r="I43" s="24"/>
      <c r="J43" s="24"/>
      <c r="L43" s="108">
        <v>65224</v>
      </c>
      <c r="O43" s="140">
        <v>195080</v>
      </c>
      <c r="P43" s="24"/>
      <c r="Q43" s="24"/>
      <c r="R43" s="98">
        <f>515224/4</f>
        <v>128806</v>
      </c>
      <c r="S43" s="98">
        <f>515224/4</f>
        <v>128806</v>
      </c>
      <c r="T43" s="98">
        <f>515224/4</f>
        <v>128806</v>
      </c>
      <c r="U43" s="98">
        <f>515224/4+54464</f>
        <v>183270</v>
      </c>
      <c r="V43" s="24"/>
      <c r="W43" s="24"/>
      <c r="X43" s="24"/>
      <c r="Y43" s="24"/>
      <c r="Z43" s="24"/>
      <c r="AA43" s="24"/>
      <c r="AB43" s="24"/>
      <c r="AC43" s="100">
        <v>516230</v>
      </c>
      <c r="AD43" s="24"/>
      <c r="AE43" s="24"/>
      <c r="AF43" s="24"/>
      <c r="AG43" s="24"/>
      <c r="AH43" s="24"/>
      <c r="AI43" s="100">
        <v>516230</v>
      </c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</row>
    <row r="44" spans="1:101" s="71" customFormat="1" x14ac:dyDescent="0.2">
      <c r="A44" s="69" t="s">
        <v>16</v>
      </c>
      <c r="B44" s="25" t="s">
        <v>32</v>
      </c>
      <c r="C44" s="70">
        <f>1192350-50000</f>
        <v>1142350</v>
      </c>
      <c r="D44" s="24"/>
      <c r="E44" s="145">
        <v>25000</v>
      </c>
      <c r="F44" s="108">
        <f>499410/4</f>
        <v>124852.5</v>
      </c>
      <c r="G44" s="108">
        <f>499410/4+20000</f>
        <v>144852.5</v>
      </c>
      <c r="H44" s="108">
        <f>45000+124852.5</f>
        <v>169852.5</v>
      </c>
      <c r="I44" s="24"/>
      <c r="J44" s="24"/>
      <c r="K44" s="24"/>
      <c r="L44" s="108">
        <v>99852</v>
      </c>
      <c r="M44" s="108">
        <v>194764</v>
      </c>
      <c r="N44" s="108">
        <f>85388+64882+50000</f>
        <v>200270</v>
      </c>
      <c r="O44" s="108">
        <v>100000</v>
      </c>
      <c r="P44" s="24"/>
      <c r="Q44" s="24"/>
      <c r="R44" s="24"/>
      <c r="S44" s="108">
        <v>82906</v>
      </c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</row>
    <row r="45" spans="1:101" s="71" customFormat="1" x14ac:dyDescent="0.2">
      <c r="A45" s="69" t="s">
        <v>85</v>
      </c>
      <c r="B45" s="25" t="s">
        <v>47</v>
      </c>
      <c r="C45" s="70">
        <f>2580*A6</f>
        <v>194632.10399999999</v>
      </c>
      <c r="D45" s="24"/>
      <c r="E45" s="144">
        <f>200*$A$6</f>
        <v>15087.76</v>
      </c>
      <c r="F45" s="108">
        <f>645*$A$6</f>
        <v>48658.025999999998</v>
      </c>
      <c r="G45" s="108">
        <f>645*$A$6</f>
        <v>48658.025999999998</v>
      </c>
      <c r="I45" s="24"/>
      <c r="J45" s="24"/>
      <c r="K45" s="24"/>
      <c r="L45" s="108">
        <f>645*$A$6</f>
        <v>48658.025999999998</v>
      </c>
      <c r="M45" s="108">
        <f>450*$A$6</f>
        <v>33947.46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</row>
    <row r="46" spans="1:101" s="71" customFormat="1" x14ac:dyDescent="0.2">
      <c r="A46" s="69" t="s">
        <v>120</v>
      </c>
      <c r="B46" s="25" t="s">
        <v>121</v>
      </c>
      <c r="C46" s="76"/>
      <c r="D46" s="24"/>
      <c r="E46" s="146"/>
      <c r="F46" s="24"/>
      <c r="G46" s="24"/>
      <c r="H46" s="28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100">
        <v>507000</v>
      </c>
      <c r="W46" s="24"/>
      <c r="X46" s="24"/>
      <c r="Y46" s="24"/>
      <c r="Z46" s="24"/>
      <c r="AA46" s="24"/>
      <c r="AB46" s="100">
        <v>1014000</v>
      </c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</row>
    <row r="47" spans="1:101" s="73" customFormat="1" x14ac:dyDescent="0.2">
      <c r="A47" s="69" t="s">
        <v>22</v>
      </c>
      <c r="B47" s="25" t="s">
        <v>48</v>
      </c>
      <c r="C47" s="137"/>
      <c r="D47" s="72"/>
      <c r="E47" s="147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138">
        <f>52206*A9</f>
        <v>572141.21580000001</v>
      </c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  <c r="CV47" s="72"/>
      <c r="CW47" s="72"/>
    </row>
    <row r="48" spans="1:101" s="73" customFormat="1" x14ac:dyDescent="0.2">
      <c r="A48" s="69" t="s">
        <v>108</v>
      </c>
      <c r="B48" s="25" t="s">
        <v>109</v>
      </c>
      <c r="C48" s="120"/>
      <c r="D48" s="72"/>
      <c r="E48" s="147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  <c r="CW48" s="72"/>
    </row>
    <row r="49" spans="1:101" s="71" customFormat="1" x14ac:dyDescent="0.2">
      <c r="A49" s="69" t="s">
        <v>36</v>
      </c>
      <c r="B49" s="25" t="s">
        <v>37</v>
      </c>
      <c r="C49" s="130"/>
      <c r="D49" s="24"/>
      <c r="E49" s="146"/>
      <c r="F49" s="24"/>
      <c r="G49" s="24"/>
      <c r="I49" s="24"/>
      <c r="J49" s="24"/>
      <c r="K49" s="24"/>
      <c r="L49" s="24"/>
      <c r="M49" s="24"/>
      <c r="N49" s="24"/>
      <c r="O49" s="100">
        <f>2662*A6</f>
        <v>200818.08559999999</v>
      </c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</row>
    <row r="50" spans="1:101" s="71" customFormat="1" x14ac:dyDescent="0.2">
      <c r="A50" s="69" t="s">
        <v>86</v>
      </c>
      <c r="B50" s="25" t="s">
        <v>35</v>
      </c>
      <c r="C50" s="70">
        <f>2100*A6+4050*A6</f>
        <v>463948.62</v>
      </c>
      <c r="D50" s="77"/>
      <c r="E50" s="144">
        <f>200*$A$6</f>
        <v>15087.76</v>
      </c>
      <c r="F50" s="108">
        <f>500*$A$6</f>
        <v>37719.4</v>
      </c>
      <c r="G50" s="108">
        <f>500*$A$6</f>
        <v>37719.4</v>
      </c>
      <c r="H50" s="108">
        <f>900*$A$6+525*A6</f>
        <v>107500.29000000001</v>
      </c>
      <c r="I50" s="24"/>
      <c r="J50" s="24"/>
      <c r="K50" s="24"/>
      <c r="L50" s="108">
        <f>250*$A$6</f>
        <v>18859.7</v>
      </c>
      <c r="M50" s="108">
        <f>500*$A$6</f>
        <v>37719.4</v>
      </c>
      <c r="N50" s="108">
        <f>500*$A$6</f>
        <v>37719.4</v>
      </c>
      <c r="O50" s="108">
        <f>550*$A$6</f>
        <v>41491.340000000004</v>
      </c>
      <c r="P50" s="24"/>
      <c r="Q50" s="24"/>
      <c r="R50" s="108">
        <f>600*$A$6</f>
        <v>45263.28</v>
      </c>
      <c r="S50" s="108">
        <f>600*$A$6</f>
        <v>45263.28</v>
      </c>
      <c r="T50" s="108">
        <f>600*$A$6</f>
        <v>45263.28</v>
      </c>
      <c r="U50" s="28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100">
        <f>490*A6</f>
        <v>36965.012000000002</v>
      </c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</row>
    <row r="51" spans="1:101" s="71" customFormat="1" x14ac:dyDescent="0.2">
      <c r="A51" s="69" t="s">
        <v>29</v>
      </c>
      <c r="B51" s="25" t="s">
        <v>42</v>
      </c>
      <c r="C51" s="70">
        <v>20000</v>
      </c>
      <c r="D51" s="24"/>
      <c r="E51" s="146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</row>
    <row r="52" spans="1:101" s="71" customFormat="1" x14ac:dyDescent="0.2">
      <c r="A52" s="69" t="s">
        <v>29</v>
      </c>
      <c r="B52" s="25" t="s">
        <v>43</v>
      </c>
      <c r="C52" s="70">
        <v>439750</v>
      </c>
      <c r="D52" s="24"/>
      <c r="E52" s="80"/>
      <c r="F52" s="95">
        <v>50000</v>
      </c>
      <c r="G52" s="95">
        <v>50000</v>
      </c>
      <c r="H52" s="95">
        <v>25000</v>
      </c>
      <c r="I52" s="24"/>
      <c r="J52" s="24"/>
      <c r="K52" s="24"/>
      <c r="L52" s="95">
        <v>50000</v>
      </c>
      <c r="M52" s="95">
        <v>50000</v>
      </c>
      <c r="N52" s="95">
        <v>50000</v>
      </c>
      <c r="O52" s="95">
        <f>50000+14750</f>
        <v>64750</v>
      </c>
      <c r="P52" s="24"/>
      <c r="Q52" s="24"/>
      <c r="R52" s="95">
        <v>50000</v>
      </c>
      <c r="S52" s="24"/>
      <c r="T52" s="95">
        <v>50000</v>
      </c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</row>
    <row r="53" spans="1:101" s="71" customFormat="1" x14ac:dyDescent="0.2">
      <c r="A53" s="69" t="s">
        <v>29</v>
      </c>
      <c r="B53" s="25" t="s">
        <v>55</v>
      </c>
      <c r="C53" s="70">
        <f>1250*A6</f>
        <v>94298.5</v>
      </c>
      <c r="D53" s="24"/>
      <c r="E53" s="144">
        <f>250*$A$6</f>
        <v>18859.7</v>
      </c>
      <c r="F53" s="24"/>
      <c r="G53" s="24"/>
      <c r="H53" s="95">
        <f>250*$A$6+500*A6</f>
        <v>56579.100000000006</v>
      </c>
      <c r="I53" s="24"/>
      <c r="J53" s="24"/>
      <c r="K53" s="24"/>
      <c r="L53" s="24"/>
      <c r="M53" s="24"/>
      <c r="N53" s="24"/>
      <c r="O53" s="95">
        <f>250*$A$6</f>
        <v>18859.7</v>
      </c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</row>
    <row r="54" spans="1:101" s="71" customFormat="1" x14ac:dyDescent="0.2">
      <c r="A54" s="69" t="s">
        <v>132</v>
      </c>
      <c r="B54" s="25" t="s">
        <v>133</v>
      </c>
      <c r="C54" s="70"/>
      <c r="D54" s="24"/>
      <c r="E54" s="148"/>
      <c r="F54" s="24"/>
      <c r="G54" s="24"/>
      <c r="H54" s="100">
        <v>40900</v>
      </c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</row>
    <row r="55" spans="1:101" s="71" customFormat="1" x14ac:dyDescent="0.2">
      <c r="A55" s="69" t="s">
        <v>124</v>
      </c>
      <c r="B55" s="25" t="s">
        <v>125</v>
      </c>
      <c r="C55" s="70"/>
      <c r="D55" s="24"/>
      <c r="E55" s="148"/>
      <c r="F55" s="28"/>
      <c r="G55" s="28"/>
      <c r="H55" s="28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100">
        <v>203210</v>
      </c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</row>
    <row r="56" spans="1:101" s="71" customFormat="1" x14ac:dyDescent="0.2">
      <c r="A56" s="69" t="s">
        <v>40</v>
      </c>
      <c r="B56" s="25" t="s">
        <v>44</v>
      </c>
      <c r="C56" s="70"/>
      <c r="D56" s="24"/>
      <c r="E56" s="146"/>
      <c r="F56" s="100">
        <v>2090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</row>
    <row r="57" spans="1:101" s="71" customFormat="1" x14ac:dyDescent="0.2">
      <c r="A57" s="69" t="s">
        <v>90</v>
      </c>
      <c r="B57" s="25" t="s">
        <v>91</v>
      </c>
      <c r="C57" s="70">
        <v>1012000</v>
      </c>
      <c r="D57" s="77"/>
      <c r="E57" s="148"/>
      <c r="F57" s="28"/>
      <c r="G57" s="28"/>
      <c r="H57" s="100">
        <v>1012000</v>
      </c>
      <c r="I57" s="28"/>
      <c r="J57" s="28"/>
      <c r="K57" s="28"/>
      <c r="L57" s="28"/>
      <c r="M57" s="28"/>
      <c r="N57" s="28"/>
      <c r="O57" s="100">
        <v>1012000</v>
      </c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</row>
    <row r="58" spans="1:101" s="71" customFormat="1" x14ac:dyDescent="0.2">
      <c r="A58" s="69" t="s">
        <v>102</v>
      </c>
      <c r="B58" s="25" t="s">
        <v>103</v>
      </c>
      <c r="C58" s="70"/>
      <c r="D58" s="77"/>
      <c r="E58" s="146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</row>
    <row r="59" spans="1:101" s="71" customFormat="1" x14ac:dyDescent="0.2">
      <c r="A59" s="132" t="s">
        <v>113</v>
      </c>
      <c r="B59" s="133" t="s">
        <v>114</v>
      </c>
      <c r="C59" s="70"/>
      <c r="D59" s="77"/>
      <c r="E59" s="148"/>
      <c r="F59" s="24"/>
      <c r="G59" s="28"/>
      <c r="H59" s="28"/>
      <c r="I59" s="28"/>
      <c r="J59" s="28"/>
      <c r="K59" s="28"/>
      <c r="L59" s="100">
        <v>346500</v>
      </c>
      <c r="M59" s="100">
        <v>693000</v>
      </c>
      <c r="N59" s="28"/>
      <c r="O59" s="24"/>
      <c r="P59" s="24"/>
      <c r="Q59" s="24"/>
      <c r="R59" s="24"/>
      <c r="S59" s="28"/>
      <c r="T59" s="28"/>
      <c r="U59" s="28"/>
      <c r="V59" s="28"/>
      <c r="W59" s="28"/>
      <c r="X59" s="28"/>
      <c r="Y59" s="28"/>
      <c r="Z59" s="28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</row>
    <row r="60" spans="1:101" s="71" customFormat="1" x14ac:dyDescent="0.2">
      <c r="A60" s="69" t="s">
        <v>34</v>
      </c>
      <c r="B60" s="25" t="s">
        <v>45</v>
      </c>
      <c r="C60" s="70">
        <f>1014000-100000-100000+400-50000-25000</f>
        <v>739400</v>
      </c>
      <c r="D60" s="77"/>
      <c r="E60" s="149">
        <v>25000</v>
      </c>
      <c r="F60" s="108">
        <f>10600+125000</f>
        <v>135600</v>
      </c>
      <c r="G60" s="28"/>
      <c r="H60" s="106">
        <v>75000</v>
      </c>
      <c r="I60" s="24"/>
      <c r="J60" s="24"/>
      <c r="K60" s="24"/>
      <c r="L60" s="24"/>
      <c r="M60" s="108">
        <v>75000</v>
      </c>
      <c r="N60" s="108">
        <v>400000</v>
      </c>
      <c r="O60" s="108">
        <v>53800</v>
      </c>
      <c r="P60" s="24"/>
      <c r="Q60" s="24"/>
      <c r="R60" s="24"/>
      <c r="S60" s="24"/>
      <c r="T60" s="24"/>
      <c r="U60" s="24"/>
      <c r="V60" s="24"/>
      <c r="W60" s="24"/>
      <c r="X60" s="24"/>
      <c r="Y60" s="24" t="s">
        <v>89</v>
      </c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</row>
    <row r="61" spans="1:101" s="71" customFormat="1" x14ac:dyDescent="0.2">
      <c r="A61" s="69" t="s">
        <v>128</v>
      </c>
      <c r="B61" s="25" t="s">
        <v>129</v>
      </c>
      <c r="C61" s="70"/>
      <c r="D61" s="77"/>
      <c r="E61" s="150"/>
      <c r="F61" s="28"/>
      <c r="G61" s="28"/>
      <c r="H61" s="28"/>
      <c r="I61" s="28"/>
      <c r="J61" s="28"/>
      <c r="K61" s="28"/>
      <c r="L61" s="28"/>
      <c r="M61" s="28"/>
      <c r="N61" s="28"/>
      <c r="O61" s="100">
        <v>17798.11</v>
      </c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</row>
    <row r="62" spans="1:101" s="71" customFormat="1" x14ac:dyDescent="0.2">
      <c r="A62" s="69" t="s">
        <v>101</v>
      </c>
      <c r="B62" s="25" t="s">
        <v>130</v>
      </c>
      <c r="C62" s="70"/>
      <c r="D62" s="77"/>
      <c r="E62" s="148"/>
      <c r="F62" s="24"/>
      <c r="G62" s="108">
        <v>120000</v>
      </c>
      <c r="H62" s="108">
        <v>25000</v>
      </c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</row>
    <row r="63" spans="1:101" s="71" customFormat="1" x14ac:dyDescent="0.2">
      <c r="A63" s="69" t="s">
        <v>134</v>
      </c>
      <c r="B63" s="25" t="s">
        <v>135</v>
      </c>
      <c r="C63" s="70"/>
      <c r="D63" s="77"/>
      <c r="E63" s="144">
        <v>3654</v>
      </c>
      <c r="F63" s="24"/>
      <c r="G63" s="28"/>
      <c r="H63" s="28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</row>
    <row r="64" spans="1:101" s="71" customFormat="1" x14ac:dyDescent="0.2">
      <c r="A64" s="69" t="s">
        <v>38</v>
      </c>
      <c r="B64" s="25" t="s">
        <v>39</v>
      </c>
      <c r="C64" s="70"/>
      <c r="D64" s="24"/>
      <c r="E64" s="24"/>
      <c r="F64" s="24"/>
      <c r="G64" s="100">
        <v>16800</v>
      </c>
      <c r="H64" s="100">
        <v>34850</v>
      </c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</row>
    <row r="65" spans="1:101" s="71" customFormat="1" x14ac:dyDescent="0.2">
      <c r="A65" s="69" t="s">
        <v>74</v>
      </c>
      <c r="B65" s="25" t="s">
        <v>131</v>
      </c>
      <c r="C65" s="70"/>
      <c r="D65" s="24"/>
      <c r="E65" s="28"/>
      <c r="F65" s="28"/>
      <c r="G65" s="28"/>
      <c r="H65" s="28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100">
        <v>22000</v>
      </c>
      <c r="Z65" s="24"/>
      <c r="AA65" s="24"/>
      <c r="AB65" s="100">
        <v>15000</v>
      </c>
      <c r="AC65" s="143">
        <v>40000</v>
      </c>
      <c r="AD65" s="100">
        <v>12500</v>
      </c>
      <c r="AE65" s="24"/>
      <c r="AF65" s="100">
        <v>20000</v>
      </c>
      <c r="AG65" s="24"/>
      <c r="AH65" s="100">
        <v>80000</v>
      </c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</row>
    <row r="66" spans="1:101" s="71" customFormat="1" x14ac:dyDescent="0.2">
      <c r="A66" s="69" t="s">
        <v>74</v>
      </c>
      <c r="B66" s="25" t="s">
        <v>83</v>
      </c>
      <c r="C66" s="70"/>
      <c r="D66" s="24"/>
      <c r="E66" s="24"/>
      <c r="F66" s="24"/>
      <c r="G66" s="24"/>
      <c r="H66" s="98">
        <v>10250</v>
      </c>
      <c r="I66" s="24"/>
      <c r="J66" s="24"/>
      <c r="K66" s="24"/>
      <c r="L66" s="24"/>
      <c r="M66" s="24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4"/>
      <c r="AD66" s="24"/>
      <c r="AE66" s="24"/>
      <c r="AF66" s="24"/>
      <c r="AG66" s="24"/>
      <c r="AH66" s="114">
        <v>3567700</v>
      </c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</row>
    <row r="67" spans="1:101" s="73" customFormat="1" ht="2.25" customHeight="1" x14ac:dyDescent="0.2">
      <c r="A67" s="78"/>
      <c r="B67" s="79"/>
      <c r="C67" s="75"/>
      <c r="D67" s="72"/>
      <c r="E67" s="72"/>
      <c r="F67" s="72" t="s">
        <v>89</v>
      </c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  <c r="CI67" s="72"/>
      <c r="CJ67" s="72"/>
      <c r="CK67" s="72"/>
      <c r="CL67" s="72"/>
      <c r="CM67" s="72"/>
      <c r="CN67" s="72"/>
      <c r="CO67" s="72"/>
      <c r="CP67" s="72"/>
      <c r="CQ67" s="72"/>
      <c r="CR67" s="72"/>
      <c r="CS67" s="72"/>
      <c r="CT67" s="72"/>
      <c r="CU67" s="72"/>
      <c r="CV67" s="72"/>
      <c r="CW67" s="72"/>
    </row>
    <row r="68" spans="1:101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/>
      <c r="BI68" s="93"/>
      <c r="BJ68" s="93"/>
      <c r="BK68" s="93"/>
      <c r="BL68" s="93"/>
      <c r="BM68" s="93"/>
      <c r="BN68" s="93"/>
      <c r="BO68" s="93"/>
      <c r="BP68" s="93"/>
      <c r="BQ68" s="93"/>
      <c r="BR68" s="93"/>
      <c r="BS68" s="93"/>
      <c r="BT68" s="93"/>
      <c r="BU68" s="93"/>
      <c r="BV68" s="93"/>
      <c r="BW68" s="93"/>
      <c r="BX68" s="93"/>
      <c r="BY68" s="93"/>
      <c r="BZ68" s="93"/>
      <c r="CA68" s="93"/>
      <c r="CB68" s="93"/>
      <c r="CC68" s="93"/>
      <c r="CD68" s="93"/>
      <c r="CE68" s="93"/>
      <c r="CF68" s="93"/>
      <c r="CG68" s="93"/>
      <c r="CH68" s="93"/>
      <c r="CI68" s="93"/>
      <c r="CJ68" s="93"/>
      <c r="CK68" s="93"/>
      <c r="CL68" s="93"/>
      <c r="CM68" s="93"/>
      <c r="CN68" s="93"/>
      <c r="CO68" s="93"/>
      <c r="CP68" s="93"/>
      <c r="CQ68" s="93"/>
      <c r="CR68" s="93"/>
      <c r="CS68" s="93"/>
      <c r="CT68" s="93"/>
      <c r="CU68" s="93"/>
      <c r="CV68" s="93"/>
      <c r="CW68" s="93"/>
    </row>
    <row r="69" spans="1:101" s="94" customFormat="1" ht="33.75" x14ac:dyDescent="0.2">
      <c r="A69" s="91" t="s">
        <v>60</v>
      </c>
      <c r="B69" s="92" t="s">
        <v>59</v>
      </c>
      <c r="C69" s="93">
        <v>0</v>
      </c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3"/>
      <c r="BI69" s="93"/>
      <c r="BJ69" s="93"/>
      <c r="BK69" s="93"/>
      <c r="BL69" s="93"/>
      <c r="BM69" s="93"/>
      <c r="BN69" s="93"/>
      <c r="BO69" s="93"/>
      <c r="BP69" s="93"/>
      <c r="BQ69" s="93"/>
      <c r="BR69" s="93"/>
      <c r="BS69" s="93"/>
      <c r="BT69" s="93"/>
      <c r="BU69" s="93"/>
      <c r="BV69" s="93"/>
      <c r="BW69" s="93"/>
      <c r="BX69" s="93"/>
      <c r="BY69" s="93"/>
      <c r="BZ69" s="93"/>
      <c r="CA69" s="93"/>
      <c r="CB69" s="93"/>
      <c r="CC69" s="93"/>
      <c r="CD69" s="93"/>
      <c r="CE69" s="93"/>
      <c r="CF69" s="93"/>
      <c r="CG69" s="93"/>
      <c r="CH69" s="93"/>
      <c r="CI69" s="93"/>
      <c r="CJ69" s="93"/>
      <c r="CK69" s="93"/>
      <c r="CL69" s="93"/>
      <c r="CM69" s="93"/>
      <c r="CN69" s="93"/>
      <c r="CO69" s="93"/>
      <c r="CP69" s="93"/>
      <c r="CQ69" s="93"/>
      <c r="CR69" s="93"/>
      <c r="CS69" s="93"/>
      <c r="CT69" s="93"/>
      <c r="CU69" s="93"/>
      <c r="CV69" s="93"/>
      <c r="CW69" s="93"/>
    </row>
    <row r="70" spans="1:101" s="5" customFormat="1" ht="2.25" customHeigh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</row>
    <row r="71" spans="1:101" s="5" customFormat="1" x14ac:dyDescent="0.2">
      <c r="A71" s="36" t="s">
        <v>49</v>
      </c>
      <c r="B71" s="12"/>
      <c r="C71" s="13"/>
      <c r="D71" s="26"/>
      <c r="E71" s="126">
        <f>1184471.02/0.77</f>
        <v>1538274.0519480519</v>
      </c>
      <c r="F71" s="13"/>
      <c r="H71" s="13"/>
      <c r="I71" s="13"/>
      <c r="J71" s="13"/>
      <c r="K71" s="13"/>
      <c r="L71" s="13"/>
      <c r="M71" s="13"/>
      <c r="N71" s="126">
        <f>(1369064.01)/0.77</f>
        <v>1778005.2077922078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</row>
    <row r="72" spans="1:101" s="5" customFormat="1" x14ac:dyDescent="0.2">
      <c r="A72" s="36" t="s">
        <v>57</v>
      </c>
      <c r="B72" s="12"/>
      <c r="C72" s="68"/>
      <c r="D72" s="26"/>
      <c r="F72" s="13"/>
      <c r="G72" s="13"/>
      <c r="H72" s="13"/>
      <c r="I72" s="13"/>
      <c r="J72" s="13"/>
      <c r="L72" s="13"/>
      <c r="M72" s="13"/>
      <c r="O72" s="139">
        <f>1749467.21/0.77</f>
        <v>2272035.3376623373</v>
      </c>
      <c r="P72" s="13"/>
      <c r="Q72" s="13"/>
      <c r="R72" s="139">
        <f>1933893.44/0.77</f>
        <v>2511549.9220779222</v>
      </c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</row>
    <row r="73" spans="1:101" s="5" customFormat="1" x14ac:dyDescent="0.2">
      <c r="A73" s="36" t="s">
        <v>61</v>
      </c>
      <c r="B73" s="12"/>
      <c r="C73" s="13">
        <v>112000</v>
      </c>
      <c r="D73" s="26"/>
      <c r="E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9">
        <v>390000</v>
      </c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</row>
    <row r="74" spans="1:101" s="5" customFormat="1" ht="2.25" customHeight="1" x14ac:dyDescent="0.2">
      <c r="A74" s="42"/>
      <c r="B74" s="12"/>
      <c r="C74" s="68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</row>
    <row r="75" spans="1:101" s="5" customFormat="1" x14ac:dyDescent="0.2">
      <c r="A75" s="36" t="s">
        <v>72</v>
      </c>
      <c r="B75" s="27" t="s">
        <v>73</v>
      </c>
      <c r="C75" s="62">
        <v>3637079.2460000003</v>
      </c>
      <c r="D75" s="35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</row>
    <row r="76" spans="1:101" s="5" customFormat="1" ht="2.25" customHeight="1" x14ac:dyDescent="0.2">
      <c r="A76" s="42"/>
      <c r="B76" s="12"/>
      <c r="C76" s="61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</row>
    <row r="77" spans="1:101" s="84" customFormat="1" x14ac:dyDescent="0.2">
      <c r="A77" s="81" t="s">
        <v>66</v>
      </c>
      <c r="B77" s="82"/>
      <c r="C77" s="63"/>
      <c r="D77" s="83"/>
      <c r="E77" s="83">
        <f>$C$5+E16-E26</f>
        <v>6967135.5380519489</v>
      </c>
      <c r="F77" s="83">
        <f t="shared" ref="F77:AJ77" si="7">E77+F16-F26</f>
        <v>6377991.6120519489</v>
      </c>
      <c r="G77" s="83">
        <f t="shared" si="7"/>
        <v>5678801.6860519489</v>
      </c>
      <c r="H77" s="83">
        <f t="shared" si="7"/>
        <v>3481645.7960519488</v>
      </c>
      <c r="I77" s="83">
        <f t="shared" si="7"/>
        <v>3481645.7960519488</v>
      </c>
      <c r="J77" s="83">
        <f t="shared" si="7"/>
        <v>3481645.7960519488</v>
      </c>
      <c r="K77" s="83">
        <f t="shared" si="7"/>
        <v>3481645.7960519488</v>
      </c>
      <c r="L77" s="83">
        <f t="shared" si="7"/>
        <v>2652552.0700519485</v>
      </c>
      <c r="M77" s="83">
        <f t="shared" si="7"/>
        <v>1026228.3100519485</v>
      </c>
      <c r="N77" s="83">
        <f t="shared" si="7"/>
        <v>6242733.7022597399</v>
      </c>
      <c r="O77" s="83">
        <f t="shared" si="7"/>
        <v>1584595.1289974023</v>
      </c>
      <c r="P77" s="83">
        <f t="shared" si="7"/>
        <v>1584595.1289974023</v>
      </c>
      <c r="Q77" s="83">
        <f t="shared" si="7"/>
        <v>1584595.1289974023</v>
      </c>
      <c r="R77" s="83">
        <f t="shared" si="7"/>
        <v>-1466973.0730805201</v>
      </c>
      <c r="S77" s="83">
        <f t="shared" si="7"/>
        <v>-1915327.3530805202</v>
      </c>
      <c r="T77" s="83">
        <f t="shared" si="7"/>
        <v>-2139396.6330805202</v>
      </c>
      <c r="U77" s="83">
        <f t="shared" si="7"/>
        <v>-2322666.6330805202</v>
      </c>
      <c r="V77" s="83">
        <f t="shared" si="7"/>
        <v>-3401807.8488805201</v>
      </c>
      <c r="W77" s="83">
        <f t="shared" si="7"/>
        <v>-3401807.8488805201</v>
      </c>
      <c r="X77" s="83">
        <f t="shared" si="7"/>
        <v>-3401807.8488805201</v>
      </c>
      <c r="Y77" s="83">
        <f t="shared" si="7"/>
        <v>-3423807.8488805201</v>
      </c>
      <c r="Z77" s="83">
        <f t="shared" si="7"/>
        <v>-3423807.8488805201</v>
      </c>
      <c r="AA77" s="83">
        <f t="shared" si="7"/>
        <v>-3423807.8488805201</v>
      </c>
      <c r="AB77" s="83">
        <f t="shared" si="7"/>
        <v>-7599183.1426138543</v>
      </c>
      <c r="AC77" s="83">
        <f t="shared" si="7"/>
        <v>-8846413.1426138543</v>
      </c>
      <c r="AD77" s="83">
        <f t="shared" si="7"/>
        <v>-8858913.1426138543</v>
      </c>
      <c r="AE77" s="83">
        <f t="shared" si="7"/>
        <v>-8858913.1426138543</v>
      </c>
      <c r="AF77" s="83">
        <f t="shared" si="7"/>
        <v>-9119088.1546138544</v>
      </c>
      <c r="AG77" s="83">
        <f t="shared" si="7"/>
        <v>-9119088.1546138544</v>
      </c>
      <c r="AH77" s="83">
        <f t="shared" si="7"/>
        <v>-12766788.154613854</v>
      </c>
      <c r="AI77" s="83">
        <f t="shared" si="7"/>
        <v>-13283018.154613854</v>
      </c>
      <c r="AJ77" s="83">
        <f t="shared" si="7"/>
        <v>-14029081.054613855</v>
      </c>
      <c r="AK77" s="83">
        <f t="shared" ref="AK77:BP77" si="8">AJ77+AK16-AK26</f>
        <v>-14029081.054613855</v>
      </c>
      <c r="AL77" s="83">
        <f t="shared" si="8"/>
        <v>-14029081.054613855</v>
      </c>
      <c r="AM77" s="83">
        <f t="shared" si="8"/>
        <v>-11316579.554613855</v>
      </c>
      <c r="AN77" s="83">
        <f t="shared" si="8"/>
        <v>-11316579.554613855</v>
      </c>
      <c r="AO77" s="83">
        <f t="shared" si="8"/>
        <v>-11316579.554613855</v>
      </c>
      <c r="AP77" s="83">
        <f t="shared" si="8"/>
        <v>-11316579.554613855</v>
      </c>
      <c r="AQ77" s="83">
        <f t="shared" si="8"/>
        <v>-11588085.554613855</v>
      </c>
      <c r="AR77" s="83">
        <f t="shared" si="8"/>
        <v>-11588085.554613855</v>
      </c>
      <c r="AS77" s="83">
        <f t="shared" si="8"/>
        <v>-11588085.554613855</v>
      </c>
      <c r="AT77" s="83">
        <f t="shared" si="8"/>
        <v>-11588085.554613855</v>
      </c>
      <c r="AU77" s="83">
        <f t="shared" si="8"/>
        <v>-11588085.554613855</v>
      </c>
      <c r="AV77" s="83">
        <f t="shared" si="8"/>
        <v>-11588085.554613855</v>
      </c>
      <c r="AW77" s="83">
        <f t="shared" si="8"/>
        <v>-3070921.1510138549</v>
      </c>
      <c r="AX77" s="83">
        <f t="shared" si="8"/>
        <v>-3070921.1510138549</v>
      </c>
      <c r="AY77" s="83">
        <f t="shared" si="8"/>
        <v>-3070921.1510138549</v>
      </c>
      <c r="AZ77" s="83">
        <f t="shared" si="8"/>
        <v>-3070921.1510138549</v>
      </c>
      <c r="BA77" s="83">
        <f t="shared" si="8"/>
        <v>-3070921.1510138549</v>
      </c>
      <c r="BB77" s="83">
        <f t="shared" si="8"/>
        <v>-3070921.1510138549</v>
      </c>
      <c r="BC77" s="83">
        <f t="shared" si="8"/>
        <v>-3070921.1510138549</v>
      </c>
      <c r="BD77" s="83">
        <f t="shared" si="8"/>
        <v>-3070921.1510138549</v>
      </c>
      <c r="BE77" s="83">
        <f t="shared" si="8"/>
        <v>-3070921.1510138549</v>
      </c>
      <c r="BF77" s="83">
        <f t="shared" si="8"/>
        <v>-3070921.1510138549</v>
      </c>
      <c r="BG77" s="83">
        <f t="shared" si="8"/>
        <v>-3070921.1510138549</v>
      </c>
      <c r="BH77" s="83">
        <f t="shared" si="8"/>
        <v>-3143515.2443471886</v>
      </c>
      <c r="BI77" s="83">
        <f t="shared" si="8"/>
        <v>-3143515.2443471886</v>
      </c>
      <c r="BJ77" s="83">
        <f t="shared" si="8"/>
        <v>-3143515.2443471886</v>
      </c>
      <c r="BK77" s="83">
        <f t="shared" si="8"/>
        <v>-3889578.1443471885</v>
      </c>
      <c r="BL77" s="83">
        <f t="shared" si="8"/>
        <v>-3889578.1443471885</v>
      </c>
      <c r="BM77" s="83">
        <f t="shared" si="8"/>
        <v>-3889578.1443471885</v>
      </c>
      <c r="BN77" s="83">
        <f t="shared" si="8"/>
        <v>-3889578.1443471885</v>
      </c>
      <c r="BO77" s="83">
        <f t="shared" si="8"/>
        <v>-3889578.1443471885</v>
      </c>
      <c r="BP77" s="83">
        <f t="shared" si="8"/>
        <v>-3889578.1443471885</v>
      </c>
      <c r="BQ77" s="83">
        <f t="shared" ref="BQ77:CW77" si="9">BP77+BQ16-BQ26</f>
        <v>-3889578.1443471885</v>
      </c>
      <c r="BR77" s="83">
        <f t="shared" si="9"/>
        <v>-3889578.1443471885</v>
      </c>
      <c r="BS77" s="83">
        <f t="shared" si="9"/>
        <v>-3889578.1443471885</v>
      </c>
      <c r="BT77" s="83">
        <f t="shared" si="9"/>
        <v>-3889578.1443471885</v>
      </c>
      <c r="BU77" s="83">
        <f t="shared" si="9"/>
        <v>-3889578.1443471885</v>
      </c>
      <c r="BV77" s="83">
        <f t="shared" si="9"/>
        <v>-4161084.1443471885</v>
      </c>
      <c r="BW77" s="83">
        <f t="shared" si="9"/>
        <v>-4161084.1443471885</v>
      </c>
      <c r="BX77" s="83">
        <f t="shared" si="9"/>
        <v>-4161084.1443471885</v>
      </c>
      <c r="BY77" s="83">
        <f t="shared" si="9"/>
        <v>-4161084.1443471885</v>
      </c>
      <c r="BZ77" s="83">
        <f t="shared" si="9"/>
        <v>-4161084.1443471885</v>
      </c>
      <c r="CA77" s="83">
        <f t="shared" si="9"/>
        <v>-4161084.1443471885</v>
      </c>
      <c r="CB77" s="83">
        <f t="shared" si="9"/>
        <v>-4161084.1443471885</v>
      </c>
      <c r="CC77" s="83">
        <f t="shared" si="9"/>
        <v>-4161084.1443471885</v>
      </c>
      <c r="CD77" s="83">
        <f t="shared" si="9"/>
        <v>-4161084.1443471885</v>
      </c>
      <c r="CE77" s="83">
        <f t="shared" si="9"/>
        <v>-4161084.1443471885</v>
      </c>
      <c r="CF77" s="83">
        <f t="shared" si="9"/>
        <v>-4161084.1443471885</v>
      </c>
      <c r="CG77" s="83">
        <f t="shared" si="9"/>
        <v>-4161084.1443471885</v>
      </c>
      <c r="CH77" s="83">
        <f t="shared" si="9"/>
        <v>-4161084.1443471885</v>
      </c>
      <c r="CI77" s="83">
        <f t="shared" si="9"/>
        <v>-4161084.1443471885</v>
      </c>
      <c r="CJ77" s="83">
        <f t="shared" si="9"/>
        <v>-4161084.1443471885</v>
      </c>
      <c r="CK77" s="83">
        <f t="shared" si="9"/>
        <v>-4161084.1443471885</v>
      </c>
      <c r="CL77" s="83">
        <f t="shared" si="9"/>
        <v>-4161084.1443471885</v>
      </c>
      <c r="CM77" s="83">
        <f t="shared" si="9"/>
        <v>-4161084.1443471885</v>
      </c>
      <c r="CN77" s="83">
        <f t="shared" si="9"/>
        <v>-4161084.1443471885</v>
      </c>
      <c r="CO77" s="83">
        <f t="shared" si="9"/>
        <v>-4161084.1443471885</v>
      </c>
      <c r="CP77" s="83">
        <f t="shared" si="9"/>
        <v>-4161084.1443471885</v>
      </c>
      <c r="CQ77" s="83">
        <f t="shared" si="9"/>
        <v>-4161084.1443471885</v>
      </c>
      <c r="CR77" s="83">
        <f t="shared" si="9"/>
        <v>-4161084.1443471885</v>
      </c>
      <c r="CS77" s="83">
        <f t="shared" si="9"/>
        <v>-4161084.1443471885</v>
      </c>
      <c r="CT77" s="83">
        <f t="shared" si="9"/>
        <v>-4161084.1443471885</v>
      </c>
      <c r="CU77" s="83">
        <f t="shared" si="9"/>
        <v>-4161084.1443471885</v>
      </c>
      <c r="CV77" s="83">
        <f t="shared" si="9"/>
        <v>-4161084.1443471885</v>
      </c>
      <c r="CW77" s="83">
        <f t="shared" si="9"/>
        <v>-4161084.1443471885</v>
      </c>
    </row>
    <row r="79" spans="1:101" s="5" customFormat="1" ht="2.25" customHeight="1" x14ac:dyDescent="0.2">
      <c r="A79" s="42"/>
      <c r="B79" s="12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</row>
    <row r="80" spans="1:101" s="89" customFormat="1" ht="11.25" customHeight="1" x14ac:dyDescent="0.2">
      <c r="A80" s="85" t="s">
        <v>65</v>
      </c>
      <c r="B80" s="86"/>
      <c r="C80" s="87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88"/>
      <c r="CU80" s="88"/>
      <c r="CV80" s="88"/>
      <c r="CW80" s="88"/>
    </row>
    <row r="81" spans="1:101" s="5" customFormat="1" ht="22.5" x14ac:dyDescent="0.2">
      <c r="A81" s="36" t="s">
        <v>67</v>
      </c>
      <c r="B81" s="27" t="s">
        <v>68</v>
      </c>
      <c r="C81" s="68">
        <v>3221210.79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</row>
    <row r="82" spans="1:101" s="5" customFormat="1" x14ac:dyDescent="0.2">
      <c r="A82" s="36" t="s">
        <v>69</v>
      </c>
      <c r="B82" s="27" t="s">
        <v>70</v>
      </c>
      <c r="C82" s="68">
        <v>9814338.4000000004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</row>
    <row r="83" spans="1:101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</row>
    <row r="84" spans="1:101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</row>
    <row r="86" spans="1:101" x14ac:dyDescent="0.25">
      <c r="B86" s="14"/>
    </row>
  </sheetData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B82"/>
  <sheetViews>
    <sheetView topLeftCell="A28" workbookViewId="0">
      <selection activeCell="C55" sqref="C55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8" width="10.85546875" style="3" bestFit="1" customWidth="1"/>
    <col min="9" max="9" width="11.7109375" style="3" bestFit="1" customWidth="1"/>
    <col min="10" max="18" width="10.85546875" style="3" bestFit="1" customWidth="1"/>
    <col min="19" max="19" width="11.7109375" style="3" bestFit="1" customWidth="1"/>
    <col min="20" max="33" width="10.85546875" style="3" bestFit="1" customWidth="1"/>
    <col min="34" max="34" width="14" style="3" customWidth="1"/>
    <col min="35" max="35" width="12.85546875" style="3" customWidth="1"/>
    <col min="36" max="36" width="14.28515625" style="3" customWidth="1"/>
    <col min="37" max="37" width="9.7109375" style="3" bestFit="1" customWidth="1"/>
    <col min="38" max="38" width="11" style="3" customWidth="1"/>
    <col min="39" max="39" width="11.85546875" style="3" customWidth="1"/>
    <col min="40" max="40" width="9" style="3"/>
    <col min="41" max="41" width="9.7109375" style="3" bestFit="1" customWidth="1"/>
    <col min="42" max="43" width="9" style="3"/>
    <col min="44" max="44" width="11.85546875" style="3" customWidth="1"/>
    <col min="45" max="47" width="9" style="3"/>
    <col min="48" max="48" width="11.5703125" style="3" customWidth="1"/>
    <col min="49" max="64" width="9" style="3"/>
    <col min="65" max="65" width="12" style="3" customWidth="1"/>
    <col min="66" max="66" width="11.140625" style="3" customWidth="1"/>
    <col min="67" max="67" width="10.28515625" style="3" customWidth="1"/>
    <col min="68" max="68" width="11.42578125" style="3" customWidth="1"/>
    <col min="69" max="78" width="9" style="3"/>
    <col min="79" max="79" width="12.42578125" style="3" customWidth="1"/>
    <col min="80" max="16384" width="9" style="3"/>
  </cols>
  <sheetData>
    <row r="1" spans="1:106" ht="12" thickBot="1" x14ac:dyDescent="0.3"/>
    <row r="2" spans="1:106" s="1" customFormat="1" x14ac:dyDescent="0.2">
      <c r="A2" s="43" t="s">
        <v>50</v>
      </c>
      <c r="B2" s="15" t="s">
        <v>27</v>
      </c>
      <c r="C2" s="50">
        <v>1683884.04</v>
      </c>
    </row>
    <row r="3" spans="1:106" s="1" customFormat="1" ht="12" thickBot="1" x14ac:dyDescent="0.25">
      <c r="A3" s="44">
        <v>87.777100000000004</v>
      </c>
      <c r="B3" s="15" t="s">
        <v>28</v>
      </c>
      <c r="C3" s="50">
        <v>10778.95</v>
      </c>
    </row>
    <row r="4" spans="1:106" s="8" customFormat="1" ht="12" thickBot="1" x14ac:dyDescent="0.25">
      <c r="A4" s="45"/>
      <c r="B4" s="15" t="s">
        <v>25</v>
      </c>
      <c r="C4" s="51">
        <v>0</v>
      </c>
    </row>
    <row r="5" spans="1:106" s="6" customFormat="1" x14ac:dyDescent="0.2">
      <c r="A5" s="43" t="s">
        <v>51</v>
      </c>
      <c r="B5" s="49" t="s">
        <v>26</v>
      </c>
      <c r="C5" s="52">
        <f>SUM(C2:C4)</f>
        <v>1694662.99</v>
      </c>
    </row>
    <row r="6" spans="1:106" s="6" customFormat="1" ht="12" thickBot="1" x14ac:dyDescent="0.25">
      <c r="A6" s="44">
        <v>74.880600000000001</v>
      </c>
      <c r="B6" s="16"/>
      <c r="C6" s="53"/>
      <c r="D6" s="17"/>
    </row>
    <row r="7" spans="1:106" s="6" customFormat="1" ht="12" thickBot="1" x14ac:dyDescent="0.25">
      <c r="A7" s="105" t="s">
        <v>51</v>
      </c>
      <c r="B7" s="18" t="s">
        <v>127</v>
      </c>
      <c r="C7" s="54">
        <f>SUM(E16:AJ16)</f>
        <v>15001106.0404</v>
      </c>
    </row>
    <row r="8" spans="1:106" x14ac:dyDescent="0.25">
      <c r="A8" s="43" t="s">
        <v>52</v>
      </c>
      <c r="B8" s="18" t="s">
        <v>126</v>
      </c>
      <c r="C8" s="54">
        <f>SUM(E25:AJ26)</f>
        <v>29363802.872013859</v>
      </c>
    </row>
    <row r="9" spans="1:106" ht="12" thickBot="1" x14ac:dyDescent="0.3">
      <c r="A9" s="44">
        <v>10.9535</v>
      </c>
      <c r="B9" s="19" t="s">
        <v>64</v>
      </c>
      <c r="C9" s="55">
        <f>C5+C7-C8-C11</f>
        <v>-22154249.35573386</v>
      </c>
    </row>
    <row r="10" spans="1:106" x14ac:dyDescent="0.25">
      <c r="A10" s="99" t="s">
        <v>80</v>
      </c>
      <c r="B10" s="18" t="s">
        <v>23</v>
      </c>
      <c r="C10" s="56">
        <f>C16</f>
        <v>0</v>
      </c>
    </row>
    <row r="11" spans="1:106" x14ac:dyDescent="0.25">
      <c r="A11" s="101" t="s">
        <v>87</v>
      </c>
      <c r="B11" s="18" t="s">
        <v>24</v>
      </c>
      <c r="C11" s="54">
        <f>C26</f>
        <v>9486215.5141200013</v>
      </c>
    </row>
    <row r="12" spans="1:106" x14ac:dyDescent="0.25">
      <c r="A12" s="107" t="s">
        <v>88</v>
      </c>
    </row>
    <row r="13" spans="1:106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106" s="2" customFormat="1" x14ac:dyDescent="0.25">
      <c r="A14" s="64"/>
      <c r="B14" s="65"/>
      <c r="C14" s="58" t="s">
        <v>56</v>
      </c>
      <c r="D14" s="66"/>
      <c r="E14" s="66">
        <v>46142</v>
      </c>
      <c r="F14" s="66">
        <v>46143</v>
      </c>
      <c r="G14" s="66">
        <v>46144</v>
      </c>
      <c r="H14" s="66">
        <v>46145</v>
      </c>
      <c r="I14" s="66">
        <v>46146</v>
      </c>
      <c r="J14" s="66">
        <v>46147</v>
      </c>
      <c r="K14" s="66">
        <v>46148</v>
      </c>
      <c r="L14" s="66">
        <v>46149</v>
      </c>
      <c r="M14" s="66">
        <v>46150</v>
      </c>
      <c r="N14" s="66">
        <v>46151</v>
      </c>
      <c r="O14" s="66">
        <v>46152</v>
      </c>
      <c r="P14" s="66">
        <v>46153</v>
      </c>
      <c r="Q14" s="66">
        <v>46154</v>
      </c>
      <c r="R14" s="66">
        <v>46155</v>
      </c>
      <c r="S14" s="66">
        <v>46156</v>
      </c>
      <c r="T14" s="66">
        <v>46157</v>
      </c>
      <c r="U14" s="66">
        <v>46158</v>
      </c>
      <c r="V14" s="66">
        <v>46159</v>
      </c>
      <c r="W14" s="66">
        <v>46160</v>
      </c>
      <c r="X14" s="66">
        <v>46161</v>
      </c>
      <c r="Y14" s="66">
        <v>46162</v>
      </c>
      <c r="Z14" s="66">
        <v>46163</v>
      </c>
      <c r="AA14" s="66">
        <v>46164</v>
      </c>
      <c r="AB14" s="66">
        <v>46165</v>
      </c>
      <c r="AC14" s="66">
        <v>46166</v>
      </c>
      <c r="AD14" s="66">
        <v>46167</v>
      </c>
      <c r="AE14" s="66">
        <v>46168</v>
      </c>
      <c r="AF14" s="66">
        <v>46169</v>
      </c>
      <c r="AG14" s="66">
        <v>46170</v>
      </c>
      <c r="AH14" s="66">
        <v>46171</v>
      </c>
      <c r="AI14" s="66">
        <v>46172</v>
      </c>
      <c r="AJ14" s="66">
        <v>46173</v>
      </c>
      <c r="AK14" s="66">
        <v>46174</v>
      </c>
      <c r="AL14" s="66">
        <v>46175</v>
      </c>
      <c r="AM14" s="66">
        <v>46176</v>
      </c>
      <c r="AN14" s="66">
        <v>46177</v>
      </c>
      <c r="AO14" s="66">
        <v>46178</v>
      </c>
      <c r="AP14" s="66">
        <v>46179</v>
      </c>
      <c r="AQ14" s="66">
        <v>46180</v>
      </c>
      <c r="AR14" s="66">
        <v>46181</v>
      </c>
      <c r="AS14" s="66">
        <v>46182</v>
      </c>
      <c r="AT14" s="66">
        <v>46183</v>
      </c>
      <c r="AU14" s="66">
        <v>46184</v>
      </c>
      <c r="AV14" s="66">
        <v>46185</v>
      </c>
      <c r="AW14" s="66">
        <v>46186</v>
      </c>
      <c r="AX14" s="66">
        <v>46187</v>
      </c>
      <c r="AY14" s="66">
        <v>46188</v>
      </c>
      <c r="AZ14" s="66">
        <v>46189</v>
      </c>
      <c r="BA14" s="66">
        <v>46190</v>
      </c>
      <c r="BB14" s="66">
        <v>46191</v>
      </c>
      <c r="BC14" s="66">
        <v>46192</v>
      </c>
      <c r="BD14" s="66">
        <v>46193</v>
      </c>
      <c r="BE14" s="66">
        <v>46194</v>
      </c>
      <c r="BF14" s="66">
        <v>46195</v>
      </c>
      <c r="BG14" s="66">
        <v>46196</v>
      </c>
      <c r="BH14" s="66">
        <v>46197</v>
      </c>
      <c r="BI14" s="66">
        <v>46198</v>
      </c>
      <c r="BJ14" s="66">
        <v>46199</v>
      </c>
      <c r="BK14" s="66">
        <v>46200</v>
      </c>
      <c r="BL14" s="66">
        <v>46201</v>
      </c>
      <c r="BM14" s="66">
        <v>46202</v>
      </c>
      <c r="BN14" s="66">
        <v>46203</v>
      </c>
      <c r="BO14" s="66">
        <v>46204</v>
      </c>
      <c r="BP14" s="66">
        <v>46205</v>
      </c>
      <c r="BQ14" s="66">
        <v>46206</v>
      </c>
      <c r="BR14" s="66">
        <v>46207</v>
      </c>
      <c r="BS14" s="66">
        <v>46208</v>
      </c>
      <c r="BT14" s="66">
        <v>46209</v>
      </c>
      <c r="BU14" s="66">
        <v>46210</v>
      </c>
      <c r="BV14" s="66">
        <v>46211</v>
      </c>
      <c r="BW14" s="66">
        <v>46212</v>
      </c>
      <c r="BX14" s="66">
        <v>46213</v>
      </c>
      <c r="BY14" s="66">
        <v>46214</v>
      </c>
      <c r="BZ14" s="66">
        <v>46215</v>
      </c>
      <c r="CA14" s="66">
        <v>46216</v>
      </c>
      <c r="CB14" s="66">
        <v>46217</v>
      </c>
      <c r="CC14" s="66">
        <v>46218</v>
      </c>
      <c r="CD14" s="66">
        <v>46219</v>
      </c>
      <c r="CE14" s="66">
        <v>46220</v>
      </c>
      <c r="CF14" s="66">
        <v>46221</v>
      </c>
      <c r="CG14" s="66">
        <v>46222</v>
      </c>
      <c r="CH14" s="66">
        <v>46223</v>
      </c>
      <c r="CI14" s="66">
        <v>46224</v>
      </c>
      <c r="CJ14" s="66">
        <v>46225</v>
      </c>
      <c r="CK14" s="66">
        <v>46226</v>
      </c>
      <c r="CL14" s="66">
        <v>46227</v>
      </c>
      <c r="CM14" s="66">
        <v>46228</v>
      </c>
      <c r="CN14" s="66">
        <v>46229</v>
      </c>
      <c r="CO14" s="66">
        <v>46230</v>
      </c>
      <c r="CP14" s="66">
        <v>46231</v>
      </c>
      <c r="CQ14" s="66">
        <v>46232</v>
      </c>
      <c r="CR14" s="66">
        <v>46233</v>
      </c>
      <c r="CS14" s="66">
        <v>46234</v>
      </c>
      <c r="CT14" s="66">
        <v>46235</v>
      </c>
      <c r="CU14" s="66">
        <v>46236</v>
      </c>
      <c r="CV14" s="66">
        <v>46237</v>
      </c>
      <c r="CW14" s="66">
        <v>46238</v>
      </c>
      <c r="CX14" s="66">
        <v>46239</v>
      </c>
      <c r="CY14" s="66">
        <v>46240</v>
      </c>
      <c r="CZ14" s="66">
        <v>46241</v>
      </c>
      <c r="DA14" s="66">
        <v>46242</v>
      </c>
      <c r="DB14" s="66">
        <v>46243</v>
      </c>
    </row>
    <row r="15" spans="1:106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</row>
    <row r="16" spans="1:106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N16" si="0">SUM(E17:E25)</f>
        <v>0</v>
      </c>
      <c r="F16" s="135">
        <f t="shared" si="0"/>
        <v>0</v>
      </c>
      <c r="G16" s="135">
        <f t="shared" si="0"/>
        <v>0</v>
      </c>
      <c r="H16" s="135">
        <f t="shared" si="0"/>
        <v>0</v>
      </c>
      <c r="I16" s="29">
        <f t="shared" si="0"/>
        <v>7037500</v>
      </c>
      <c r="J16" s="29">
        <f t="shared" si="0"/>
        <v>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135">
        <f t="shared" si="0"/>
        <v>0</v>
      </c>
      <c r="O16" s="135">
        <f>SUM(O17:O25)</f>
        <v>0</v>
      </c>
      <c r="P16" s="135">
        <f t="shared" ref="P16:CA16" si="1">SUM(P17:P25)</f>
        <v>0</v>
      </c>
      <c r="Q16" s="29">
        <f t="shared" si="1"/>
        <v>0</v>
      </c>
      <c r="R16" s="29">
        <f t="shared" si="1"/>
        <v>0</v>
      </c>
      <c r="S16" s="29">
        <f t="shared" si="1"/>
        <v>7882500</v>
      </c>
      <c r="T16" s="29">
        <f t="shared" si="1"/>
        <v>0</v>
      </c>
      <c r="U16" s="135">
        <f t="shared" si="1"/>
        <v>0</v>
      </c>
      <c r="V16" s="135">
        <f t="shared" si="1"/>
        <v>0</v>
      </c>
      <c r="W16" s="29">
        <f t="shared" si="1"/>
        <v>0</v>
      </c>
      <c r="X16" s="29">
        <f t="shared" si="1"/>
        <v>0</v>
      </c>
      <c r="Y16" s="29">
        <f t="shared" si="1"/>
        <v>0</v>
      </c>
      <c r="Z16" s="29">
        <f t="shared" si="1"/>
        <v>0</v>
      </c>
      <c r="AA16" s="29">
        <f t="shared" si="1"/>
        <v>0</v>
      </c>
      <c r="AB16" s="135">
        <f t="shared" si="1"/>
        <v>0</v>
      </c>
      <c r="AC16" s="135">
        <f t="shared" si="1"/>
        <v>0</v>
      </c>
      <c r="AD16" s="29">
        <f t="shared" si="1"/>
        <v>0</v>
      </c>
      <c r="AE16" s="29">
        <f t="shared" si="1"/>
        <v>0</v>
      </c>
      <c r="AF16" s="29">
        <f t="shared" si="1"/>
        <v>0</v>
      </c>
      <c r="AG16" s="29">
        <f t="shared" si="1"/>
        <v>81106.040399999998</v>
      </c>
      <c r="AH16" s="29">
        <f t="shared" si="1"/>
        <v>0</v>
      </c>
      <c r="AI16" s="135">
        <f t="shared" si="1"/>
        <v>0</v>
      </c>
      <c r="AJ16" s="135">
        <f t="shared" si="1"/>
        <v>0</v>
      </c>
      <c r="AK16" s="29">
        <f t="shared" si="1"/>
        <v>0</v>
      </c>
      <c r="AL16" s="29">
        <f t="shared" si="1"/>
        <v>0</v>
      </c>
      <c r="AM16" s="29">
        <f t="shared" si="1"/>
        <v>8602287.4656499997</v>
      </c>
      <c r="AN16" s="29">
        <f t="shared" si="1"/>
        <v>0</v>
      </c>
      <c r="AO16" s="29">
        <f t="shared" si="1"/>
        <v>0</v>
      </c>
      <c r="AP16" s="135">
        <f t="shared" si="1"/>
        <v>0</v>
      </c>
      <c r="AQ16" s="135">
        <f t="shared" si="1"/>
        <v>0</v>
      </c>
      <c r="AR16" s="29">
        <f t="shared" si="1"/>
        <v>3072198.5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135">
        <f t="shared" si="1"/>
        <v>0</v>
      </c>
      <c r="AX16" s="135">
        <f t="shared" si="1"/>
        <v>0</v>
      </c>
      <c r="AY16" s="29">
        <f t="shared" si="1"/>
        <v>0</v>
      </c>
      <c r="AZ16" s="29">
        <f t="shared" si="1"/>
        <v>0</v>
      </c>
      <c r="BA16" s="29">
        <f t="shared" si="1"/>
        <v>0</v>
      </c>
      <c r="BB16" s="29">
        <f t="shared" si="1"/>
        <v>0</v>
      </c>
      <c r="BC16" s="29">
        <f t="shared" si="1"/>
        <v>0</v>
      </c>
      <c r="BD16" s="135">
        <f t="shared" si="1"/>
        <v>0</v>
      </c>
      <c r="BE16" s="135">
        <f t="shared" si="1"/>
        <v>0</v>
      </c>
      <c r="BF16" s="29">
        <f t="shared" si="1"/>
        <v>0</v>
      </c>
      <c r="BG16" s="29">
        <f t="shared" si="1"/>
        <v>0</v>
      </c>
      <c r="BH16" s="29">
        <f t="shared" si="1"/>
        <v>0</v>
      </c>
      <c r="BI16" s="29">
        <f t="shared" si="1"/>
        <v>0</v>
      </c>
      <c r="BJ16" s="29">
        <f t="shared" si="1"/>
        <v>0</v>
      </c>
      <c r="BK16" s="135">
        <f t="shared" si="1"/>
        <v>0</v>
      </c>
      <c r="BL16" s="135">
        <f t="shared" si="1"/>
        <v>0</v>
      </c>
      <c r="BM16" s="29">
        <f t="shared" si="1"/>
        <v>3124864.7600000002</v>
      </c>
      <c r="BN16" s="29">
        <f t="shared" si="1"/>
        <v>0</v>
      </c>
      <c r="BO16" s="29">
        <f t="shared" si="1"/>
        <v>0</v>
      </c>
      <c r="BP16" s="29">
        <f t="shared" si="1"/>
        <v>0</v>
      </c>
      <c r="BQ16" s="29">
        <f t="shared" si="1"/>
        <v>0</v>
      </c>
      <c r="BR16" s="135">
        <f t="shared" si="1"/>
        <v>0</v>
      </c>
      <c r="BS16" s="135">
        <f t="shared" si="1"/>
        <v>0</v>
      </c>
      <c r="BT16" s="29">
        <f t="shared" si="1"/>
        <v>0</v>
      </c>
      <c r="BU16" s="29">
        <f t="shared" si="1"/>
        <v>0</v>
      </c>
      <c r="BV16" s="29">
        <f t="shared" si="1"/>
        <v>0</v>
      </c>
      <c r="BW16" s="29">
        <f t="shared" si="1"/>
        <v>0</v>
      </c>
      <c r="BX16" s="29">
        <f t="shared" si="1"/>
        <v>0</v>
      </c>
      <c r="BY16" s="135">
        <f t="shared" si="1"/>
        <v>0</v>
      </c>
      <c r="BZ16" s="135">
        <f t="shared" si="1"/>
        <v>0</v>
      </c>
      <c r="CA16" s="29">
        <f t="shared" si="1"/>
        <v>0</v>
      </c>
      <c r="CB16" s="29">
        <f t="shared" ref="CB16:CE16" si="2">SUM(CB17:CB25)</f>
        <v>0</v>
      </c>
      <c r="CC16" s="29">
        <f t="shared" si="2"/>
        <v>0</v>
      </c>
      <c r="CD16" s="29">
        <f t="shared" si="2"/>
        <v>0</v>
      </c>
      <c r="CE16" s="29">
        <f t="shared" si="2"/>
        <v>0</v>
      </c>
      <c r="CF16" s="29">
        <f t="shared" ref="CF16:DB16" si="3">SUM(CF17:CF25)</f>
        <v>0</v>
      </c>
      <c r="CG16" s="29">
        <f t="shared" si="3"/>
        <v>0</v>
      </c>
      <c r="CH16" s="29">
        <f t="shared" si="3"/>
        <v>0</v>
      </c>
      <c r="CI16" s="29">
        <f t="shared" si="3"/>
        <v>0</v>
      </c>
      <c r="CJ16" s="29">
        <f t="shared" si="3"/>
        <v>0</v>
      </c>
      <c r="CK16" s="29">
        <f t="shared" si="3"/>
        <v>0</v>
      </c>
      <c r="CL16" s="29">
        <f t="shared" si="3"/>
        <v>0</v>
      </c>
      <c r="CM16" s="29">
        <f t="shared" si="3"/>
        <v>0</v>
      </c>
      <c r="CN16" s="29">
        <f t="shared" si="3"/>
        <v>0</v>
      </c>
      <c r="CO16" s="29">
        <f t="shared" si="3"/>
        <v>0</v>
      </c>
      <c r="CP16" s="29">
        <f t="shared" si="3"/>
        <v>0</v>
      </c>
      <c r="CQ16" s="29">
        <f t="shared" si="3"/>
        <v>0</v>
      </c>
      <c r="CR16" s="29">
        <f t="shared" si="3"/>
        <v>0</v>
      </c>
      <c r="CS16" s="29">
        <f t="shared" si="3"/>
        <v>0</v>
      </c>
      <c r="CT16" s="29">
        <f t="shared" si="3"/>
        <v>0</v>
      </c>
      <c r="CU16" s="29">
        <f t="shared" si="3"/>
        <v>0</v>
      </c>
      <c r="CV16" s="29">
        <f t="shared" si="3"/>
        <v>0</v>
      </c>
      <c r="CW16" s="29">
        <f t="shared" si="3"/>
        <v>0</v>
      </c>
      <c r="CX16" s="29">
        <f t="shared" si="3"/>
        <v>0</v>
      </c>
      <c r="CY16" s="29">
        <f t="shared" si="3"/>
        <v>0</v>
      </c>
      <c r="CZ16" s="29">
        <f t="shared" si="3"/>
        <v>0</v>
      </c>
      <c r="DA16" s="29">
        <f t="shared" si="3"/>
        <v>0</v>
      </c>
      <c r="DB16" s="29">
        <f t="shared" si="3"/>
        <v>0</v>
      </c>
    </row>
    <row r="17" spans="1:106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</row>
    <row r="18" spans="1:106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</row>
    <row r="19" spans="1:106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</row>
    <row r="20" spans="1:106" s="80" customFormat="1" ht="13.5" customHeigh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>
        <v>7037500</v>
      </c>
      <c r="J20" s="30"/>
      <c r="K20" s="30"/>
      <c r="L20" s="30"/>
      <c r="M20" s="30"/>
      <c r="N20" s="30"/>
      <c r="O20" s="30"/>
      <c r="P20" s="30"/>
      <c r="Q20" s="30"/>
      <c r="R20" s="30"/>
      <c r="S20" s="30">
        <v>7882500</v>
      </c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</row>
    <row r="21" spans="1:106" s="80" customFormat="1" ht="13.5" customHeigh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>
        <f>924*A3</f>
        <v>81106.040399999998</v>
      </c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</row>
    <row r="22" spans="1:106" s="80" customFormat="1" ht="13.5" customHeigh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</row>
    <row r="23" spans="1:106" s="80" customFormat="1" ht="12" customHeigh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>
        <f>98001.5*A3</f>
        <v>8602287.4656499997</v>
      </c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</row>
    <row r="24" spans="1:106" s="80" customFormat="1" ht="10.5" customHeigh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>
        <f>35000*A3</f>
        <v>3072198.5</v>
      </c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>
        <f>35600*A3</f>
        <v>3124864.7600000002</v>
      </c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</row>
    <row r="25" spans="1:106" ht="3" customHeight="1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</row>
    <row r="26" spans="1:106" s="4" customFormat="1" x14ac:dyDescent="0.2">
      <c r="A26" s="41" t="s">
        <v>1</v>
      </c>
      <c r="B26" s="22"/>
      <c r="C26" s="34">
        <f>SUM(C28:C71)</f>
        <v>9486215.5141200013</v>
      </c>
      <c r="D26" s="34"/>
      <c r="E26" s="34">
        <f t="shared" ref="E26:BO26" si="4">SUM(E27:E72)</f>
        <v>97464.18</v>
      </c>
      <c r="F26" s="34">
        <f t="shared" si="4"/>
        <v>0</v>
      </c>
      <c r="G26" s="34">
        <f t="shared" si="4"/>
        <v>0</v>
      </c>
      <c r="H26" s="34">
        <f t="shared" si="4"/>
        <v>0</v>
      </c>
      <c r="I26" s="34">
        <f t="shared" si="4"/>
        <v>1048629.115</v>
      </c>
      <c r="J26" s="34">
        <f t="shared" si="4"/>
        <v>2026529.138948052</v>
      </c>
      <c r="K26" s="34">
        <f t="shared" si="4"/>
        <v>688618.68700000003</v>
      </c>
      <c r="L26" s="34">
        <f t="shared" si="4"/>
        <v>2339755.9947922081</v>
      </c>
      <c r="M26" s="34">
        <f t="shared" si="4"/>
        <v>1523844.29</v>
      </c>
      <c r="N26" s="34">
        <f t="shared" si="4"/>
        <v>0</v>
      </c>
      <c r="O26" s="34">
        <f t="shared" si="4"/>
        <v>360000</v>
      </c>
      <c r="P26" s="34">
        <f t="shared" si="4"/>
        <v>0</v>
      </c>
      <c r="Q26" s="34">
        <f t="shared" si="4"/>
        <v>596500</v>
      </c>
      <c r="R26" s="34">
        <f t="shared" si="4"/>
        <v>1416983.3</v>
      </c>
      <c r="S26" s="34">
        <f t="shared" si="4"/>
        <v>887710.3</v>
      </c>
      <c r="T26" s="34">
        <f t="shared" si="4"/>
        <v>4332063.7948623374</v>
      </c>
      <c r="U26" s="34">
        <f t="shared" si="4"/>
        <v>0</v>
      </c>
      <c r="V26" s="34">
        <f t="shared" si="4"/>
        <v>0</v>
      </c>
      <c r="W26" s="34">
        <f t="shared" si="4"/>
        <v>2855284.282077922</v>
      </c>
      <c r="X26" s="34">
        <f t="shared" si="4"/>
        <v>698053.36</v>
      </c>
      <c r="Y26" s="34">
        <f t="shared" si="4"/>
        <v>173734.36</v>
      </c>
      <c r="Z26" s="34">
        <f t="shared" si="4"/>
        <v>222582.315</v>
      </c>
      <c r="AA26" s="34">
        <f t="shared" si="4"/>
        <v>1078838.4210000001</v>
      </c>
      <c r="AB26" s="34">
        <f t="shared" si="4"/>
        <v>0</v>
      </c>
      <c r="AC26" s="34">
        <f t="shared" si="4"/>
        <v>0</v>
      </c>
      <c r="AD26" s="34">
        <f t="shared" si="4"/>
        <v>0</v>
      </c>
      <c r="AE26" s="34">
        <f t="shared" si="4"/>
        <v>0</v>
      </c>
      <c r="AF26" s="34">
        <f t="shared" si="4"/>
        <v>0</v>
      </c>
      <c r="AG26" s="34">
        <f t="shared" si="4"/>
        <v>4242281.333333334</v>
      </c>
      <c r="AH26" s="34">
        <f t="shared" si="4"/>
        <v>4774930</v>
      </c>
      <c r="AI26" s="34">
        <f t="shared" si="4"/>
        <v>0</v>
      </c>
      <c r="AJ26" s="34">
        <f t="shared" si="4"/>
        <v>0</v>
      </c>
      <c r="AK26" s="34">
        <f t="shared" si="4"/>
        <v>203210</v>
      </c>
      <c r="AL26" s="34">
        <f t="shared" si="4"/>
        <v>0</v>
      </c>
      <c r="AM26" s="34">
        <f t="shared" si="4"/>
        <v>0</v>
      </c>
      <c r="AN26" s="34">
        <f t="shared" si="4"/>
        <v>0</v>
      </c>
      <c r="AO26" s="34">
        <f t="shared" si="4"/>
        <v>746062.9</v>
      </c>
      <c r="AP26" s="34">
        <f t="shared" si="4"/>
        <v>0</v>
      </c>
      <c r="AQ26" s="34">
        <f t="shared" si="4"/>
        <v>0</v>
      </c>
      <c r="AR26" s="34">
        <f t="shared" si="4"/>
        <v>390000</v>
      </c>
      <c r="AS26" s="34">
        <f t="shared" si="4"/>
        <v>0</v>
      </c>
      <c r="AT26" s="34">
        <f t="shared" si="4"/>
        <v>0</v>
      </c>
      <c r="AU26" s="34">
        <f t="shared" si="4"/>
        <v>0</v>
      </c>
      <c r="AV26" s="34">
        <f t="shared" si="4"/>
        <v>271506</v>
      </c>
      <c r="AW26" s="34">
        <f t="shared" si="4"/>
        <v>0</v>
      </c>
      <c r="AX26" s="34">
        <f t="shared" si="4"/>
        <v>0</v>
      </c>
      <c r="AY26" s="34">
        <f t="shared" si="4"/>
        <v>0</v>
      </c>
      <c r="AZ26" s="34">
        <f t="shared" si="4"/>
        <v>0</v>
      </c>
      <c r="BA26" s="34">
        <f t="shared" si="4"/>
        <v>0</v>
      </c>
      <c r="BB26" s="34">
        <f t="shared" si="4"/>
        <v>0</v>
      </c>
      <c r="BC26" s="34">
        <f t="shared" si="4"/>
        <v>0</v>
      </c>
      <c r="BD26" s="34">
        <f t="shared" si="4"/>
        <v>0</v>
      </c>
      <c r="BE26" s="34">
        <f t="shared" si="4"/>
        <v>0</v>
      </c>
      <c r="BF26" s="34">
        <f t="shared" si="4"/>
        <v>0</v>
      </c>
      <c r="BG26" s="34">
        <f t="shared" si="4"/>
        <v>0</v>
      </c>
      <c r="BH26" s="34">
        <f t="shared" si="4"/>
        <v>0</v>
      </c>
      <c r="BI26" s="34">
        <f t="shared" si="4"/>
        <v>0</v>
      </c>
      <c r="BJ26" s="34">
        <f t="shared" si="4"/>
        <v>0</v>
      </c>
      <c r="BK26" s="34">
        <f t="shared" si="4"/>
        <v>0</v>
      </c>
      <c r="BL26" s="34">
        <f t="shared" si="4"/>
        <v>0</v>
      </c>
      <c r="BM26" s="34">
        <f t="shared" si="4"/>
        <v>3228281.3333333335</v>
      </c>
      <c r="BN26" s="34">
        <f t="shared" si="4"/>
        <v>0</v>
      </c>
      <c r="BO26" s="34">
        <f t="shared" si="4"/>
        <v>0</v>
      </c>
      <c r="BP26" s="34">
        <f t="shared" ref="BP26:CE26" si="5">SUM(BP27:BP72)</f>
        <v>746062.9</v>
      </c>
      <c r="BQ26" s="34">
        <f t="shared" si="5"/>
        <v>0</v>
      </c>
      <c r="BR26" s="34">
        <f t="shared" si="5"/>
        <v>0</v>
      </c>
      <c r="BS26" s="34">
        <f t="shared" si="5"/>
        <v>0</v>
      </c>
      <c r="BT26" s="34">
        <f t="shared" si="5"/>
        <v>0</v>
      </c>
      <c r="BU26" s="34">
        <f t="shared" si="5"/>
        <v>0</v>
      </c>
      <c r="BV26" s="34">
        <f t="shared" si="5"/>
        <v>0</v>
      </c>
      <c r="BW26" s="34">
        <f t="shared" si="5"/>
        <v>0</v>
      </c>
      <c r="BX26" s="34">
        <f t="shared" si="5"/>
        <v>0</v>
      </c>
      <c r="BY26" s="34">
        <f t="shared" si="5"/>
        <v>0</v>
      </c>
      <c r="BZ26" s="34">
        <f t="shared" si="5"/>
        <v>0</v>
      </c>
      <c r="CA26" s="34">
        <f t="shared" si="5"/>
        <v>271506</v>
      </c>
      <c r="CB26" s="34">
        <f t="shared" si="5"/>
        <v>0</v>
      </c>
      <c r="CC26" s="34">
        <f t="shared" si="5"/>
        <v>0</v>
      </c>
      <c r="CD26" s="34">
        <f t="shared" si="5"/>
        <v>0</v>
      </c>
      <c r="CE26" s="34">
        <f t="shared" si="5"/>
        <v>0</v>
      </c>
      <c r="CF26" s="34">
        <f t="shared" ref="CF26:DB26" si="6">SUM(CF27:CF72)</f>
        <v>0</v>
      </c>
      <c r="CG26" s="34">
        <f t="shared" si="6"/>
        <v>0</v>
      </c>
      <c r="CH26" s="34">
        <f t="shared" si="6"/>
        <v>0</v>
      </c>
      <c r="CI26" s="34">
        <f t="shared" si="6"/>
        <v>0</v>
      </c>
      <c r="CJ26" s="34">
        <f t="shared" si="6"/>
        <v>0</v>
      </c>
      <c r="CK26" s="34">
        <f t="shared" si="6"/>
        <v>0</v>
      </c>
      <c r="CL26" s="34">
        <f t="shared" si="6"/>
        <v>0</v>
      </c>
      <c r="CM26" s="34">
        <f t="shared" si="6"/>
        <v>0</v>
      </c>
      <c r="CN26" s="34">
        <f t="shared" si="6"/>
        <v>0</v>
      </c>
      <c r="CO26" s="34">
        <f t="shared" si="6"/>
        <v>0</v>
      </c>
      <c r="CP26" s="34">
        <f t="shared" si="6"/>
        <v>0</v>
      </c>
      <c r="CQ26" s="34">
        <f t="shared" si="6"/>
        <v>0</v>
      </c>
      <c r="CR26" s="34">
        <f t="shared" si="6"/>
        <v>0</v>
      </c>
      <c r="CS26" s="34">
        <f t="shared" si="6"/>
        <v>0</v>
      </c>
      <c r="CT26" s="34">
        <f t="shared" si="6"/>
        <v>0</v>
      </c>
      <c r="CU26" s="34">
        <f t="shared" si="6"/>
        <v>0</v>
      </c>
      <c r="CV26" s="34">
        <f t="shared" si="6"/>
        <v>0</v>
      </c>
      <c r="CW26" s="34">
        <f t="shared" si="6"/>
        <v>0</v>
      </c>
      <c r="CX26" s="34">
        <f t="shared" si="6"/>
        <v>0</v>
      </c>
      <c r="CY26" s="34">
        <f t="shared" si="6"/>
        <v>0</v>
      </c>
      <c r="CZ26" s="34">
        <f t="shared" si="6"/>
        <v>0</v>
      </c>
      <c r="DA26" s="34">
        <f t="shared" si="6"/>
        <v>0</v>
      </c>
      <c r="DB26" s="34">
        <f t="shared" si="6"/>
        <v>0</v>
      </c>
    </row>
    <row r="27" spans="1:106" ht="3" customHeight="1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</row>
    <row r="28" spans="1:106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</row>
    <row r="29" spans="1:106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</row>
    <row r="30" spans="1:106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>
        <f>8399365/3</f>
        <v>2799788.3333333335</v>
      </c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>
        <f>8399365/3</f>
        <v>2799788.3333333335</v>
      </c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</row>
    <row r="31" spans="1:106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90">
        <f>291375+137118</f>
        <v>428493</v>
      </c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90">
        <f>291375+137118</f>
        <v>428493</v>
      </c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</row>
    <row r="32" spans="1:106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/>
      <c r="I32" s="24">
        <v>420000</v>
      </c>
      <c r="J32" s="24"/>
      <c r="K32" s="24"/>
      <c r="L32" s="24"/>
      <c r="M32" s="24"/>
      <c r="N32" s="24"/>
      <c r="O32" s="24">
        <v>360000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</row>
    <row r="33" spans="1:106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>
        <v>271506</v>
      </c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>
        <v>271506</v>
      </c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>
        <v>271506</v>
      </c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</row>
    <row r="34" spans="1:106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J34" s="24"/>
      <c r="K34" s="24">
        <v>100113.9</v>
      </c>
      <c r="L34" s="24"/>
      <c r="M34" s="24"/>
      <c r="N34" s="24"/>
      <c r="O34" s="24"/>
      <c r="P34" s="24"/>
      <c r="Q34" s="24">
        <v>100000</v>
      </c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</row>
    <row r="35" spans="1:106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>
        <v>200113.9</v>
      </c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>
        <v>200113.9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</row>
    <row r="36" spans="1:106" s="1" customFormat="1" x14ac:dyDescent="0.2">
      <c r="A36" s="36" t="s">
        <v>53</v>
      </c>
      <c r="B36" s="23"/>
      <c r="C36" s="60"/>
      <c r="D36" s="24"/>
      <c r="E36" s="24"/>
      <c r="G36" s="24"/>
      <c r="H36" s="24"/>
      <c r="J36" s="24"/>
      <c r="K36" s="24"/>
      <c r="L36" s="24"/>
      <c r="M36" s="24">
        <v>145949</v>
      </c>
      <c r="N36" s="24"/>
      <c r="O36" s="24"/>
      <c r="P36" s="24"/>
      <c r="Q36" s="24">
        <v>100000</v>
      </c>
      <c r="R36" s="24">
        <v>100000</v>
      </c>
      <c r="S36" s="24">
        <v>100000</v>
      </c>
      <c r="T36" s="24">
        <v>100000</v>
      </c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>
        <v>545949</v>
      </c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>
        <v>545949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</row>
    <row r="37" spans="1:106" s="1" customFormat="1" ht="11.25" customHeigh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</row>
    <row r="38" spans="1:106" s="71" customFormat="1" x14ac:dyDescent="0.2">
      <c r="A38" s="69" t="s">
        <v>14</v>
      </c>
      <c r="B38" s="25" t="s">
        <v>30</v>
      </c>
      <c r="C38" s="70"/>
      <c r="D38" s="24"/>
      <c r="E38" s="24"/>
      <c r="G38" s="24"/>
      <c r="H38" s="24"/>
      <c r="I38" s="24"/>
      <c r="J38" s="24"/>
      <c r="L38" s="24"/>
      <c r="M38" s="24"/>
      <c r="N38" s="24"/>
      <c r="O38" s="24"/>
      <c r="P38" s="24"/>
      <c r="Q38" s="24"/>
      <c r="R38" s="100">
        <v>341779</v>
      </c>
      <c r="S38" s="24"/>
      <c r="T38" s="24"/>
      <c r="U38" s="24"/>
      <c r="V38" s="24"/>
      <c r="W38" s="24"/>
      <c r="X38" s="100">
        <v>191379</v>
      </c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</row>
    <row r="39" spans="1:106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24"/>
      <c r="H39" s="24"/>
      <c r="I39" s="24"/>
      <c r="J39" s="24"/>
      <c r="K39" s="24"/>
      <c r="L39" s="100">
        <v>156160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</row>
    <row r="40" spans="1:106" s="71" customFormat="1" x14ac:dyDescent="0.2">
      <c r="A40" s="69" t="s">
        <v>117</v>
      </c>
      <c r="B40" s="25" t="s">
        <v>119</v>
      </c>
      <c r="C40" s="70"/>
      <c r="D40" s="24"/>
      <c r="E40" s="24"/>
      <c r="F40" s="24"/>
      <c r="G40" s="24"/>
      <c r="H40" s="24"/>
      <c r="I40" s="24"/>
      <c r="J40" s="24"/>
      <c r="K40" s="24"/>
      <c r="L40" s="28"/>
      <c r="M40" s="24"/>
      <c r="N40" s="24"/>
      <c r="O40" s="24"/>
      <c r="P40" s="24"/>
      <c r="Q40" s="24"/>
      <c r="R40" s="24"/>
      <c r="S40" s="24"/>
      <c r="T40" s="28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100">
        <v>691000</v>
      </c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</row>
    <row r="41" spans="1:106" s="71" customFormat="1" x14ac:dyDescent="0.2">
      <c r="A41" s="69" t="s">
        <v>97</v>
      </c>
      <c r="B41" s="25" t="s">
        <v>98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</row>
    <row r="42" spans="1:106" s="71" customFormat="1" x14ac:dyDescent="0.2">
      <c r="A42" s="69" t="s">
        <v>17</v>
      </c>
      <c r="B42" s="25" t="s">
        <v>41</v>
      </c>
      <c r="C42" s="70">
        <f>1375000-500000-175000-50000-25000</f>
        <v>625000</v>
      </c>
      <c r="D42" s="24"/>
      <c r="G42" s="24"/>
      <c r="H42" s="24"/>
      <c r="I42" s="129">
        <v>100000</v>
      </c>
      <c r="J42" s="129">
        <v>25000</v>
      </c>
      <c r="K42" s="129">
        <v>75000</v>
      </c>
      <c r="M42" s="142">
        <f>45000+50000-25000</f>
        <v>70000</v>
      </c>
      <c r="N42" s="24"/>
      <c r="O42" s="24"/>
      <c r="P42" s="24"/>
      <c r="R42" s="24"/>
      <c r="S42" s="129">
        <v>100000</v>
      </c>
      <c r="T42" s="129">
        <v>175000</v>
      </c>
      <c r="U42" s="24"/>
      <c r="V42" s="24"/>
      <c r="W42" s="129">
        <v>170000</v>
      </c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</row>
    <row r="43" spans="1:106" s="71" customFormat="1" x14ac:dyDescent="0.2">
      <c r="A43" s="69" t="s">
        <v>15</v>
      </c>
      <c r="B43" s="25" t="s">
        <v>31</v>
      </c>
      <c r="C43" s="70">
        <f>1289912-50000-50000-75000-124688-100000-100000-50000-50000</f>
        <v>690224</v>
      </c>
      <c r="D43" s="24"/>
      <c r="E43" s="28"/>
      <c r="F43" s="28"/>
      <c r="G43" s="28"/>
      <c r="H43" s="24"/>
      <c r="I43" s="108">
        <v>65224</v>
      </c>
      <c r="J43" s="108">
        <v>90224</v>
      </c>
      <c r="K43" s="108">
        <v>115224</v>
      </c>
      <c r="L43" s="108">
        <f>25000+100000</f>
        <v>125000</v>
      </c>
      <c r="M43" s="108">
        <v>45000</v>
      </c>
      <c r="N43" s="24"/>
      <c r="O43" s="24"/>
      <c r="Q43" s="24"/>
      <c r="U43" s="24"/>
      <c r="V43" s="24"/>
      <c r="W43" s="98">
        <f>515224/4</f>
        <v>128806</v>
      </c>
      <c r="X43" s="98">
        <f>515224/4</f>
        <v>128806</v>
      </c>
      <c r="Y43" s="98">
        <f>515224/4</f>
        <v>128806</v>
      </c>
      <c r="Z43" s="98">
        <f>515224/4+54464</f>
        <v>183270</v>
      </c>
      <c r="AA43" s="24"/>
      <c r="AB43" s="24"/>
      <c r="AC43" s="24"/>
      <c r="AD43" s="24"/>
      <c r="AE43" s="24"/>
      <c r="AF43" s="24"/>
      <c r="AG43" s="24"/>
      <c r="AH43" s="100">
        <v>516230</v>
      </c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</row>
    <row r="44" spans="1:106" s="71" customFormat="1" x14ac:dyDescent="0.2">
      <c r="A44" s="69" t="s">
        <v>16</v>
      </c>
      <c r="B44" s="25" t="s">
        <v>32</v>
      </c>
      <c r="C44" s="70">
        <v>1192350</v>
      </c>
      <c r="D44" s="24"/>
      <c r="E44" s="100">
        <v>50000</v>
      </c>
      <c r="F44" s="24"/>
      <c r="G44" s="24"/>
      <c r="H44" s="24"/>
      <c r="I44" s="108">
        <f>499410/4</f>
        <v>124852.5</v>
      </c>
      <c r="J44" s="108">
        <f>499410/4</f>
        <v>124852.5</v>
      </c>
      <c r="K44" s="108">
        <f>499410/4</f>
        <v>124852.5</v>
      </c>
      <c r="L44" s="108">
        <f>499410/4+20000</f>
        <v>144852.5</v>
      </c>
      <c r="M44" s="108">
        <v>45000</v>
      </c>
      <c r="N44" s="24"/>
      <c r="O44" s="24"/>
      <c r="P44" s="24"/>
      <c r="Q44" s="24"/>
      <c r="R44" s="108">
        <v>194764</v>
      </c>
      <c r="S44" s="108">
        <f>85388+64882+50000</f>
        <v>200270</v>
      </c>
      <c r="T44" s="108">
        <v>100000</v>
      </c>
      <c r="U44" s="24"/>
      <c r="V44" s="24"/>
      <c r="W44" s="24"/>
      <c r="X44" s="95">
        <v>332940</v>
      </c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</row>
    <row r="45" spans="1:106" s="71" customFormat="1" x14ac:dyDescent="0.2">
      <c r="A45" s="69" t="s">
        <v>85</v>
      </c>
      <c r="B45" s="25" t="s">
        <v>47</v>
      </c>
      <c r="C45" s="70">
        <f>2580*A6</f>
        <v>193191.948</v>
      </c>
      <c r="D45" s="24"/>
      <c r="E45" s="72"/>
      <c r="F45" s="24"/>
      <c r="G45" s="24"/>
      <c r="H45" s="24"/>
      <c r="I45" s="24"/>
      <c r="J45" s="108">
        <f>645*$A$6</f>
        <v>48297.987000000001</v>
      </c>
      <c r="K45" s="108">
        <f>645*$A$6</f>
        <v>48297.987000000001</v>
      </c>
      <c r="L45" s="108">
        <f>645*$A$6</f>
        <v>48297.987000000001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</row>
    <row r="46" spans="1:106" s="71" customFormat="1" x14ac:dyDescent="0.2">
      <c r="A46" s="69" t="s">
        <v>120</v>
      </c>
      <c r="B46" s="25" t="s">
        <v>121</v>
      </c>
      <c r="C46" s="76"/>
      <c r="D46" s="24"/>
      <c r="E46" s="28"/>
      <c r="F46" s="24"/>
      <c r="G46" s="24"/>
      <c r="H46" s="24"/>
      <c r="I46" s="24"/>
      <c r="J46" s="24"/>
      <c r="K46" s="24"/>
      <c r="L46" s="24"/>
      <c r="M46" s="28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100">
        <v>507000</v>
      </c>
      <c r="AB46" s="24"/>
      <c r="AC46" s="24"/>
      <c r="AD46" s="24"/>
      <c r="AE46" s="24"/>
      <c r="AF46" s="24"/>
      <c r="AG46" s="100">
        <v>1014000</v>
      </c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</row>
    <row r="47" spans="1:106" s="73" customFormat="1" x14ac:dyDescent="0.2">
      <c r="A47" s="69" t="s">
        <v>22</v>
      </c>
      <c r="B47" s="25" t="s">
        <v>48</v>
      </c>
      <c r="C47" s="137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138">
        <f>52206*A9</f>
        <v>571838.42099999997</v>
      </c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  <c r="CV47" s="72"/>
      <c r="CW47" s="72"/>
      <c r="CX47" s="72"/>
      <c r="CY47" s="72"/>
      <c r="CZ47" s="72"/>
      <c r="DA47" s="72"/>
      <c r="DB47" s="72"/>
    </row>
    <row r="48" spans="1:106" s="73" customFormat="1" x14ac:dyDescent="0.2">
      <c r="A48" s="69" t="s">
        <v>108</v>
      </c>
      <c r="B48" s="25" t="s">
        <v>109</v>
      </c>
      <c r="C48" s="120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  <c r="CW48" s="72"/>
      <c r="CX48" s="72"/>
      <c r="CY48" s="72"/>
      <c r="CZ48" s="72"/>
      <c r="DA48" s="72"/>
      <c r="DB48" s="72"/>
    </row>
    <row r="49" spans="1:106" s="71" customFormat="1" x14ac:dyDescent="0.2">
      <c r="A49" s="69" t="s">
        <v>36</v>
      </c>
      <c r="B49" s="25" t="s">
        <v>37</v>
      </c>
      <c r="C49" s="130"/>
      <c r="D49" s="24"/>
      <c r="F49" s="24"/>
      <c r="G49" s="24"/>
      <c r="H49" s="24"/>
      <c r="J49" s="24"/>
      <c r="K49" s="24"/>
      <c r="L49" s="24"/>
      <c r="N49" s="24"/>
      <c r="O49" s="24"/>
      <c r="P49" s="24"/>
      <c r="Q49" s="24"/>
      <c r="R49" s="24"/>
      <c r="S49" s="24"/>
      <c r="T49" s="100">
        <f>2662*A6</f>
        <v>199332.15720000002</v>
      </c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</row>
    <row r="50" spans="1:106" s="71" customFormat="1" x14ac:dyDescent="0.2">
      <c r="A50" s="69" t="s">
        <v>86</v>
      </c>
      <c r="B50" s="25" t="s">
        <v>35</v>
      </c>
      <c r="C50" s="70">
        <f>2400*A6+4050*A6</f>
        <v>482979.87</v>
      </c>
      <c r="D50" s="77"/>
      <c r="E50" s="100">
        <f>300*$A$6</f>
        <v>22464.18</v>
      </c>
      <c r="F50" s="24"/>
      <c r="G50" s="24"/>
      <c r="H50" s="24"/>
      <c r="I50" s="108">
        <f>525*$A$6</f>
        <v>39312.315000000002</v>
      </c>
      <c r="J50" s="108">
        <f>500*$A$6</f>
        <v>37440.300000000003</v>
      </c>
      <c r="K50" s="108">
        <f>500*$A$6</f>
        <v>37440.300000000003</v>
      </c>
      <c r="L50" s="108">
        <f>500*$A$6</f>
        <v>37440.300000000003</v>
      </c>
      <c r="M50" s="108">
        <f>900*$A$6</f>
        <v>67392.540000000008</v>
      </c>
      <c r="N50" s="24"/>
      <c r="O50" s="24"/>
      <c r="P50" s="24"/>
      <c r="R50" s="108">
        <f>500*$A$6</f>
        <v>37440.300000000003</v>
      </c>
      <c r="S50" s="108">
        <f>500*$A$6</f>
        <v>37440.300000000003</v>
      </c>
      <c r="T50" s="108">
        <f>500*$A$6</f>
        <v>37440.300000000003</v>
      </c>
      <c r="U50" s="24"/>
      <c r="V50" s="24"/>
      <c r="W50" s="108">
        <f>600*$A$6</f>
        <v>44928.36</v>
      </c>
      <c r="X50" s="108">
        <f>600*$A$6</f>
        <v>44928.36</v>
      </c>
      <c r="Y50" s="108">
        <f>600*$A$6</f>
        <v>44928.36</v>
      </c>
      <c r="Z50" s="108">
        <f>525*$A$6</f>
        <v>39312.315000000002</v>
      </c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</row>
    <row r="51" spans="1:106" s="71" customFormat="1" x14ac:dyDescent="0.2">
      <c r="A51" s="69" t="s">
        <v>29</v>
      </c>
      <c r="B51" s="25" t="s">
        <v>42</v>
      </c>
      <c r="C51" s="70">
        <v>20000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</row>
    <row r="52" spans="1:106" s="71" customFormat="1" x14ac:dyDescent="0.2">
      <c r="A52" s="69" t="s">
        <v>29</v>
      </c>
      <c r="B52" s="25" t="s">
        <v>43</v>
      </c>
      <c r="C52" s="70">
        <v>439750</v>
      </c>
      <c r="D52" s="24"/>
      <c r="E52" s="24"/>
      <c r="G52" s="24"/>
      <c r="H52" s="24"/>
      <c r="I52" s="95">
        <v>50000</v>
      </c>
      <c r="J52" s="95">
        <v>50000</v>
      </c>
      <c r="K52" s="95">
        <v>50000</v>
      </c>
      <c r="L52" s="95">
        <v>50000</v>
      </c>
      <c r="M52" s="95">
        <v>25000</v>
      </c>
      <c r="N52" s="24"/>
      <c r="O52" s="24"/>
      <c r="P52" s="24"/>
      <c r="Q52" s="95">
        <v>50000</v>
      </c>
      <c r="R52" s="95">
        <v>50000</v>
      </c>
      <c r="S52" s="95">
        <v>50000</v>
      </c>
      <c r="T52" s="95">
        <f>50000+14750</f>
        <v>64750</v>
      </c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</row>
    <row r="53" spans="1:106" s="71" customFormat="1" x14ac:dyDescent="0.2">
      <c r="A53" s="69" t="s">
        <v>29</v>
      </c>
      <c r="B53" s="25" t="s">
        <v>55</v>
      </c>
      <c r="C53" s="70">
        <f>1250*A6</f>
        <v>93600.75</v>
      </c>
      <c r="D53" s="24"/>
      <c r="E53" s="24"/>
      <c r="F53" s="24"/>
      <c r="G53" s="24"/>
      <c r="H53" s="24"/>
      <c r="I53" s="95">
        <f>500*$A$6</f>
        <v>37440.300000000003</v>
      </c>
      <c r="J53" s="95">
        <f>500*$A$6</f>
        <v>37440.300000000003</v>
      </c>
      <c r="K53" s="24"/>
      <c r="L53" s="24"/>
      <c r="M53" s="95">
        <f>250*$A$6</f>
        <v>18720.150000000001</v>
      </c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</row>
    <row r="54" spans="1:106" s="71" customFormat="1" x14ac:dyDescent="0.2">
      <c r="A54" s="69" t="s">
        <v>124</v>
      </c>
      <c r="B54" s="25" t="s">
        <v>125</v>
      </c>
      <c r="C54" s="70"/>
      <c r="D54" s="24"/>
      <c r="E54" s="24"/>
      <c r="F54" s="24"/>
      <c r="G54" s="24"/>
      <c r="H54" s="24"/>
      <c r="I54" s="28"/>
      <c r="J54" s="28"/>
      <c r="K54" s="28"/>
      <c r="L54" s="28"/>
      <c r="M54" s="2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100">
        <v>203210</v>
      </c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</row>
    <row r="55" spans="1:106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24"/>
      <c r="K55" s="100">
        <v>2090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</row>
    <row r="56" spans="1:106" s="71" customFormat="1" x14ac:dyDescent="0.2">
      <c r="A56" s="69" t="s">
        <v>90</v>
      </c>
      <c r="B56" s="25" t="s">
        <v>91</v>
      </c>
      <c r="C56" s="70">
        <v>1012000</v>
      </c>
      <c r="D56" s="77"/>
      <c r="E56" s="24"/>
      <c r="F56" s="24"/>
      <c r="H56" s="24"/>
      <c r="I56" s="28"/>
      <c r="J56" s="28"/>
      <c r="K56" s="28"/>
      <c r="L56" s="28"/>
      <c r="M56" s="100">
        <v>1012000</v>
      </c>
      <c r="N56" s="28"/>
      <c r="O56" s="28"/>
      <c r="P56" s="28"/>
      <c r="Q56" s="28"/>
      <c r="R56" s="28"/>
      <c r="S56" s="28"/>
      <c r="T56" s="100">
        <v>1012000</v>
      </c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</row>
    <row r="57" spans="1:106" s="71" customFormat="1" x14ac:dyDescent="0.2">
      <c r="A57" s="69" t="s">
        <v>102</v>
      </c>
      <c r="B57" s="25" t="s">
        <v>103</v>
      </c>
      <c r="C57" s="70"/>
      <c r="D57" s="77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</row>
    <row r="58" spans="1:106" s="71" customFormat="1" x14ac:dyDescent="0.2">
      <c r="A58" s="132" t="s">
        <v>113</v>
      </c>
      <c r="B58" s="133" t="s">
        <v>114</v>
      </c>
      <c r="C58" s="70"/>
      <c r="D58" s="77"/>
      <c r="E58" s="24"/>
      <c r="F58" s="24"/>
      <c r="G58" s="24"/>
      <c r="H58" s="24"/>
      <c r="J58" s="28"/>
      <c r="K58" s="24"/>
      <c r="L58" s="28"/>
      <c r="M58" s="28"/>
      <c r="N58" s="28"/>
      <c r="O58" s="28"/>
      <c r="P58" s="28"/>
      <c r="Q58" s="100">
        <v>346500</v>
      </c>
      <c r="R58" s="100">
        <v>693000</v>
      </c>
      <c r="S58" s="28"/>
      <c r="T58" s="24"/>
      <c r="U58" s="24"/>
      <c r="V58" s="24"/>
      <c r="W58" s="24"/>
      <c r="X58" s="28"/>
      <c r="Y58" s="28"/>
      <c r="Z58" s="28"/>
      <c r="AA58" s="28"/>
      <c r="AB58" s="28"/>
      <c r="AC58" s="28"/>
      <c r="AD58" s="28"/>
      <c r="AE58" s="28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</row>
    <row r="59" spans="1:106" s="71" customFormat="1" x14ac:dyDescent="0.2">
      <c r="A59" s="69" t="s">
        <v>34</v>
      </c>
      <c r="B59" s="25" t="s">
        <v>45</v>
      </c>
      <c r="C59" s="70">
        <f>1014000-100000-100000+400-50000-25000</f>
        <v>739400</v>
      </c>
      <c r="D59" s="77"/>
      <c r="G59" s="24"/>
      <c r="H59" s="24"/>
      <c r="I59" s="106">
        <v>75000</v>
      </c>
      <c r="J59" s="106">
        <v>75000</v>
      </c>
      <c r="K59" s="108">
        <f>10600+125000</f>
        <v>135600</v>
      </c>
      <c r="N59" s="24"/>
      <c r="O59" s="24"/>
      <c r="P59" s="24"/>
      <c r="Q59" s="24"/>
      <c r="R59" s="24"/>
      <c r="S59" s="108">
        <v>400000</v>
      </c>
      <c r="T59" s="108">
        <v>100000</v>
      </c>
      <c r="U59" s="24"/>
      <c r="V59" s="24"/>
      <c r="W59" s="24"/>
      <c r="X59" s="24"/>
      <c r="Y59" s="24"/>
      <c r="Z59" s="24"/>
      <c r="AA59" s="24"/>
      <c r="AB59" s="24"/>
      <c r="AC59" s="24"/>
      <c r="AD59" s="24" t="s">
        <v>89</v>
      </c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</row>
    <row r="60" spans="1:106" s="71" customFormat="1" x14ac:dyDescent="0.2">
      <c r="A60" s="69" t="s">
        <v>101</v>
      </c>
      <c r="B60" s="25"/>
      <c r="C60" s="70"/>
      <c r="D60" s="77"/>
      <c r="E60" s="124">
        <v>25000</v>
      </c>
      <c r="F60" s="24"/>
      <c r="G60" s="24"/>
      <c r="H60" s="24"/>
      <c r="I60" s="108">
        <v>120000</v>
      </c>
      <c r="J60" s="28"/>
      <c r="K60" s="24"/>
      <c r="L60" s="24"/>
      <c r="M60" s="108">
        <v>25000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</row>
    <row r="61" spans="1:106" s="71" customFormat="1" x14ac:dyDescent="0.2">
      <c r="A61" s="69" t="s">
        <v>38</v>
      </c>
      <c r="B61" s="25" t="s">
        <v>39</v>
      </c>
      <c r="C61" s="70"/>
      <c r="D61" s="24"/>
      <c r="E61" s="24"/>
      <c r="F61" s="24"/>
      <c r="G61" s="24"/>
      <c r="H61" s="24"/>
      <c r="I61" s="100">
        <v>16800</v>
      </c>
      <c r="J61" s="24"/>
      <c r="K61" s="24"/>
      <c r="L61" s="24"/>
      <c r="M61" s="100">
        <v>34850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</row>
    <row r="62" spans="1:106" s="71" customFormat="1" x14ac:dyDescent="0.2">
      <c r="A62" s="69" t="s">
        <v>74</v>
      </c>
      <c r="B62" s="25" t="s">
        <v>83</v>
      </c>
      <c r="C62" s="70"/>
      <c r="D62" s="24"/>
      <c r="F62" s="24"/>
      <c r="G62" s="24"/>
      <c r="H62" s="24"/>
      <c r="J62" s="24"/>
      <c r="K62" s="24"/>
      <c r="L62" s="24"/>
      <c r="M62" s="98">
        <f>104492.6-69560</f>
        <v>34932.600000000006</v>
      </c>
      <c r="N62" s="24"/>
      <c r="O62" s="24"/>
      <c r="P62" s="24"/>
      <c r="Q62" s="24"/>
      <c r="R62" s="24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4"/>
      <c r="AH62" s="114">
        <v>3567700</v>
      </c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</row>
    <row r="63" spans="1:106" s="73" customFormat="1" ht="2.25" customHeight="1" x14ac:dyDescent="0.2">
      <c r="A63" s="78"/>
      <c r="B63" s="79"/>
      <c r="C63" s="75"/>
      <c r="D63" s="72"/>
      <c r="E63" s="72"/>
      <c r="F63" s="72"/>
      <c r="G63" s="72"/>
      <c r="H63" s="72"/>
      <c r="I63" s="72"/>
      <c r="J63" s="72"/>
      <c r="K63" s="72" t="s">
        <v>89</v>
      </c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  <c r="CI63" s="72"/>
      <c r="CJ63" s="72"/>
      <c r="CK63" s="72"/>
      <c r="CL63" s="72"/>
      <c r="CM63" s="72"/>
      <c r="CN63" s="72"/>
      <c r="CO63" s="72"/>
      <c r="CP63" s="72"/>
      <c r="CQ63" s="72"/>
      <c r="CR63" s="72"/>
      <c r="CS63" s="72"/>
      <c r="CT63" s="72"/>
      <c r="CU63" s="72"/>
      <c r="CV63" s="72"/>
      <c r="CW63" s="72"/>
      <c r="CX63" s="72"/>
      <c r="CY63" s="72"/>
      <c r="CZ63" s="72"/>
      <c r="DA63" s="72"/>
      <c r="DB63" s="72"/>
    </row>
    <row r="64" spans="1:106" s="94" customFormat="1" ht="33.75" x14ac:dyDescent="0.2">
      <c r="A64" s="91" t="s">
        <v>60</v>
      </c>
      <c r="B64" s="92" t="s">
        <v>58</v>
      </c>
      <c r="C64" s="93">
        <v>248639.70012000017</v>
      </c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  <c r="CR64" s="93"/>
      <c r="CS64" s="93"/>
      <c r="CT64" s="93"/>
      <c r="CU64" s="93"/>
      <c r="CV64" s="93"/>
      <c r="CW64" s="93"/>
      <c r="CX64" s="93"/>
      <c r="CY64" s="93"/>
      <c r="CZ64" s="93"/>
      <c r="DA64" s="93"/>
      <c r="DB64" s="93"/>
    </row>
    <row r="65" spans="1:106" s="94" customFormat="1" ht="33.75" x14ac:dyDescent="0.2">
      <c r="A65" s="91" t="s">
        <v>60</v>
      </c>
      <c r="B65" s="92" t="s">
        <v>59</v>
      </c>
      <c r="C65" s="93">
        <v>0</v>
      </c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3"/>
      <c r="CE65" s="93"/>
      <c r="CF65" s="93"/>
      <c r="CG65" s="93"/>
      <c r="CH65" s="93"/>
      <c r="CI65" s="93"/>
      <c r="CJ65" s="93"/>
      <c r="CK65" s="93"/>
      <c r="CL65" s="93"/>
      <c r="CM65" s="93"/>
      <c r="CN65" s="93"/>
      <c r="CO65" s="93"/>
      <c r="CP65" s="93"/>
      <c r="CQ65" s="93"/>
      <c r="CR65" s="93"/>
      <c r="CS65" s="93"/>
      <c r="CT65" s="93"/>
      <c r="CU65" s="93"/>
      <c r="CV65" s="93"/>
      <c r="CW65" s="93"/>
      <c r="CX65" s="93"/>
      <c r="CY65" s="93"/>
      <c r="CZ65" s="93"/>
      <c r="DA65" s="93"/>
      <c r="DB65" s="93"/>
    </row>
    <row r="66" spans="1:106" s="5" customFormat="1" ht="2.25" customHeight="1" x14ac:dyDescent="0.2">
      <c r="A66" s="42"/>
      <c r="B66" s="12"/>
      <c r="C66" s="68"/>
      <c r="D66" s="26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</row>
    <row r="67" spans="1:106" s="5" customFormat="1" x14ac:dyDescent="0.2">
      <c r="A67" s="36" t="s">
        <v>49</v>
      </c>
      <c r="B67" s="12"/>
      <c r="C67" s="13"/>
      <c r="D67" s="26"/>
      <c r="E67" s="13"/>
      <c r="F67" s="13"/>
      <c r="G67" s="13"/>
      <c r="H67" s="13"/>
      <c r="J67" s="126">
        <f>1184471.02/0.77</f>
        <v>1538274.0519480519</v>
      </c>
      <c r="K67" s="13"/>
      <c r="L67" s="126">
        <f>(1369064.01)/0.77</f>
        <v>1778005.2077922078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</row>
    <row r="68" spans="1:106" s="5" customFormat="1" x14ac:dyDescent="0.2">
      <c r="A68" s="36" t="s">
        <v>57</v>
      </c>
      <c r="B68" s="12"/>
      <c r="C68" s="68"/>
      <c r="D68" s="26"/>
      <c r="F68" s="13"/>
      <c r="H68" s="13"/>
      <c r="I68" s="13"/>
      <c r="K68" s="13"/>
      <c r="L68" s="13"/>
      <c r="M68" s="13"/>
      <c r="N68" s="13"/>
      <c r="O68" s="13"/>
      <c r="Q68" s="13"/>
      <c r="R68" s="13"/>
      <c r="T68" s="139">
        <f>1749467.21/0.77</f>
        <v>2272035.3376623373</v>
      </c>
      <c r="U68" s="13"/>
      <c r="V68" s="13"/>
      <c r="W68" s="139">
        <f>1933893.44/0.77</f>
        <v>2511549.9220779222</v>
      </c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</row>
    <row r="69" spans="1:106" s="5" customFormat="1" x14ac:dyDescent="0.2">
      <c r="A69" s="36" t="s">
        <v>61</v>
      </c>
      <c r="B69" s="12"/>
      <c r="C69" s="13">
        <v>112000</v>
      </c>
      <c r="D69" s="26"/>
      <c r="E69" s="13"/>
      <c r="G69" s="13"/>
      <c r="H69" s="13"/>
      <c r="I69" s="13"/>
      <c r="J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9">
        <v>390000</v>
      </c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</row>
    <row r="70" spans="1:106" s="5" customFormat="1" ht="2.25" customHeigh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</row>
    <row r="71" spans="1:106" s="5" customFormat="1" x14ac:dyDescent="0.2">
      <c r="A71" s="36" t="s">
        <v>72</v>
      </c>
      <c r="B71" s="27" t="s">
        <v>73</v>
      </c>
      <c r="C71" s="62">
        <v>3637079.2460000003</v>
      </c>
      <c r="D71" s="35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</row>
    <row r="72" spans="1:106" s="5" customFormat="1" ht="2.25" customHeight="1" x14ac:dyDescent="0.2">
      <c r="A72" s="42"/>
      <c r="B72" s="12"/>
      <c r="C72" s="61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</row>
    <row r="73" spans="1:106" s="84" customFormat="1" x14ac:dyDescent="0.2">
      <c r="A73" s="81" t="s">
        <v>66</v>
      </c>
      <c r="B73" s="82"/>
      <c r="C73" s="63"/>
      <c r="D73" s="83"/>
      <c r="E73" s="83">
        <f>$C$5+E16-E26</f>
        <v>1597198.81</v>
      </c>
      <c r="F73" s="83">
        <f t="shared" ref="F73:BP73" si="7">E73+F16-F26</f>
        <v>1597198.81</v>
      </c>
      <c r="G73" s="83">
        <f t="shared" si="7"/>
        <v>1597198.81</v>
      </c>
      <c r="H73" s="83">
        <f t="shared" si="7"/>
        <v>1597198.81</v>
      </c>
      <c r="I73" s="83">
        <f t="shared" si="7"/>
        <v>7586069.6950000003</v>
      </c>
      <c r="J73" s="83">
        <f t="shared" si="7"/>
        <v>5559540.5560519481</v>
      </c>
      <c r="K73" s="83">
        <f t="shared" si="7"/>
        <v>4870921.8690519482</v>
      </c>
      <c r="L73" s="83">
        <f t="shared" si="7"/>
        <v>2531165.8742597401</v>
      </c>
      <c r="M73" s="83">
        <f t="shared" si="7"/>
        <v>1007321.5842597401</v>
      </c>
      <c r="N73" s="83">
        <f t="shared" si="7"/>
        <v>1007321.5842597401</v>
      </c>
      <c r="O73" s="83">
        <f t="shared" si="7"/>
        <v>647321.58425974008</v>
      </c>
      <c r="P73" s="83">
        <f t="shared" si="7"/>
        <v>647321.58425974008</v>
      </c>
      <c r="Q73" s="83">
        <f t="shared" si="7"/>
        <v>50821.584259740077</v>
      </c>
      <c r="R73" s="83">
        <f t="shared" si="7"/>
        <v>-1366161.71574026</v>
      </c>
      <c r="S73" s="83">
        <f t="shared" si="7"/>
        <v>5628627.9842597404</v>
      </c>
      <c r="T73" s="83">
        <f t="shared" si="7"/>
        <v>1296564.189397403</v>
      </c>
      <c r="U73" s="83">
        <f t="shared" si="7"/>
        <v>1296564.189397403</v>
      </c>
      <c r="V73" s="83">
        <f t="shared" si="7"/>
        <v>1296564.189397403</v>
      </c>
      <c r="W73" s="83">
        <f t="shared" si="7"/>
        <v>-1558720.092680519</v>
      </c>
      <c r="X73" s="83">
        <f t="shared" si="7"/>
        <v>-2256773.4526805189</v>
      </c>
      <c r="Y73" s="83">
        <f t="shared" si="7"/>
        <v>-2430507.8126805187</v>
      </c>
      <c r="Z73" s="83">
        <f t="shared" si="7"/>
        <v>-2653090.1276805187</v>
      </c>
      <c r="AA73" s="83">
        <f t="shared" si="7"/>
        <v>-3731928.5486805188</v>
      </c>
      <c r="AB73" s="83">
        <f t="shared" si="7"/>
        <v>-3731928.5486805188</v>
      </c>
      <c r="AC73" s="83">
        <f t="shared" si="7"/>
        <v>-3731928.5486805188</v>
      </c>
      <c r="AD73" s="83">
        <f t="shared" si="7"/>
        <v>-3731928.5486805188</v>
      </c>
      <c r="AE73" s="83">
        <f t="shared" si="7"/>
        <v>-3731928.5486805188</v>
      </c>
      <c r="AF73" s="83">
        <f t="shared" si="7"/>
        <v>-3731928.5486805188</v>
      </c>
      <c r="AG73" s="83">
        <f t="shared" si="7"/>
        <v>-7893103.8416138534</v>
      </c>
      <c r="AH73" s="83">
        <f t="shared" si="7"/>
        <v>-12668033.841613853</v>
      </c>
      <c r="AI73" s="83">
        <f t="shared" si="7"/>
        <v>-12668033.841613853</v>
      </c>
      <c r="AJ73" s="83">
        <f t="shared" si="7"/>
        <v>-12668033.841613853</v>
      </c>
      <c r="AK73" s="83">
        <f t="shared" si="7"/>
        <v>-12871243.841613853</v>
      </c>
      <c r="AL73" s="83">
        <f t="shared" si="7"/>
        <v>-12871243.841613853</v>
      </c>
      <c r="AM73" s="83">
        <f t="shared" si="7"/>
        <v>-4268956.3759638537</v>
      </c>
      <c r="AN73" s="83">
        <f t="shared" si="7"/>
        <v>-4268956.3759638537</v>
      </c>
      <c r="AO73" s="83">
        <f t="shared" si="7"/>
        <v>-5015019.275963854</v>
      </c>
      <c r="AP73" s="83">
        <f t="shared" si="7"/>
        <v>-5015019.275963854</v>
      </c>
      <c r="AQ73" s="83">
        <f t="shared" si="7"/>
        <v>-5015019.275963854</v>
      </c>
      <c r="AR73" s="83">
        <f t="shared" si="7"/>
        <v>-2332820.775963854</v>
      </c>
      <c r="AS73" s="83">
        <f t="shared" si="7"/>
        <v>-2332820.775963854</v>
      </c>
      <c r="AT73" s="83">
        <f t="shared" si="7"/>
        <v>-2332820.775963854</v>
      </c>
      <c r="AU73" s="83">
        <f t="shared" si="7"/>
        <v>-2332820.775963854</v>
      </c>
      <c r="AV73" s="83">
        <f t="shared" si="7"/>
        <v>-2604326.775963854</v>
      </c>
      <c r="AW73" s="83">
        <f t="shared" si="7"/>
        <v>-2604326.775963854</v>
      </c>
      <c r="AX73" s="83">
        <f t="shared" si="7"/>
        <v>-2604326.775963854</v>
      </c>
      <c r="AY73" s="83">
        <f t="shared" si="7"/>
        <v>-2604326.775963854</v>
      </c>
      <c r="AZ73" s="83">
        <f t="shared" si="7"/>
        <v>-2604326.775963854</v>
      </c>
      <c r="BA73" s="83">
        <f t="shared" si="7"/>
        <v>-2604326.775963854</v>
      </c>
      <c r="BB73" s="83">
        <f t="shared" si="7"/>
        <v>-2604326.775963854</v>
      </c>
      <c r="BC73" s="83">
        <f t="shared" si="7"/>
        <v>-2604326.775963854</v>
      </c>
      <c r="BD73" s="83">
        <f t="shared" si="7"/>
        <v>-2604326.775963854</v>
      </c>
      <c r="BE73" s="83">
        <f t="shared" si="7"/>
        <v>-2604326.775963854</v>
      </c>
      <c r="BF73" s="83">
        <f t="shared" si="7"/>
        <v>-2604326.775963854</v>
      </c>
      <c r="BG73" s="83">
        <f t="shared" si="7"/>
        <v>-2604326.775963854</v>
      </c>
      <c r="BH73" s="83">
        <f t="shared" si="7"/>
        <v>-2604326.775963854</v>
      </c>
      <c r="BI73" s="83">
        <f t="shared" si="7"/>
        <v>-2604326.775963854</v>
      </c>
      <c r="BJ73" s="83">
        <f t="shared" si="7"/>
        <v>-2604326.775963854</v>
      </c>
      <c r="BK73" s="83">
        <f t="shared" si="7"/>
        <v>-2604326.775963854</v>
      </c>
      <c r="BL73" s="83">
        <f t="shared" si="7"/>
        <v>-2604326.775963854</v>
      </c>
      <c r="BM73" s="83">
        <f t="shared" si="7"/>
        <v>-2707743.3492971873</v>
      </c>
      <c r="BN73" s="83">
        <f t="shared" si="7"/>
        <v>-2707743.3492971873</v>
      </c>
      <c r="BO73" s="83">
        <f t="shared" si="7"/>
        <v>-2707743.3492971873</v>
      </c>
      <c r="BP73" s="83">
        <f t="shared" si="7"/>
        <v>-3453806.2492971872</v>
      </c>
      <c r="BQ73" s="83">
        <f t="shared" ref="BQ73:CE73" si="8">BP73+BQ16-BQ26</f>
        <v>-3453806.2492971872</v>
      </c>
      <c r="BR73" s="83">
        <f t="shared" si="8"/>
        <v>-3453806.2492971872</v>
      </c>
      <c r="BS73" s="83">
        <f t="shared" si="8"/>
        <v>-3453806.2492971872</v>
      </c>
      <c r="BT73" s="83">
        <f t="shared" si="8"/>
        <v>-3453806.2492971872</v>
      </c>
      <c r="BU73" s="83">
        <f t="shared" si="8"/>
        <v>-3453806.2492971872</v>
      </c>
      <c r="BV73" s="83">
        <f t="shared" si="8"/>
        <v>-3453806.2492971872</v>
      </c>
      <c r="BW73" s="83">
        <f t="shared" si="8"/>
        <v>-3453806.2492971872</v>
      </c>
      <c r="BX73" s="83">
        <f t="shared" si="8"/>
        <v>-3453806.2492971872</v>
      </c>
      <c r="BY73" s="83">
        <f t="shared" si="8"/>
        <v>-3453806.2492971872</v>
      </c>
      <c r="BZ73" s="83">
        <f t="shared" si="8"/>
        <v>-3453806.2492971872</v>
      </c>
      <c r="CA73" s="83">
        <f t="shared" si="8"/>
        <v>-3725312.2492971872</v>
      </c>
      <c r="CB73" s="83">
        <f t="shared" si="8"/>
        <v>-3725312.2492971872</v>
      </c>
      <c r="CC73" s="83">
        <f t="shared" si="8"/>
        <v>-3725312.2492971872</v>
      </c>
      <c r="CD73" s="83">
        <f t="shared" si="8"/>
        <v>-3725312.2492971872</v>
      </c>
      <c r="CE73" s="83">
        <f t="shared" si="8"/>
        <v>-3725312.2492971872</v>
      </c>
      <c r="CF73" s="83">
        <f t="shared" ref="CF73" si="9">CE73+CF16-CF26</f>
        <v>-3725312.2492971872</v>
      </c>
      <c r="CG73" s="83">
        <f t="shared" ref="CG73" si="10">CF73+CG16-CG26</f>
        <v>-3725312.2492971872</v>
      </c>
      <c r="CH73" s="83">
        <f t="shared" ref="CH73" si="11">CG73+CH16-CH26</f>
        <v>-3725312.2492971872</v>
      </c>
      <c r="CI73" s="83">
        <f t="shared" ref="CI73" si="12">CH73+CI16-CI26</f>
        <v>-3725312.2492971872</v>
      </c>
      <c r="CJ73" s="83">
        <f t="shared" ref="CJ73" si="13">CI73+CJ16-CJ26</f>
        <v>-3725312.2492971872</v>
      </c>
      <c r="CK73" s="83">
        <f t="shared" ref="CK73" si="14">CJ73+CK16-CK26</f>
        <v>-3725312.2492971872</v>
      </c>
      <c r="CL73" s="83">
        <f t="shared" ref="CL73" si="15">CK73+CL16-CL26</f>
        <v>-3725312.2492971872</v>
      </c>
      <c r="CM73" s="83">
        <f t="shared" ref="CM73" si="16">CL73+CM16-CM26</f>
        <v>-3725312.2492971872</v>
      </c>
      <c r="CN73" s="83">
        <f t="shared" ref="CN73" si="17">CM73+CN16-CN26</f>
        <v>-3725312.2492971872</v>
      </c>
      <c r="CO73" s="83">
        <f t="shared" ref="CO73" si="18">CN73+CO16-CO26</f>
        <v>-3725312.2492971872</v>
      </c>
      <c r="CP73" s="83">
        <f t="shared" ref="CP73" si="19">CO73+CP16-CP26</f>
        <v>-3725312.2492971872</v>
      </c>
      <c r="CQ73" s="83">
        <f t="shared" ref="CQ73" si="20">CP73+CQ16-CQ26</f>
        <v>-3725312.2492971872</v>
      </c>
      <c r="CR73" s="83">
        <f t="shared" ref="CR73" si="21">CQ73+CR16-CR26</f>
        <v>-3725312.2492971872</v>
      </c>
      <c r="CS73" s="83">
        <f t="shared" ref="CS73" si="22">CR73+CS16-CS26</f>
        <v>-3725312.2492971872</v>
      </c>
      <c r="CT73" s="83">
        <f t="shared" ref="CT73" si="23">CS73+CT16-CT26</f>
        <v>-3725312.2492971872</v>
      </c>
      <c r="CU73" s="83">
        <f t="shared" ref="CU73" si="24">CT73+CU16-CU26</f>
        <v>-3725312.2492971872</v>
      </c>
      <c r="CV73" s="83">
        <f t="shared" ref="CV73" si="25">CU73+CV16-CV26</f>
        <v>-3725312.2492971872</v>
      </c>
      <c r="CW73" s="83">
        <f t="shared" ref="CW73" si="26">CV73+CW16-CW26</f>
        <v>-3725312.2492971872</v>
      </c>
      <c r="CX73" s="83">
        <f t="shared" ref="CX73" si="27">CW73+CX16-CX26</f>
        <v>-3725312.2492971872</v>
      </c>
      <c r="CY73" s="83">
        <f t="shared" ref="CY73" si="28">CX73+CY16-CY26</f>
        <v>-3725312.2492971872</v>
      </c>
      <c r="CZ73" s="83">
        <f t="shared" ref="CZ73" si="29">CY73+CZ16-CZ26</f>
        <v>-3725312.2492971872</v>
      </c>
      <c r="DA73" s="83">
        <f t="shared" ref="DA73" si="30">CZ73+DA16-DA26</f>
        <v>-3725312.2492971872</v>
      </c>
      <c r="DB73" s="83">
        <f t="shared" ref="DB73" si="31">DA73+DB16-DB26</f>
        <v>-3725312.2492971872</v>
      </c>
    </row>
    <row r="75" spans="1:106" s="5" customFormat="1" ht="2.25" customHeight="1" x14ac:dyDescent="0.2">
      <c r="A75" s="42"/>
      <c r="B75" s="12"/>
      <c r="C75" s="68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</row>
    <row r="76" spans="1:106" s="89" customFormat="1" ht="11.25" customHeight="1" x14ac:dyDescent="0.2">
      <c r="A76" s="85" t="s">
        <v>65</v>
      </c>
      <c r="B76" s="86"/>
      <c r="C76" s="87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</row>
    <row r="77" spans="1:106" s="5" customFormat="1" ht="22.5" x14ac:dyDescent="0.2">
      <c r="A77" s="36" t="s">
        <v>67</v>
      </c>
      <c r="B77" s="27" t="s">
        <v>68</v>
      </c>
      <c r="C77" s="68">
        <v>3221210.79</v>
      </c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</row>
    <row r="78" spans="1:106" s="5" customFormat="1" x14ac:dyDescent="0.2">
      <c r="A78" s="36" t="s">
        <v>69</v>
      </c>
      <c r="B78" s="27" t="s">
        <v>70</v>
      </c>
      <c r="C78" s="68">
        <v>9814338.4000000004</v>
      </c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</row>
    <row r="79" spans="1:106" s="5" customFormat="1" x14ac:dyDescent="0.2">
      <c r="A79" s="36"/>
      <c r="B79" s="27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</row>
    <row r="80" spans="1:106" s="5" customFormat="1" x14ac:dyDescent="0.2">
      <c r="A80" s="36"/>
      <c r="B80" s="27"/>
      <c r="C80" s="68"/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</row>
    <row r="82" spans="2:2" x14ac:dyDescent="0.25">
      <c r="B82" s="14"/>
    </row>
  </sheetData>
  <pageMargins left="0.7" right="0.7" top="0.75" bottom="0.75" header="0.3" footer="0.3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F81"/>
  <sheetViews>
    <sheetView workbookViewId="0">
      <selection activeCell="B1" sqref="B1:C1048576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9" width="10.85546875" style="3" bestFit="1" customWidth="1"/>
    <col min="10" max="10" width="11.7109375" style="3" bestFit="1" customWidth="1"/>
    <col min="11" max="19" width="10.85546875" style="3" bestFit="1" customWidth="1"/>
    <col min="20" max="20" width="11.7109375" style="3" bestFit="1" customWidth="1"/>
    <col min="21" max="37" width="10.85546875" style="3" bestFit="1" customWidth="1"/>
    <col min="38" max="39" width="9" style="3"/>
    <col min="40" max="40" width="10.28515625" style="3" bestFit="1" customWidth="1"/>
    <col min="41" max="41" width="9" style="3"/>
    <col min="42" max="42" width="9.7109375" style="3" bestFit="1" customWidth="1"/>
    <col min="43" max="65" width="9" style="3"/>
    <col min="66" max="66" width="12" style="3" customWidth="1"/>
    <col min="67" max="67" width="11.140625" style="3" customWidth="1"/>
    <col min="68" max="68" width="10.28515625" style="3" customWidth="1"/>
    <col min="69" max="69" width="11.42578125" style="3" customWidth="1"/>
    <col min="70" max="16384" width="9" style="3"/>
  </cols>
  <sheetData>
    <row r="1" spans="1:84" ht="12" thickBot="1" x14ac:dyDescent="0.3"/>
    <row r="2" spans="1:84" s="1" customFormat="1" x14ac:dyDescent="0.2">
      <c r="A2" s="43" t="s">
        <v>50</v>
      </c>
      <c r="B2" s="15" t="s">
        <v>27</v>
      </c>
      <c r="C2" s="50">
        <v>2176257.7200000002</v>
      </c>
    </row>
    <row r="3" spans="1:84" s="1" customFormat="1" ht="12" thickBot="1" x14ac:dyDescent="0.25">
      <c r="A3" s="44">
        <v>87.592799999999997</v>
      </c>
      <c r="B3" s="15" t="s">
        <v>28</v>
      </c>
      <c r="C3" s="50">
        <v>10778.95</v>
      </c>
    </row>
    <row r="4" spans="1:84" s="8" customFormat="1" ht="12" thickBot="1" x14ac:dyDescent="0.25">
      <c r="A4" s="45"/>
      <c r="B4" s="15" t="s">
        <v>25</v>
      </c>
      <c r="C4" s="51">
        <v>0</v>
      </c>
    </row>
    <row r="5" spans="1:84" s="6" customFormat="1" x14ac:dyDescent="0.2">
      <c r="A5" s="43" t="s">
        <v>51</v>
      </c>
      <c r="B5" s="49" t="s">
        <v>26</v>
      </c>
      <c r="C5" s="52">
        <f>SUM(C2:C4)</f>
        <v>2187036.6700000004</v>
      </c>
    </row>
    <row r="6" spans="1:84" s="6" customFormat="1" ht="12" thickBot="1" x14ac:dyDescent="0.25">
      <c r="A6" s="44">
        <v>87.592799999999997</v>
      </c>
      <c r="B6" s="16"/>
      <c r="C6" s="53"/>
      <c r="D6" s="17"/>
    </row>
    <row r="7" spans="1:84" s="6" customFormat="1" ht="12" thickBot="1" x14ac:dyDescent="0.25">
      <c r="A7" s="105" t="s">
        <v>51</v>
      </c>
      <c r="B7" s="18" t="s">
        <v>122</v>
      </c>
      <c r="C7" s="54">
        <f>SUM(E16:AK16)</f>
        <v>21132431.747200001</v>
      </c>
    </row>
    <row r="8" spans="1:84" x14ac:dyDescent="0.25">
      <c r="A8" s="43" t="s">
        <v>52</v>
      </c>
      <c r="B8" s="18" t="s">
        <v>84</v>
      </c>
      <c r="C8" s="54">
        <f>SUM(E25:AK26)</f>
        <v>30467049.946413852</v>
      </c>
    </row>
    <row r="9" spans="1:84" ht="12" thickBot="1" x14ac:dyDescent="0.3">
      <c r="A9" s="44">
        <v>10.942</v>
      </c>
      <c r="B9" s="19" t="s">
        <v>64</v>
      </c>
      <c r="C9" s="55">
        <f>C5+C7-C8-C11</f>
        <v>-14965085.659333851</v>
      </c>
    </row>
    <row r="10" spans="1:84" x14ac:dyDescent="0.25">
      <c r="A10" s="99" t="s">
        <v>80</v>
      </c>
      <c r="B10" s="18" t="s">
        <v>23</v>
      </c>
      <c r="C10" s="56">
        <f>C16</f>
        <v>0</v>
      </c>
    </row>
    <row r="11" spans="1:84" x14ac:dyDescent="0.25">
      <c r="A11" s="101" t="s">
        <v>87</v>
      </c>
      <c r="B11" s="18" t="s">
        <v>24</v>
      </c>
      <c r="C11" s="54">
        <f>C26</f>
        <v>7817504.1301200008</v>
      </c>
    </row>
    <row r="12" spans="1:84" x14ac:dyDescent="0.25">
      <c r="A12" s="107" t="s">
        <v>88</v>
      </c>
    </row>
    <row r="13" spans="1:84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spans="1:84" s="2" customFormat="1" x14ac:dyDescent="0.25">
      <c r="A14" s="64"/>
      <c r="B14" s="65"/>
      <c r="C14" s="58" t="s">
        <v>56</v>
      </c>
      <c r="D14" s="66"/>
      <c r="E14" s="66">
        <v>46141</v>
      </c>
      <c r="F14" s="66">
        <v>46142</v>
      </c>
      <c r="G14" s="66">
        <v>46143</v>
      </c>
      <c r="H14" s="66">
        <v>46144</v>
      </c>
      <c r="I14" s="66">
        <v>46145</v>
      </c>
      <c r="J14" s="66">
        <v>46146</v>
      </c>
      <c r="K14" s="66">
        <v>46147</v>
      </c>
      <c r="L14" s="66">
        <v>46148</v>
      </c>
      <c r="M14" s="66">
        <v>46149</v>
      </c>
      <c r="N14" s="66">
        <v>46150</v>
      </c>
      <c r="O14" s="66">
        <v>46151</v>
      </c>
      <c r="P14" s="66">
        <v>46152</v>
      </c>
      <c r="Q14" s="66">
        <v>46153</v>
      </c>
      <c r="R14" s="66">
        <v>46154</v>
      </c>
      <c r="S14" s="66">
        <v>46155</v>
      </c>
      <c r="T14" s="66">
        <v>46156</v>
      </c>
      <c r="U14" s="66">
        <v>46157</v>
      </c>
      <c r="V14" s="66">
        <v>46158</v>
      </c>
      <c r="W14" s="66">
        <v>46159</v>
      </c>
      <c r="X14" s="66">
        <v>46160</v>
      </c>
      <c r="Y14" s="66">
        <v>46161</v>
      </c>
      <c r="Z14" s="66">
        <v>46162</v>
      </c>
      <c r="AA14" s="66">
        <v>46163</v>
      </c>
      <c r="AB14" s="66">
        <v>46164</v>
      </c>
      <c r="AC14" s="66">
        <v>46165</v>
      </c>
      <c r="AD14" s="66">
        <v>46166</v>
      </c>
      <c r="AE14" s="66">
        <v>46167</v>
      </c>
      <c r="AF14" s="66">
        <v>46168</v>
      </c>
      <c r="AG14" s="66">
        <v>46169</v>
      </c>
      <c r="AH14" s="66">
        <v>46170</v>
      </c>
      <c r="AI14" s="66">
        <v>46171</v>
      </c>
      <c r="AJ14" s="66">
        <v>46172</v>
      </c>
      <c r="AK14" s="66">
        <v>46173</v>
      </c>
      <c r="AL14" s="66">
        <v>46174</v>
      </c>
      <c r="AM14" s="66">
        <v>46175</v>
      </c>
      <c r="AN14" s="66">
        <v>46176</v>
      </c>
      <c r="AO14" s="66">
        <v>46177</v>
      </c>
      <c r="AP14" s="66">
        <v>46178</v>
      </c>
      <c r="AQ14" s="66">
        <v>46179</v>
      </c>
      <c r="AR14" s="66">
        <v>46180</v>
      </c>
      <c r="AS14" s="66">
        <v>46181</v>
      </c>
      <c r="AT14" s="66">
        <v>46182</v>
      </c>
      <c r="AU14" s="66">
        <v>46183</v>
      </c>
      <c r="AV14" s="66">
        <v>46184</v>
      </c>
      <c r="AW14" s="66">
        <v>46185</v>
      </c>
      <c r="AX14" s="66">
        <v>46186</v>
      </c>
      <c r="AY14" s="66">
        <v>46187</v>
      </c>
      <c r="AZ14" s="66">
        <v>46188</v>
      </c>
      <c r="BA14" s="66">
        <v>46189</v>
      </c>
      <c r="BB14" s="66">
        <v>46190</v>
      </c>
      <c r="BC14" s="66">
        <v>46191</v>
      </c>
      <c r="BD14" s="66">
        <v>46192</v>
      </c>
      <c r="BE14" s="66">
        <v>46193</v>
      </c>
      <c r="BF14" s="66">
        <v>46194</v>
      </c>
      <c r="BG14" s="66">
        <v>46195</v>
      </c>
      <c r="BH14" s="66">
        <v>46196</v>
      </c>
      <c r="BI14" s="66">
        <v>46197</v>
      </c>
      <c r="BJ14" s="66">
        <v>46198</v>
      </c>
      <c r="BK14" s="66">
        <v>46199</v>
      </c>
      <c r="BL14" s="66">
        <v>46200</v>
      </c>
      <c r="BM14" s="66">
        <v>46201</v>
      </c>
      <c r="BN14" s="66">
        <v>46202</v>
      </c>
      <c r="BO14" s="66">
        <v>46203</v>
      </c>
      <c r="BP14" s="66">
        <v>46204</v>
      </c>
      <c r="BQ14" s="66">
        <v>46205</v>
      </c>
      <c r="BR14" s="66">
        <v>46206</v>
      </c>
      <c r="BS14" s="66">
        <v>46207</v>
      </c>
      <c r="BT14" s="66">
        <v>46208</v>
      </c>
      <c r="BU14" s="66">
        <v>46209</v>
      </c>
      <c r="BV14" s="66">
        <v>46210</v>
      </c>
      <c r="BW14" s="66">
        <v>46211</v>
      </c>
      <c r="BX14" s="66">
        <v>46212</v>
      </c>
      <c r="BY14" s="66">
        <v>46213</v>
      </c>
      <c r="BZ14" s="66">
        <v>46214</v>
      </c>
      <c r="CA14" s="66">
        <v>46215</v>
      </c>
      <c r="CB14" s="66">
        <v>46216</v>
      </c>
      <c r="CC14" s="66">
        <v>46217</v>
      </c>
      <c r="CD14" s="66">
        <v>46218</v>
      </c>
      <c r="CE14" s="66">
        <v>46219</v>
      </c>
      <c r="CF14" s="66">
        <v>46220</v>
      </c>
    </row>
    <row r="15" spans="1:84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</row>
    <row r="16" spans="1:84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O16" si="0">SUM(E17:E25)</f>
        <v>0</v>
      </c>
      <c r="F16" s="29">
        <f t="shared" si="0"/>
        <v>0</v>
      </c>
      <c r="G16" s="135">
        <f t="shared" si="0"/>
        <v>0</v>
      </c>
      <c r="H16" s="135">
        <f t="shared" si="0"/>
        <v>0</v>
      </c>
      <c r="I16" s="135">
        <f t="shared" si="0"/>
        <v>0</v>
      </c>
      <c r="J16" s="29">
        <f t="shared" si="0"/>
        <v>7037500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135">
        <f t="shared" si="0"/>
        <v>0</v>
      </c>
      <c r="P16" s="135">
        <f>SUM(P17:P25)</f>
        <v>0</v>
      </c>
      <c r="Q16" s="135">
        <f t="shared" ref="Q16:AK16" si="1">SUM(Q17:Q25)</f>
        <v>3065748</v>
      </c>
      <c r="R16" s="29">
        <f t="shared" si="1"/>
        <v>0</v>
      </c>
      <c r="S16" s="29">
        <f t="shared" si="1"/>
        <v>0</v>
      </c>
      <c r="T16" s="29">
        <f t="shared" si="1"/>
        <v>7882500</v>
      </c>
      <c r="U16" s="29">
        <f t="shared" si="1"/>
        <v>0</v>
      </c>
      <c r="V16" s="135">
        <f t="shared" si="1"/>
        <v>0</v>
      </c>
      <c r="W16" s="135">
        <f t="shared" si="1"/>
        <v>0</v>
      </c>
      <c r="X16" s="29">
        <f t="shared" si="1"/>
        <v>0</v>
      </c>
      <c r="Y16" s="29">
        <f t="shared" si="1"/>
        <v>0</v>
      </c>
      <c r="Z16" s="29">
        <f t="shared" si="1"/>
        <v>0</v>
      </c>
      <c r="AA16" s="29">
        <f t="shared" si="1"/>
        <v>0</v>
      </c>
      <c r="AB16" s="29">
        <f t="shared" si="1"/>
        <v>0</v>
      </c>
      <c r="AC16" s="135">
        <f t="shared" si="1"/>
        <v>0</v>
      </c>
      <c r="AD16" s="135">
        <f t="shared" si="1"/>
        <v>0</v>
      </c>
      <c r="AE16" s="29">
        <f t="shared" si="1"/>
        <v>0</v>
      </c>
      <c r="AF16" s="29">
        <f t="shared" si="1"/>
        <v>0</v>
      </c>
      <c r="AG16" s="29">
        <f t="shared" si="1"/>
        <v>0</v>
      </c>
      <c r="AH16" s="29">
        <f t="shared" si="1"/>
        <v>80935.747199999998</v>
      </c>
      <c r="AI16" s="29">
        <f t="shared" si="1"/>
        <v>3065748</v>
      </c>
      <c r="AJ16" s="135">
        <f t="shared" si="1"/>
        <v>0</v>
      </c>
      <c r="AK16" s="135">
        <f t="shared" si="1"/>
        <v>0</v>
      </c>
      <c r="AL16" s="29">
        <f t="shared" ref="AL16:CF16" si="2">SUM(AL17:AL25)</f>
        <v>0</v>
      </c>
      <c r="AM16" s="29">
        <f t="shared" si="2"/>
        <v>0</v>
      </c>
      <c r="AN16" s="29">
        <f t="shared" si="2"/>
        <v>8584225.7892000005</v>
      </c>
      <c r="AO16" s="29">
        <f t="shared" si="2"/>
        <v>0</v>
      </c>
      <c r="AP16" s="29">
        <f t="shared" si="2"/>
        <v>0</v>
      </c>
      <c r="AQ16" s="135">
        <f t="shared" si="2"/>
        <v>0</v>
      </c>
      <c r="AR16" s="135">
        <f t="shared" si="2"/>
        <v>0</v>
      </c>
      <c r="AS16" s="29">
        <f t="shared" si="2"/>
        <v>0</v>
      </c>
      <c r="AT16" s="29">
        <f t="shared" si="2"/>
        <v>0</v>
      </c>
      <c r="AU16" s="29">
        <f t="shared" si="2"/>
        <v>0</v>
      </c>
      <c r="AV16" s="29">
        <f t="shared" si="2"/>
        <v>0</v>
      </c>
      <c r="AW16" s="29">
        <f t="shared" si="2"/>
        <v>0</v>
      </c>
      <c r="AX16" s="135">
        <f t="shared" si="2"/>
        <v>0</v>
      </c>
      <c r="AY16" s="135">
        <f t="shared" si="2"/>
        <v>0</v>
      </c>
      <c r="AZ16" s="29">
        <f t="shared" si="2"/>
        <v>0</v>
      </c>
      <c r="BA16" s="29">
        <f t="shared" si="2"/>
        <v>0</v>
      </c>
      <c r="BB16" s="29">
        <f t="shared" si="2"/>
        <v>0</v>
      </c>
      <c r="BC16" s="29">
        <f t="shared" si="2"/>
        <v>0</v>
      </c>
      <c r="BD16" s="29">
        <f t="shared" si="2"/>
        <v>0</v>
      </c>
      <c r="BE16" s="135">
        <f t="shared" si="2"/>
        <v>0</v>
      </c>
      <c r="BF16" s="135">
        <f t="shared" si="2"/>
        <v>0</v>
      </c>
      <c r="BG16" s="29">
        <f t="shared" si="2"/>
        <v>0</v>
      </c>
      <c r="BH16" s="29">
        <f t="shared" si="2"/>
        <v>0</v>
      </c>
      <c r="BI16" s="29">
        <f t="shared" si="2"/>
        <v>0</v>
      </c>
      <c r="BJ16" s="29">
        <f t="shared" si="2"/>
        <v>0</v>
      </c>
      <c r="BK16" s="29">
        <f t="shared" si="2"/>
        <v>0</v>
      </c>
      <c r="BL16" s="135">
        <f t="shared" si="2"/>
        <v>0</v>
      </c>
      <c r="BM16" s="135">
        <f t="shared" si="2"/>
        <v>0</v>
      </c>
      <c r="BN16" s="29">
        <f t="shared" si="2"/>
        <v>0</v>
      </c>
      <c r="BO16" s="29">
        <f t="shared" si="2"/>
        <v>0</v>
      </c>
      <c r="BP16" s="29">
        <f t="shared" si="2"/>
        <v>0</v>
      </c>
      <c r="BQ16" s="29">
        <f t="shared" si="2"/>
        <v>0</v>
      </c>
      <c r="BR16" s="29">
        <f t="shared" si="2"/>
        <v>0</v>
      </c>
      <c r="BS16" s="135">
        <f t="shared" si="2"/>
        <v>0</v>
      </c>
      <c r="BT16" s="135">
        <f t="shared" si="2"/>
        <v>0</v>
      </c>
      <c r="BU16" s="29">
        <f t="shared" si="2"/>
        <v>0</v>
      </c>
      <c r="BV16" s="29">
        <f t="shared" si="2"/>
        <v>0</v>
      </c>
      <c r="BW16" s="29">
        <f t="shared" si="2"/>
        <v>0</v>
      </c>
      <c r="BX16" s="29">
        <f t="shared" si="2"/>
        <v>0</v>
      </c>
      <c r="BY16" s="29">
        <f t="shared" si="2"/>
        <v>0</v>
      </c>
      <c r="BZ16" s="135">
        <f t="shared" si="2"/>
        <v>0</v>
      </c>
      <c r="CA16" s="135">
        <f t="shared" si="2"/>
        <v>0</v>
      </c>
      <c r="CB16" s="29">
        <f t="shared" si="2"/>
        <v>0</v>
      </c>
      <c r="CC16" s="29">
        <f t="shared" si="2"/>
        <v>0</v>
      </c>
      <c r="CD16" s="29">
        <f t="shared" si="2"/>
        <v>0</v>
      </c>
      <c r="CE16" s="29">
        <f t="shared" si="2"/>
        <v>0</v>
      </c>
      <c r="CF16" s="29">
        <f t="shared" si="2"/>
        <v>0</v>
      </c>
    </row>
    <row r="17" spans="1:84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141"/>
      <c r="CC17" s="141"/>
      <c r="CD17" s="141"/>
      <c r="CE17" s="141"/>
      <c r="CF17" s="141"/>
    </row>
    <row r="18" spans="1:84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</row>
    <row r="19" spans="1:84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</row>
    <row r="20" spans="1:84" s="80" customFormat="1" ht="13.5" customHeigh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>
        <v>7037500</v>
      </c>
      <c r="K20" s="30"/>
      <c r="L20" s="30"/>
      <c r="M20" s="30"/>
      <c r="N20" s="30"/>
      <c r="O20" s="30"/>
      <c r="P20" s="30"/>
      <c r="Q20" s="30"/>
      <c r="R20" s="30"/>
      <c r="S20" s="30"/>
      <c r="T20" s="30">
        <v>7882500</v>
      </c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</row>
    <row r="21" spans="1:84" s="80" customFormat="1" ht="13.5" customHeigh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>
        <f>924*A3</f>
        <v>80935.747199999998</v>
      </c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</row>
    <row r="22" spans="1:84" s="80" customFormat="1" ht="13.5" customHeigh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</row>
    <row r="23" spans="1:84" s="80" customFormat="1" ht="12" customHeigh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>
        <f>98001.5*A3</f>
        <v>8584225.7892000005</v>
      </c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</row>
    <row r="24" spans="1:84" s="80" customFormat="1" ht="10.5" customHeigh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>
        <f>35000*A3</f>
        <v>3065748</v>
      </c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>
        <f>35000*A3</f>
        <v>3065748</v>
      </c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</row>
    <row r="25" spans="1:84" ht="3" customHeight="1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</row>
    <row r="26" spans="1:84" s="4" customFormat="1" x14ac:dyDescent="0.2">
      <c r="A26" s="41" t="s">
        <v>1</v>
      </c>
      <c r="B26" s="22"/>
      <c r="C26" s="34">
        <f>SUM(C28:C70)</f>
        <v>7817504.1301200008</v>
      </c>
      <c r="D26" s="34"/>
      <c r="E26" s="34">
        <f t="shared" ref="E26:AK26" si="3">SUM(E27:E71)</f>
        <v>495298.2</v>
      </c>
      <c r="F26" s="34">
        <f t="shared" si="3"/>
        <v>101277.84</v>
      </c>
      <c r="G26" s="34">
        <f t="shared" si="3"/>
        <v>112000</v>
      </c>
      <c r="H26" s="34">
        <f t="shared" si="3"/>
        <v>0</v>
      </c>
      <c r="I26" s="34">
        <f t="shared" si="3"/>
        <v>0</v>
      </c>
      <c r="J26" s="34">
        <f t="shared" si="3"/>
        <v>1402859.1199999999</v>
      </c>
      <c r="K26" s="34">
        <f t="shared" si="3"/>
        <v>2173640.7079480519</v>
      </c>
      <c r="L26" s="34">
        <f t="shared" si="3"/>
        <v>1194374.156</v>
      </c>
      <c r="M26" s="34">
        <f t="shared" si="3"/>
        <v>3005511.4637922077</v>
      </c>
      <c r="N26" s="34">
        <f t="shared" si="3"/>
        <v>859635.35359999991</v>
      </c>
      <c r="O26" s="34">
        <f t="shared" si="3"/>
        <v>0</v>
      </c>
      <c r="P26" s="34">
        <f t="shared" si="3"/>
        <v>360000</v>
      </c>
      <c r="Q26" s="34">
        <f t="shared" si="3"/>
        <v>2272035.3376623373</v>
      </c>
      <c r="R26" s="34">
        <f t="shared" si="3"/>
        <v>1280432.22</v>
      </c>
      <c r="S26" s="34">
        <f t="shared" si="3"/>
        <v>1653345.4</v>
      </c>
      <c r="T26" s="34">
        <f t="shared" si="3"/>
        <v>3235622.3220779221</v>
      </c>
      <c r="U26" s="34">
        <f t="shared" si="3"/>
        <v>864522.4</v>
      </c>
      <c r="V26" s="34">
        <f t="shared" si="3"/>
        <v>0</v>
      </c>
      <c r="W26" s="34">
        <f t="shared" si="3"/>
        <v>0</v>
      </c>
      <c r="X26" s="34">
        <f t="shared" si="3"/>
        <v>153755.68</v>
      </c>
      <c r="Y26" s="34">
        <f t="shared" si="3"/>
        <v>345134.68</v>
      </c>
      <c r="Z26" s="34">
        <f t="shared" si="3"/>
        <v>153755.68</v>
      </c>
      <c r="AA26" s="34">
        <f t="shared" si="3"/>
        <v>101200</v>
      </c>
      <c r="AB26" s="34">
        <f t="shared" si="3"/>
        <v>1179438.0520000001</v>
      </c>
      <c r="AC26" s="34">
        <f t="shared" si="3"/>
        <v>0</v>
      </c>
      <c r="AD26" s="34">
        <f t="shared" si="3"/>
        <v>0</v>
      </c>
      <c r="AE26" s="34">
        <f t="shared" si="3"/>
        <v>101200</v>
      </c>
      <c r="AF26" s="34">
        <f t="shared" si="3"/>
        <v>101200</v>
      </c>
      <c r="AG26" s="34">
        <f t="shared" si="3"/>
        <v>101200</v>
      </c>
      <c r="AH26" s="34">
        <f t="shared" si="3"/>
        <v>4343481.333333334</v>
      </c>
      <c r="AI26" s="34">
        <f t="shared" si="3"/>
        <v>4876130</v>
      </c>
      <c r="AJ26" s="34">
        <f t="shared" si="3"/>
        <v>0</v>
      </c>
      <c r="AK26" s="34">
        <f t="shared" si="3"/>
        <v>0</v>
      </c>
      <c r="AL26" s="34">
        <f t="shared" ref="AL26" si="4">SUM(AL27:AL71)</f>
        <v>0</v>
      </c>
      <c r="AM26" s="34">
        <f t="shared" ref="AM26" si="5">SUM(AM27:AM71)</f>
        <v>0</v>
      </c>
      <c r="AN26" s="34">
        <f t="shared" ref="AN26" si="6">SUM(AN27:AN71)</f>
        <v>0</v>
      </c>
      <c r="AO26" s="34">
        <f t="shared" ref="AO26" si="7">SUM(AO27:AO71)</f>
        <v>0</v>
      </c>
      <c r="AP26" s="34">
        <f t="shared" ref="AP26" si="8">SUM(AP27:AP71)</f>
        <v>746062.9</v>
      </c>
      <c r="AQ26" s="34">
        <f t="shared" ref="AQ26" si="9">SUM(AQ27:AQ71)</f>
        <v>0</v>
      </c>
      <c r="AR26" s="34">
        <f t="shared" ref="AR26" si="10">SUM(AR27:AR71)</f>
        <v>0</v>
      </c>
      <c r="AS26" s="34">
        <f t="shared" ref="AS26" si="11">SUM(AS27:AS71)</f>
        <v>0</v>
      </c>
      <c r="AT26" s="34">
        <f t="shared" ref="AT26" si="12">SUM(AT27:AT71)</f>
        <v>0</v>
      </c>
      <c r="AU26" s="34">
        <f t="shared" ref="AU26" si="13">SUM(AU27:AU71)</f>
        <v>0</v>
      </c>
      <c r="AV26" s="34">
        <f t="shared" ref="AV26" si="14">SUM(AV27:AV71)</f>
        <v>0</v>
      </c>
      <c r="AW26" s="34">
        <f t="shared" ref="AW26" si="15">SUM(AW27:AW71)</f>
        <v>0</v>
      </c>
      <c r="AX26" s="34">
        <f t="shared" ref="AX26" si="16">SUM(AX27:AX71)</f>
        <v>0</v>
      </c>
      <c r="AY26" s="34">
        <f t="shared" ref="AY26" si="17">SUM(AY27:AY71)</f>
        <v>0</v>
      </c>
      <c r="AZ26" s="34">
        <f t="shared" ref="AZ26" si="18">SUM(AZ27:AZ71)</f>
        <v>0</v>
      </c>
      <c r="BA26" s="34">
        <f t="shared" ref="BA26" si="19">SUM(BA27:BA71)</f>
        <v>0</v>
      </c>
      <c r="BB26" s="34">
        <f t="shared" ref="BB26" si="20">SUM(BB27:BB71)</f>
        <v>0</v>
      </c>
      <c r="BC26" s="34">
        <f t="shared" ref="BC26" si="21">SUM(BC27:BC71)</f>
        <v>0</v>
      </c>
      <c r="BD26" s="34">
        <f t="shared" ref="BD26" si="22">SUM(BD27:BD71)</f>
        <v>0</v>
      </c>
      <c r="BE26" s="34">
        <f t="shared" ref="BE26" si="23">SUM(BE27:BE71)</f>
        <v>0</v>
      </c>
      <c r="BF26" s="34">
        <f t="shared" ref="BF26" si="24">SUM(BF27:BF71)</f>
        <v>0</v>
      </c>
      <c r="BG26" s="34">
        <f t="shared" ref="BG26" si="25">SUM(BG27:BG71)</f>
        <v>0</v>
      </c>
      <c r="BH26" s="34">
        <f t="shared" ref="BH26" si="26">SUM(BH27:BH71)</f>
        <v>0</v>
      </c>
      <c r="BI26" s="34">
        <f t="shared" ref="BI26" si="27">SUM(BI27:BI71)</f>
        <v>0</v>
      </c>
      <c r="BJ26" s="34">
        <f t="shared" ref="BJ26" si="28">SUM(BJ27:BJ71)</f>
        <v>0</v>
      </c>
      <c r="BK26" s="34">
        <f t="shared" ref="BK26" si="29">SUM(BK27:BK71)</f>
        <v>0</v>
      </c>
      <c r="BL26" s="34">
        <f t="shared" ref="BL26" si="30">SUM(BL27:BL71)</f>
        <v>0</v>
      </c>
      <c r="BM26" s="34">
        <f t="shared" ref="BM26" si="31">SUM(BM27:BM71)</f>
        <v>0</v>
      </c>
      <c r="BN26" s="34">
        <f t="shared" ref="BN26" si="32">SUM(BN27:BN71)</f>
        <v>3228281.3333333335</v>
      </c>
      <c r="BO26" s="34">
        <f t="shared" ref="BO26" si="33">SUM(BO27:BO71)</f>
        <v>0</v>
      </c>
      <c r="BP26" s="34">
        <f t="shared" ref="BP26" si="34">SUM(BP27:BP71)</f>
        <v>0</v>
      </c>
      <c r="BQ26" s="34">
        <f t="shared" ref="BQ26" si="35">SUM(BQ27:BQ71)</f>
        <v>746062.9</v>
      </c>
      <c r="BR26" s="34">
        <f t="shared" ref="BR26" si="36">SUM(BR27:BR71)</f>
        <v>0</v>
      </c>
      <c r="BS26" s="34">
        <f t="shared" ref="BS26" si="37">SUM(BS27:BS71)</f>
        <v>0</v>
      </c>
      <c r="BT26" s="34">
        <f t="shared" ref="BT26" si="38">SUM(BT27:BT71)</f>
        <v>0</v>
      </c>
      <c r="BU26" s="34">
        <f t="shared" ref="BU26" si="39">SUM(BU27:BU71)</f>
        <v>0</v>
      </c>
      <c r="BV26" s="34">
        <f t="shared" ref="BV26" si="40">SUM(BV27:BV71)</f>
        <v>0</v>
      </c>
      <c r="BW26" s="34">
        <f t="shared" ref="BW26" si="41">SUM(BW27:BW71)</f>
        <v>0</v>
      </c>
      <c r="BX26" s="34">
        <f t="shared" ref="BX26" si="42">SUM(BX27:BX71)</f>
        <v>0</v>
      </c>
      <c r="BY26" s="34">
        <f t="shared" ref="BY26" si="43">SUM(BY27:BY71)</f>
        <v>0</v>
      </c>
      <c r="BZ26" s="34">
        <f t="shared" ref="BZ26" si="44">SUM(BZ27:BZ71)</f>
        <v>0</v>
      </c>
      <c r="CA26" s="34">
        <f t="shared" ref="CA26" si="45">SUM(CA27:CA71)</f>
        <v>0</v>
      </c>
      <c r="CB26" s="34">
        <f t="shared" ref="CB26" si="46">SUM(CB27:CB71)</f>
        <v>0</v>
      </c>
      <c r="CC26" s="34">
        <f t="shared" ref="CC26" si="47">SUM(CC27:CC71)</f>
        <v>0</v>
      </c>
      <c r="CD26" s="34">
        <f t="shared" ref="CD26" si="48">SUM(CD27:CD71)</f>
        <v>0</v>
      </c>
      <c r="CE26" s="34">
        <f t="shared" ref="CE26" si="49">SUM(CE27:CE71)</f>
        <v>0</v>
      </c>
      <c r="CF26" s="34">
        <f t="shared" ref="CF26" si="50">SUM(CF27:CF71)</f>
        <v>0</v>
      </c>
    </row>
    <row r="27" spans="1:84" ht="3" customHeight="1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</row>
    <row r="28" spans="1:84" s="1" customFormat="1" x14ac:dyDescent="0.2">
      <c r="A28" s="36" t="s">
        <v>2</v>
      </c>
      <c r="B28" s="23" t="s">
        <v>3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</row>
    <row r="29" spans="1:84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</row>
    <row r="30" spans="1:84" s="1" customFormat="1" x14ac:dyDescent="0.2">
      <c r="A30" s="36" t="s">
        <v>2</v>
      </c>
      <c r="B30" s="23" t="s">
        <v>5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>
        <f>8399365/3</f>
        <v>2799788.3333333335</v>
      </c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>
        <f>8399365/3</f>
        <v>2799788.3333333335</v>
      </c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</row>
    <row r="31" spans="1:84" s="1" customFormat="1" x14ac:dyDescent="0.2">
      <c r="A31" s="36" t="s">
        <v>2</v>
      </c>
      <c r="B31" s="23" t="s">
        <v>6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90">
        <f>291375+137118</f>
        <v>428493</v>
      </c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90">
        <f>291375+137118</f>
        <v>428493</v>
      </c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</row>
    <row r="32" spans="1:84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/>
      <c r="I32" s="24"/>
      <c r="J32" s="24">
        <v>560000</v>
      </c>
      <c r="K32" s="24"/>
      <c r="L32" s="24"/>
      <c r="M32" s="24"/>
      <c r="N32" s="24"/>
      <c r="O32" s="24"/>
      <c r="P32" s="24">
        <v>360000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</row>
    <row r="33" spans="1:84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>
        <v>271506</v>
      </c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</row>
    <row r="34" spans="1:84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>
        <v>100000</v>
      </c>
      <c r="K34" s="24"/>
      <c r="L34" s="24">
        <v>100113.9</v>
      </c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</row>
    <row r="35" spans="1:84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>
        <v>200113.9</v>
      </c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>
        <v>200113.9</v>
      </c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</row>
    <row r="36" spans="1:84" s="1" customFormat="1" x14ac:dyDescent="0.2">
      <c r="A36" s="36" t="s">
        <v>53</v>
      </c>
      <c r="B36" s="23"/>
      <c r="C36" s="60"/>
      <c r="D36" s="24"/>
      <c r="E36" s="24"/>
      <c r="F36" s="24"/>
      <c r="H36" s="24"/>
      <c r="I36" s="24"/>
      <c r="K36" s="24"/>
      <c r="L36" s="24"/>
      <c r="M36" s="24"/>
      <c r="N36" s="24">
        <v>145949</v>
      </c>
      <c r="O36" s="24"/>
      <c r="P36" s="24"/>
      <c r="Q36" s="24"/>
      <c r="R36" s="24">
        <v>100000</v>
      </c>
      <c r="S36" s="24">
        <v>100000</v>
      </c>
      <c r="T36" s="24">
        <v>100000</v>
      </c>
      <c r="U36" s="24">
        <v>100000</v>
      </c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>
        <v>545949</v>
      </c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>
        <v>545949</v>
      </c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</row>
    <row r="37" spans="1:84" s="1" customFormat="1" ht="11.25" customHeigh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</row>
    <row r="38" spans="1:84" s="71" customFormat="1" x14ac:dyDescent="0.2">
      <c r="A38" s="69" t="s">
        <v>14</v>
      </c>
      <c r="B38" s="25" t="s">
        <v>30</v>
      </c>
      <c r="C38" s="70"/>
      <c r="D38" s="24"/>
      <c r="E38" s="24"/>
      <c r="F38" s="24"/>
      <c r="H38" s="24"/>
      <c r="I38" s="24"/>
      <c r="J38" s="24"/>
      <c r="K38" s="24"/>
      <c r="M38" s="24"/>
      <c r="N38" s="24"/>
      <c r="O38" s="24"/>
      <c r="P38" s="24"/>
      <c r="Q38" s="24"/>
      <c r="R38" s="24"/>
      <c r="S38" s="100">
        <v>341779</v>
      </c>
      <c r="T38" s="24"/>
      <c r="U38" s="24"/>
      <c r="V38" s="24"/>
      <c r="W38" s="24"/>
      <c r="X38" s="24"/>
      <c r="Y38" s="100">
        <v>191379</v>
      </c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</row>
    <row r="39" spans="1:84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24"/>
      <c r="H39" s="24"/>
      <c r="I39" s="24"/>
      <c r="J39" s="24"/>
      <c r="K39" s="24"/>
      <c r="L39" s="24"/>
      <c r="M39" s="100">
        <v>156160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</row>
    <row r="40" spans="1:84" s="71" customFormat="1" x14ac:dyDescent="0.2">
      <c r="A40" s="69" t="s">
        <v>117</v>
      </c>
      <c r="B40" s="25" t="s">
        <v>119</v>
      </c>
      <c r="C40" s="70"/>
      <c r="D40" s="24"/>
      <c r="E40" s="24"/>
      <c r="F40" s="24"/>
      <c r="G40" s="24"/>
      <c r="H40" s="24"/>
      <c r="I40" s="24"/>
      <c r="J40" s="24"/>
      <c r="K40" s="24"/>
      <c r="L40" s="24"/>
      <c r="M40" s="28"/>
      <c r="N40" s="24"/>
      <c r="O40" s="24"/>
      <c r="P40" s="24"/>
      <c r="Q40" s="24"/>
      <c r="R40" s="24"/>
      <c r="S40" s="24"/>
      <c r="T40" s="24"/>
      <c r="U40" s="28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100">
        <v>691000</v>
      </c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</row>
    <row r="41" spans="1:84" s="71" customFormat="1" x14ac:dyDescent="0.2">
      <c r="A41" s="69" t="s">
        <v>97</v>
      </c>
      <c r="B41" s="25" t="s">
        <v>98</v>
      </c>
      <c r="C41" s="70"/>
      <c r="D41" s="24"/>
      <c r="E41" s="100">
        <v>311400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</row>
    <row r="42" spans="1:84" s="71" customFormat="1" x14ac:dyDescent="0.2">
      <c r="A42" s="69" t="s">
        <v>17</v>
      </c>
      <c r="B42" s="25" t="s">
        <v>41</v>
      </c>
      <c r="C42" s="70">
        <f>1375000-500000-175000-50000</f>
        <v>650000</v>
      </c>
      <c r="D42" s="24"/>
      <c r="E42" s="100">
        <v>25000</v>
      </c>
      <c r="H42" s="24"/>
      <c r="I42" s="24"/>
      <c r="J42" s="129">
        <v>100000</v>
      </c>
      <c r="K42" s="129">
        <v>25000</v>
      </c>
      <c r="L42" s="129">
        <v>75000</v>
      </c>
      <c r="M42" s="129">
        <v>175000</v>
      </c>
      <c r="N42" s="142">
        <f>45000+50000-25000</f>
        <v>70000</v>
      </c>
      <c r="O42" s="24"/>
      <c r="P42" s="24"/>
      <c r="Q42" s="24"/>
      <c r="R42" s="129">
        <v>175000</v>
      </c>
      <c r="S42" s="24"/>
      <c r="T42" s="129">
        <v>100000</v>
      </c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</row>
    <row r="43" spans="1:84" s="71" customFormat="1" x14ac:dyDescent="0.2">
      <c r="A43" s="69" t="s">
        <v>15</v>
      </c>
      <c r="B43" s="25" t="s">
        <v>31</v>
      </c>
      <c r="C43" s="70">
        <f>1289912-50000-50000-75000-124688-100000-100000-50000</f>
        <v>740224</v>
      </c>
      <c r="D43" s="24"/>
      <c r="E43" s="100">
        <v>50000</v>
      </c>
      <c r="F43" s="28"/>
      <c r="G43" s="28"/>
      <c r="H43" s="28"/>
      <c r="I43" s="24"/>
      <c r="J43" s="108">
        <v>65224</v>
      </c>
      <c r="K43" s="108">
        <v>90224</v>
      </c>
      <c r="L43" s="108">
        <v>115224</v>
      </c>
      <c r="M43" s="108">
        <f>25000+100000</f>
        <v>125000</v>
      </c>
      <c r="N43" s="108">
        <v>45000</v>
      </c>
      <c r="O43" s="24"/>
      <c r="P43" s="24"/>
      <c r="R43" s="98">
        <f>515224/4</f>
        <v>128806</v>
      </c>
      <c r="S43" s="98">
        <f>515224/4</f>
        <v>128806</v>
      </c>
      <c r="T43" s="98">
        <f>515224/4</f>
        <v>128806</v>
      </c>
      <c r="U43" s="98">
        <f>515224/4+54464</f>
        <v>183270</v>
      </c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100">
        <v>516230</v>
      </c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</row>
    <row r="44" spans="1:84" s="71" customFormat="1" x14ac:dyDescent="0.2">
      <c r="A44" s="69" t="s">
        <v>16</v>
      </c>
      <c r="B44" s="25" t="s">
        <v>32</v>
      </c>
      <c r="C44" s="70">
        <f>722080-56200-49941-90880-100000-30000</f>
        <v>395059</v>
      </c>
      <c r="D44" s="24"/>
      <c r="E44" s="100">
        <v>35000</v>
      </c>
      <c r="F44" s="108">
        <v>50000</v>
      </c>
      <c r="G44" s="24"/>
      <c r="H44" s="24"/>
      <c r="I44" s="24"/>
      <c r="J44" s="108">
        <f>499410/4</f>
        <v>124852.5</v>
      </c>
      <c r="K44" s="108">
        <f>499410/4</f>
        <v>124852.5</v>
      </c>
      <c r="L44" s="108">
        <f>499410/4</f>
        <v>124852.5</v>
      </c>
      <c r="M44" s="108">
        <f>499410/4+20000</f>
        <v>144852.5</v>
      </c>
      <c r="N44" s="108">
        <v>45000</v>
      </c>
      <c r="O44" s="24"/>
      <c r="P44" s="24"/>
      <c r="Q44" s="24"/>
      <c r="R44" s="95">
        <v>332940</v>
      </c>
      <c r="S44" s="108">
        <v>194764</v>
      </c>
      <c r="T44" s="108">
        <f>85388+64882+50000</f>
        <v>200270</v>
      </c>
      <c r="U44" s="108">
        <v>100000</v>
      </c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</row>
    <row r="45" spans="1:84" s="71" customFormat="1" x14ac:dyDescent="0.2">
      <c r="A45" s="69" t="s">
        <v>85</v>
      </c>
      <c r="B45" s="25" t="s">
        <v>47</v>
      </c>
      <c r="C45" s="70">
        <f>2580*A6</f>
        <v>225989.424</v>
      </c>
      <c r="D45" s="24"/>
      <c r="E45" s="72"/>
      <c r="F45" s="72"/>
      <c r="G45" s="24"/>
      <c r="H45" s="24"/>
      <c r="I45" s="24"/>
      <c r="J45" s="24"/>
      <c r="K45" s="108">
        <f>645*$A$6</f>
        <v>56497.356</v>
      </c>
      <c r="L45" s="108">
        <f>645*$A$6</f>
        <v>56497.356</v>
      </c>
      <c r="M45" s="108">
        <f>645*$A$6</f>
        <v>56497.356</v>
      </c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</row>
    <row r="46" spans="1:84" s="71" customFormat="1" x14ac:dyDescent="0.2">
      <c r="A46" s="69" t="s">
        <v>120</v>
      </c>
      <c r="B46" s="25" t="s">
        <v>121</v>
      </c>
      <c r="C46" s="76"/>
      <c r="D46" s="24"/>
      <c r="E46" s="28"/>
      <c r="F46" s="28"/>
      <c r="G46" s="24"/>
      <c r="H46" s="24"/>
      <c r="I46" s="24"/>
      <c r="J46" s="24"/>
      <c r="K46" s="24"/>
      <c r="L46" s="24"/>
      <c r="M46" s="24"/>
      <c r="N46" s="28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100">
        <v>507000</v>
      </c>
      <c r="AC46" s="24"/>
      <c r="AD46" s="24"/>
      <c r="AE46" s="24"/>
      <c r="AF46" s="24"/>
      <c r="AG46" s="24"/>
      <c r="AH46" s="100">
        <v>1014000</v>
      </c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</row>
    <row r="47" spans="1:84" s="73" customFormat="1" x14ac:dyDescent="0.2">
      <c r="A47" s="69" t="s">
        <v>22</v>
      </c>
      <c r="B47" s="25" t="s">
        <v>48</v>
      </c>
      <c r="C47" s="137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138">
        <f>52206*A9</f>
        <v>571238.05200000003</v>
      </c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</row>
    <row r="48" spans="1:84" s="73" customFormat="1" x14ac:dyDescent="0.2">
      <c r="A48" s="69" t="s">
        <v>108</v>
      </c>
      <c r="B48" s="25" t="s">
        <v>109</v>
      </c>
      <c r="C48" s="120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</row>
    <row r="49" spans="1:84" s="71" customFormat="1" x14ac:dyDescent="0.2">
      <c r="A49" s="69" t="s">
        <v>36</v>
      </c>
      <c r="B49" s="25" t="s">
        <v>37</v>
      </c>
      <c r="C49" s="130"/>
      <c r="D49" s="24"/>
      <c r="E49" s="24"/>
      <c r="G49" s="24"/>
      <c r="H49" s="24"/>
      <c r="I49" s="24"/>
      <c r="K49" s="24"/>
      <c r="L49" s="24"/>
      <c r="M49" s="24"/>
      <c r="N49" s="100">
        <f>2662*A6</f>
        <v>233172.0336</v>
      </c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</row>
    <row r="50" spans="1:84" s="71" customFormat="1" x14ac:dyDescent="0.2">
      <c r="A50" s="69" t="s">
        <v>86</v>
      </c>
      <c r="B50" s="25" t="s">
        <v>35</v>
      </c>
      <c r="C50" s="70">
        <f>2400*A6+4050*A6</f>
        <v>564973.55999999994</v>
      </c>
      <c r="D50" s="77"/>
      <c r="E50" s="28"/>
      <c r="F50" s="108">
        <f>300*$A$6</f>
        <v>26277.84</v>
      </c>
      <c r="G50" s="24"/>
      <c r="H50" s="24"/>
      <c r="I50" s="24"/>
      <c r="J50" s="108">
        <f>525*$A$6</f>
        <v>45986.22</v>
      </c>
      <c r="K50" s="108">
        <f>500*$A$6</f>
        <v>43796.4</v>
      </c>
      <c r="L50" s="108">
        <f>500*$A$6</f>
        <v>43796.4</v>
      </c>
      <c r="M50" s="108">
        <f>500*$A$6</f>
        <v>43796.4</v>
      </c>
      <c r="N50" s="108">
        <f>900*$A$6</f>
        <v>78833.52</v>
      </c>
      <c r="O50" s="24"/>
      <c r="P50" s="24"/>
      <c r="Q50" s="24"/>
      <c r="R50" s="108">
        <f>525*$A$6</f>
        <v>45986.22</v>
      </c>
      <c r="S50" s="108">
        <f>500*$A$6</f>
        <v>43796.4</v>
      </c>
      <c r="T50" s="108">
        <f>500*$A$6</f>
        <v>43796.4</v>
      </c>
      <c r="U50" s="108">
        <f>500*$A$6</f>
        <v>43796.4</v>
      </c>
      <c r="V50" s="24"/>
      <c r="W50" s="24"/>
      <c r="X50" s="108">
        <f>600*$A$6</f>
        <v>52555.68</v>
      </c>
      <c r="Y50" s="108">
        <f>600*$A$6</f>
        <v>52555.68</v>
      </c>
      <c r="Z50" s="108">
        <f>600*$A$6</f>
        <v>52555.68</v>
      </c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</row>
    <row r="51" spans="1:84" s="71" customFormat="1" x14ac:dyDescent="0.2">
      <c r="A51" s="69" t="s">
        <v>29</v>
      </c>
      <c r="B51" s="25" t="s">
        <v>42</v>
      </c>
      <c r="C51" s="70">
        <v>20000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</row>
    <row r="52" spans="1:84" s="71" customFormat="1" x14ac:dyDescent="0.2">
      <c r="A52" s="69" t="s">
        <v>29</v>
      </c>
      <c r="B52" s="25" t="s">
        <v>43</v>
      </c>
      <c r="C52" s="70">
        <v>439750</v>
      </c>
      <c r="D52" s="24"/>
      <c r="F52" s="24"/>
      <c r="H52" s="24"/>
      <c r="I52" s="24"/>
      <c r="J52" s="95">
        <v>50000</v>
      </c>
      <c r="K52" s="95">
        <v>50000</v>
      </c>
      <c r="L52" s="95">
        <v>50000</v>
      </c>
      <c r="M52" s="95">
        <v>50000</v>
      </c>
      <c r="N52" s="95">
        <v>25000</v>
      </c>
      <c r="O52" s="24"/>
      <c r="P52" s="24"/>
      <c r="Q52" s="24"/>
      <c r="R52" s="95">
        <v>50000</v>
      </c>
      <c r="S52" s="95">
        <v>50000</v>
      </c>
      <c r="T52" s="95">
        <v>50000</v>
      </c>
      <c r="U52" s="95">
        <f>50000+14750</f>
        <v>64750</v>
      </c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</row>
    <row r="53" spans="1:84" s="71" customFormat="1" x14ac:dyDescent="0.2">
      <c r="A53" s="69" t="s">
        <v>29</v>
      </c>
      <c r="B53" s="25" t="s">
        <v>55</v>
      </c>
      <c r="C53" s="70">
        <f>1500*A6</f>
        <v>131389.19999999998</v>
      </c>
      <c r="D53" s="24"/>
      <c r="E53" s="100">
        <f>250*$A$6</f>
        <v>21898.2</v>
      </c>
      <c r="F53" s="24"/>
      <c r="G53" s="24"/>
      <c r="H53" s="24"/>
      <c r="I53" s="24"/>
      <c r="J53" s="95">
        <f>500*$A$6</f>
        <v>43796.4</v>
      </c>
      <c r="K53" s="95">
        <f>500*$A$6</f>
        <v>43796.4</v>
      </c>
      <c r="L53" s="24"/>
      <c r="M53" s="24"/>
      <c r="N53" s="95">
        <f>250*$A$6</f>
        <v>21898.2</v>
      </c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</row>
    <row r="54" spans="1:84" s="71" customFormat="1" x14ac:dyDescent="0.2">
      <c r="A54" s="69" t="s">
        <v>40</v>
      </c>
      <c r="B54" s="25" t="s">
        <v>44</v>
      </c>
      <c r="C54" s="70"/>
      <c r="D54" s="24"/>
      <c r="E54" s="24"/>
      <c r="F54" s="24"/>
      <c r="G54" s="24"/>
      <c r="H54" s="24"/>
      <c r="I54" s="24"/>
      <c r="J54" s="24"/>
      <c r="K54" s="24"/>
      <c r="L54" s="100">
        <v>2090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</row>
    <row r="55" spans="1:84" s="71" customFormat="1" x14ac:dyDescent="0.2">
      <c r="A55" s="69" t="s">
        <v>90</v>
      </c>
      <c r="B55" s="25" t="s">
        <v>91</v>
      </c>
      <c r="C55" s="70"/>
      <c r="D55" s="77"/>
      <c r="E55" s="24"/>
      <c r="F55" s="24"/>
      <c r="G55" s="24"/>
      <c r="I55" s="24"/>
      <c r="J55" s="100">
        <f>1012000/10</f>
        <v>101200</v>
      </c>
      <c r="K55" s="100">
        <f t="shared" ref="K55:M55" si="51">1012000/10</f>
        <v>101200</v>
      </c>
      <c r="L55" s="100">
        <f t="shared" si="51"/>
        <v>101200</v>
      </c>
      <c r="M55" s="100">
        <f t="shared" si="51"/>
        <v>101200</v>
      </c>
      <c r="N55" s="24"/>
      <c r="O55" s="24"/>
      <c r="P55" s="24"/>
      <c r="Q55" s="24"/>
      <c r="R55" s="100">
        <f t="shared" ref="R55:U55" si="52">1012000/10</f>
        <v>101200</v>
      </c>
      <c r="S55" s="100">
        <f t="shared" si="52"/>
        <v>101200</v>
      </c>
      <c r="T55" s="100">
        <f t="shared" si="52"/>
        <v>101200</v>
      </c>
      <c r="U55" s="100">
        <f t="shared" si="52"/>
        <v>101200</v>
      </c>
      <c r="V55" s="24"/>
      <c r="W55" s="24"/>
      <c r="X55" s="100">
        <f t="shared" ref="X55:AB55" si="53">1012000/10</f>
        <v>101200</v>
      </c>
      <c r="Y55" s="100">
        <f t="shared" si="53"/>
        <v>101200</v>
      </c>
      <c r="Z55" s="100">
        <f t="shared" si="53"/>
        <v>101200</v>
      </c>
      <c r="AA55" s="100">
        <f t="shared" si="53"/>
        <v>101200</v>
      </c>
      <c r="AB55" s="100">
        <f t="shared" si="53"/>
        <v>101200</v>
      </c>
      <c r="AC55" s="24"/>
      <c r="AD55" s="24"/>
      <c r="AE55" s="100">
        <f t="shared" ref="AE55:AI55" si="54">1012000/10</f>
        <v>101200</v>
      </c>
      <c r="AF55" s="100">
        <f t="shared" si="54"/>
        <v>101200</v>
      </c>
      <c r="AG55" s="100">
        <f t="shared" si="54"/>
        <v>101200</v>
      </c>
      <c r="AH55" s="100">
        <f t="shared" si="54"/>
        <v>101200</v>
      </c>
      <c r="AI55" s="100">
        <f t="shared" si="54"/>
        <v>101200</v>
      </c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</row>
    <row r="56" spans="1:84" s="71" customFormat="1" x14ac:dyDescent="0.2">
      <c r="A56" s="69" t="s">
        <v>102</v>
      </c>
      <c r="B56" s="25" t="s">
        <v>103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</row>
    <row r="57" spans="1:84" s="71" customFormat="1" x14ac:dyDescent="0.2">
      <c r="A57" s="132" t="s">
        <v>113</v>
      </c>
      <c r="B57" s="133" t="s">
        <v>114</v>
      </c>
      <c r="C57" s="70"/>
      <c r="D57" s="77"/>
      <c r="E57" s="28"/>
      <c r="F57" s="24"/>
      <c r="G57" s="24"/>
      <c r="H57" s="24"/>
      <c r="I57" s="24"/>
      <c r="K57" s="28"/>
      <c r="L57" s="24"/>
      <c r="M57" s="28"/>
      <c r="N57" s="28"/>
      <c r="O57" s="28"/>
      <c r="P57" s="28"/>
      <c r="Q57" s="28"/>
      <c r="R57" s="100">
        <v>346500</v>
      </c>
      <c r="S57" s="100">
        <v>693000</v>
      </c>
      <c r="T57" s="28"/>
      <c r="U57" s="24"/>
      <c r="V57" s="24"/>
      <c r="W57" s="24"/>
      <c r="X57" s="24"/>
      <c r="Y57" s="28"/>
      <c r="Z57" s="28"/>
      <c r="AA57" s="28"/>
      <c r="AB57" s="28"/>
      <c r="AC57" s="28"/>
      <c r="AD57" s="28"/>
      <c r="AE57" s="28"/>
      <c r="AF57" s="28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</row>
    <row r="58" spans="1:84" s="71" customFormat="1" x14ac:dyDescent="0.2">
      <c r="A58" s="69" t="s">
        <v>34</v>
      </c>
      <c r="B58" s="25" t="s">
        <v>45</v>
      </c>
      <c r="C58" s="70">
        <f>1014000-100000-100000+400-50000</f>
        <v>764400</v>
      </c>
      <c r="D58" s="77"/>
      <c r="E58" s="124">
        <v>25000</v>
      </c>
      <c r="F58" s="106">
        <v>25000</v>
      </c>
      <c r="H58" s="24"/>
      <c r="I58" s="24"/>
      <c r="J58" s="106">
        <v>75000</v>
      </c>
      <c r="K58" s="106">
        <v>75000</v>
      </c>
      <c r="L58" s="108">
        <f>10600+125000</f>
        <v>135600</v>
      </c>
      <c r="M58" s="108">
        <f>325000+50000</f>
        <v>375000</v>
      </c>
      <c r="N58" s="108">
        <v>100000</v>
      </c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 t="s">
        <v>89</v>
      </c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</row>
    <row r="59" spans="1:84" s="71" customFormat="1" x14ac:dyDescent="0.2">
      <c r="A59" s="69" t="s">
        <v>101</v>
      </c>
      <c r="B59" s="25"/>
      <c r="C59" s="70"/>
      <c r="D59" s="77"/>
      <c r="E59" s="24"/>
      <c r="G59" s="24"/>
      <c r="H59" s="24"/>
      <c r="I59" s="24"/>
      <c r="J59" s="108">
        <v>120000</v>
      </c>
      <c r="K59" s="108">
        <v>25000</v>
      </c>
      <c r="L59" s="24"/>
      <c r="M59" s="24"/>
      <c r="N59" s="108">
        <v>25000</v>
      </c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</row>
    <row r="60" spans="1:84" s="71" customFormat="1" x14ac:dyDescent="0.2">
      <c r="A60" s="69" t="s">
        <v>38</v>
      </c>
      <c r="B60" s="25" t="s">
        <v>39</v>
      </c>
      <c r="C60" s="70"/>
      <c r="D60" s="24"/>
      <c r="E60" s="100">
        <v>27000</v>
      </c>
      <c r="F60" s="24"/>
      <c r="G60" s="24"/>
      <c r="H60" s="24"/>
      <c r="I60" s="24"/>
      <c r="J60" s="100">
        <v>16800</v>
      </c>
      <c r="K60" s="24"/>
      <c r="L60" s="24"/>
      <c r="M60" s="24"/>
      <c r="N60" s="100">
        <v>34850</v>
      </c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</row>
    <row r="61" spans="1:84" s="71" customFormat="1" x14ac:dyDescent="0.2">
      <c r="A61" s="69" t="s">
        <v>74</v>
      </c>
      <c r="B61" s="25" t="s">
        <v>83</v>
      </c>
      <c r="C61" s="70"/>
      <c r="D61" s="24"/>
      <c r="E61" s="24"/>
      <c r="G61" s="24"/>
      <c r="H61" s="24"/>
      <c r="I61" s="24"/>
      <c r="K61" s="24"/>
      <c r="L61" s="24"/>
      <c r="M61" s="24"/>
      <c r="N61" s="98">
        <f>104492.6-69560</f>
        <v>34932.600000000006</v>
      </c>
      <c r="O61" s="24"/>
      <c r="P61" s="24"/>
      <c r="Q61" s="24"/>
      <c r="R61" s="24"/>
      <c r="S61" s="24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4"/>
      <c r="AI61" s="114">
        <v>3567700</v>
      </c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</row>
    <row r="62" spans="1:84" s="73" customFormat="1" ht="2.25" customHeight="1" x14ac:dyDescent="0.2">
      <c r="A62" s="78"/>
      <c r="B62" s="79"/>
      <c r="C62" s="75"/>
      <c r="D62" s="72"/>
      <c r="E62" s="72"/>
      <c r="F62" s="72"/>
      <c r="G62" s="72"/>
      <c r="H62" s="72"/>
      <c r="I62" s="72"/>
      <c r="J62" s="72"/>
      <c r="K62" s="72"/>
      <c r="L62" s="72" t="s">
        <v>89</v>
      </c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</row>
    <row r="63" spans="1:84" s="94" customFormat="1" ht="33.75" x14ac:dyDescent="0.2">
      <c r="A63" s="91" t="s">
        <v>60</v>
      </c>
      <c r="B63" s="92" t="s">
        <v>58</v>
      </c>
      <c r="C63" s="93">
        <v>248639.70012000017</v>
      </c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93"/>
    </row>
    <row r="64" spans="1:84" s="94" customFormat="1" ht="33.75" x14ac:dyDescent="0.2">
      <c r="A64" s="91" t="s">
        <v>60</v>
      </c>
      <c r="B64" s="92" t="s">
        <v>59</v>
      </c>
      <c r="C64" s="93">
        <v>0</v>
      </c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</row>
    <row r="65" spans="1:84" s="5" customFormat="1" ht="2.25" customHeight="1" x14ac:dyDescent="0.2">
      <c r="A65" s="42"/>
      <c r="B65" s="12"/>
      <c r="C65" s="68"/>
      <c r="D65" s="26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</row>
    <row r="66" spans="1:84" s="5" customFormat="1" x14ac:dyDescent="0.2">
      <c r="A66" s="36" t="s">
        <v>49</v>
      </c>
      <c r="B66" s="12"/>
      <c r="C66" s="13"/>
      <c r="D66" s="26"/>
      <c r="E66" s="13"/>
      <c r="F66" s="13"/>
      <c r="G66" s="13"/>
      <c r="H66" s="13"/>
      <c r="I66" s="13"/>
      <c r="K66" s="126">
        <f>1184471.02/0.77</f>
        <v>1538274.0519480519</v>
      </c>
      <c r="L66" s="13"/>
      <c r="M66" s="126">
        <f>(1369064.01)/0.77</f>
        <v>1778005.2077922078</v>
      </c>
      <c r="N66" s="13"/>
      <c r="O66" s="13"/>
      <c r="P66" s="13"/>
      <c r="Q66" s="13"/>
      <c r="R66" s="13"/>
      <c r="S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</row>
    <row r="67" spans="1:84" s="5" customFormat="1" x14ac:dyDescent="0.2">
      <c r="A67" s="36" t="s">
        <v>57</v>
      </c>
      <c r="B67" s="12"/>
      <c r="C67" s="68"/>
      <c r="D67" s="26"/>
      <c r="E67" s="13"/>
      <c r="G67" s="13"/>
      <c r="I67" s="13"/>
      <c r="J67" s="13"/>
      <c r="L67" s="13"/>
      <c r="M67" s="13"/>
      <c r="N67" s="13"/>
      <c r="O67" s="13"/>
      <c r="P67" s="13"/>
      <c r="Q67" s="139">
        <f>1749467.21/0.77</f>
        <v>2272035.3376623373</v>
      </c>
      <c r="R67" s="13"/>
      <c r="S67" s="13"/>
      <c r="T67" s="139">
        <f>1933893.44/0.77</f>
        <v>2511549.9220779222</v>
      </c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</row>
    <row r="68" spans="1:84" s="5" customFormat="1" x14ac:dyDescent="0.2">
      <c r="A68" s="36" t="s">
        <v>61</v>
      </c>
      <c r="B68" s="12"/>
      <c r="C68" s="68"/>
      <c r="D68" s="26"/>
      <c r="E68" s="13"/>
      <c r="F68" s="13"/>
      <c r="G68" s="13">
        <v>112000</v>
      </c>
      <c r="H68" s="13"/>
      <c r="I68" s="13"/>
      <c r="J68" s="13"/>
      <c r="K68" s="13"/>
      <c r="L68" s="139">
        <v>390000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</row>
    <row r="69" spans="1:84" s="5" customFormat="1" ht="2.25" customHeight="1" x14ac:dyDescent="0.2">
      <c r="A69" s="42"/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</row>
    <row r="70" spans="1:84" s="5" customFormat="1" x14ac:dyDescent="0.2">
      <c r="A70" s="36" t="s">
        <v>72</v>
      </c>
      <c r="B70" s="27" t="s">
        <v>73</v>
      </c>
      <c r="C70" s="62">
        <v>3637079.2460000003</v>
      </c>
      <c r="D70" s="35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</row>
    <row r="71" spans="1:84" s="5" customFormat="1" ht="2.25" customHeight="1" x14ac:dyDescent="0.2">
      <c r="A71" s="42"/>
      <c r="B71" s="12"/>
      <c r="C71" s="61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</row>
    <row r="72" spans="1:84" s="84" customFormat="1" x14ac:dyDescent="0.2">
      <c r="A72" s="81" t="s">
        <v>66</v>
      </c>
      <c r="B72" s="82"/>
      <c r="C72" s="63"/>
      <c r="D72" s="83"/>
      <c r="E72" s="83">
        <f>$C$5+E16-E26</f>
        <v>1691738.4700000004</v>
      </c>
      <c r="F72" s="83">
        <f t="shared" ref="F72:AK72" si="55">E72+F16-F26</f>
        <v>1590460.6300000004</v>
      </c>
      <c r="G72" s="83">
        <f t="shared" si="55"/>
        <v>1478460.6300000004</v>
      </c>
      <c r="H72" s="83">
        <f t="shared" si="55"/>
        <v>1478460.6300000004</v>
      </c>
      <c r="I72" s="83">
        <f t="shared" si="55"/>
        <v>1478460.6300000004</v>
      </c>
      <c r="J72" s="83">
        <f t="shared" si="55"/>
        <v>7113101.5100000007</v>
      </c>
      <c r="K72" s="83">
        <f t="shared" si="55"/>
        <v>4939460.8020519484</v>
      </c>
      <c r="L72" s="83">
        <f t="shared" si="55"/>
        <v>3745086.6460519484</v>
      </c>
      <c r="M72" s="83">
        <f t="shared" si="55"/>
        <v>739575.18225974077</v>
      </c>
      <c r="N72" s="83">
        <f t="shared" si="55"/>
        <v>-120060.17134025914</v>
      </c>
      <c r="O72" s="83">
        <f t="shared" si="55"/>
        <v>-120060.17134025914</v>
      </c>
      <c r="P72" s="83">
        <f t="shared" si="55"/>
        <v>-480060.17134025914</v>
      </c>
      <c r="Q72" s="83">
        <f t="shared" si="55"/>
        <v>313652.49099740339</v>
      </c>
      <c r="R72" s="83">
        <f t="shared" si="55"/>
        <v>-966779.72900259658</v>
      </c>
      <c r="S72" s="83">
        <f t="shared" si="55"/>
        <v>-2620125.1290025963</v>
      </c>
      <c r="T72" s="83">
        <f t="shared" si="55"/>
        <v>2026752.5489194817</v>
      </c>
      <c r="U72" s="83">
        <f t="shared" si="55"/>
        <v>1162230.1489194818</v>
      </c>
      <c r="V72" s="83">
        <f t="shared" si="55"/>
        <v>1162230.1489194818</v>
      </c>
      <c r="W72" s="83">
        <f t="shared" si="55"/>
        <v>1162230.1489194818</v>
      </c>
      <c r="X72" s="83">
        <f t="shared" si="55"/>
        <v>1008474.4689194818</v>
      </c>
      <c r="Y72" s="83">
        <f t="shared" si="55"/>
        <v>663339.78891948191</v>
      </c>
      <c r="Z72" s="83">
        <f t="shared" si="55"/>
        <v>509584.10891948192</v>
      </c>
      <c r="AA72" s="83">
        <f t="shared" si="55"/>
        <v>408384.10891948192</v>
      </c>
      <c r="AB72" s="83">
        <f t="shared" si="55"/>
        <v>-771053.94308051816</v>
      </c>
      <c r="AC72" s="83">
        <f t="shared" si="55"/>
        <v>-771053.94308051816</v>
      </c>
      <c r="AD72" s="83">
        <f t="shared" si="55"/>
        <v>-771053.94308051816</v>
      </c>
      <c r="AE72" s="83">
        <f t="shared" si="55"/>
        <v>-872253.94308051816</v>
      </c>
      <c r="AF72" s="83">
        <f t="shared" si="55"/>
        <v>-973453.94308051816</v>
      </c>
      <c r="AG72" s="83">
        <f t="shared" si="55"/>
        <v>-1074653.9430805182</v>
      </c>
      <c r="AH72" s="83">
        <f t="shared" si="55"/>
        <v>-5337199.5292138522</v>
      </c>
      <c r="AI72" s="83">
        <f t="shared" si="55"/>
        <v>-7147581.5292138522</v>
      </c>
      <c r="AJ72" s="83">
        <f t="shared" si="55"/>
        <v>-7147581.5292138522</v>
      </c>
      <c r="AK72" s="83">
        <f t="shared" si="55"/>
        <v>-7147581.5292138522</v>
      </c>
      <c r="AL72" s="83">
        <f t="shared" ref="AL72:CF72" si="56">AK72+AL16-AL26</f>
        <v>-7147581.5292138522</v>
      </c>
      <c r="AM72" s="83">
        <f t="shared" si="56"/>
        <v>-7147581.5292138522</v>
      </c>
      <c r="AN72" s="83">
        <f t="shared" si="56"/>
        <v>1436644.2599861482</v>
      </c>
      <c r="AO72" s="83">
        <f t="shared" si="56"/>
        <v>1436644.2599861482</v>
      </c>
      <c r="AP72" s="83">
        <f t="shared" si="56"/>
        <v>690581.35998614819</v>
      </c>
      <c r="AQ72" s="83">
        <f t="shared" si="56"/>
        <v>690581.35998614819</v>
      </c>
      <c r="AR72" s="83">
        <f t="shared" si="56"/>
        <v>690581.35998614819</v>
      </c>
      <c r="AS72" s="83">
        <f t="shared" si="56"/>
        <v>690581.35998614819</v>
      </c>
      <c r="AT72" s="83">
        <f t="shared" si="56"/>
        <v>690581.35998614819</v>
      </c>
      <c r="AU72" s="83">
        <f t="shared" si="56"/>
        <v>690581.35998614819</v>
      </c>
      <c r="AV72" s="83">
        <f t="shared" si="56"/>
        <v>690581.35998614819</v>
      </c>
      <c r="AW72" s="83">
        <f t="shared" si="56"/>
        <v>690581.35998614819</v>
      </c>
      <c r="AX72" s="83">
        <f t="shared" si="56"/>
        <v>690581.35998614819</v>
      </c>
      <c r="AY72" s="83">
        <f t="shared" si="56"/>
        <v>690581.35998614819</v>
      </c>
      <c r="AZ72" s="83">
        <f t="shared" si="56"/>
        <v>690581.35998614819</v>
      </c>
      <c r="BA72" s="83">
        <f t="shared" si="56"/>
        <v>690581.35998614819</v>
      </c>
      <c r="BB72" s="83">
        <f t="shared" si="56"/>
        <v>690581.35998614819</v>
      </c>
      <c r="BC72" s="83">
        <f t="shared" si="56"/>
        <v>690581.35998614819</v>
      </c>
      <c r="BD72" s="83">
        <f t="shared" si="56"/>
        <v>690581.35998614819</v>
      </c>
      <c r="BE72" s="83">
        <f t="shared" si="56"/>
        <v>690581.35998614819</v>
      </c>
      <c r="BF72" s="83">
        <f t="shared" si="56"/>
        <v>690581.35998614819</v>
      </c>
      <c r="BG72" s="83">
        <f t="shared" si="56"/>
        <v>690581.35998614819</v>
      </c>
      <c r="BH72" s="83">
        <f t="shared" si="56"/>
        <v>690581.35998614819</v>
      </c>
      <c r="BI72" s="83">
        <f t="shared" si="56"/>
        <v>690581.35998614819</v>
      </c>
      <c r="BJ72" s="83">
        <f t="shared" si="56"/>
        <v>690581.35998614819</v>
      </c>
      <c r="BK72" s="83">
        <f t="shared" si="56"/>
        <v>690581.35998614819</v>
      </c>
      <c r="BL72" s="83">
        <f t="shared" si="56"/>
        <v>690581.35998614819</v>
      </c>
      <c r="BM72" s="83">
        <f t="shared" si="56"/>
        <v>690581.35998614819</v>
      </c>
      <c r="BN72" s="83">
        <f t="shared" si="56"/>
        <v>-2537699.9733471852</v>
      </c>
      <c r="BO72" s="83">
        <f t="shared" si="56"/>
        <v>-2537699.9733471852</v>
      </c>
      <c r="BP72" s="83">
        <f t="shared" si="56"/>
        <v>-2537699.9733471852</v>
      </c>
      <c r="BQ72" s="83">
        <f t="shared" si="56"/>
        <v>-3283762.8733471851</v>
      </c>
      <c r="BR72" s="83">
        <f t="shared" si="56"/>
        <v>-3283762.8733471851</v>
      </c>
      <c r="BS72" s="83">
        <f t="shared" si="56"/>
        <v>-3283762.8733471851</v>
      </c>
      <c r="BT72" s="83">
        <f t="shared" si="56"/>
        <v>-3283762.8733471851</v>
      </c>
      <c r="BU72" s="83">
        <f t="shared" si="56"/>
        <v>-3283762.8733471851</v>
      </c>
      <c r="BV72" s="83">
        <f t="shared" si="56"/>
        <v>-3283762.8733471851</v>
      </c>
      <c r="BW72" s="83">
        <f t="shared" si="56"/>
        <v>-3283762.8733471851</v>
      </c>
      <c r="BX72" s="83">
        <f t="shared" si="56"/>
        <v>-3283762.8733471851</v>
      </c>
      <c r="BY72" s="83">
        <f t="shared" si="56"/>
        <v>-3283762.8733471851</v>
      </c>
      <c r="BZ72" s="83">
        <f t="shared" si="56"/>
        <v>-3283762.8733471851</v>
      </c>
      <c r="CA72" s="83">
        <f t="shared" si="56"/>
        <v>-3283762.8733471851</v>
      </c>
      <c r="CB72" s="83">
        <f t="shared" si="56"/>
        <v>-3283762.8733471851</v>
      </c>
      <c r="CC72" s="83">
        <f t="shared" si="56"/>
        <v>-3283762.8733471851</v>
      </c>
      <c r="CD72" s="83">
        <f t="shared" si="56"/>
        <v>-3283762.8733471851</v>
      </c>
      <c r="CE72" s="83">
        <f t="shared" si="56"/>
        <v>-3283762.8733471851</v>
      </c>
      <c r="CF72" s="83">
        <f t="shared" si="56"/>
        <v>-3283762.8733471851</v>
      </c>
    </row>
    <row r="74" spans="1:84" s="5" customFormat="1" ht="2.25" customHeight="1" x14ac:dyDescent="0.2">
      <c r="A74" s="42"/>
      <c r="B74" s="12"/>
      <c r="C74" s="68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</row>
    <row r="75" spans="1:84" s="89" customFormat="1" ht="11.25" customHeight="1" x14ac:dyDescent="0.2">
      <c r="A75" s="85" t="s">
        <v>65</v>
      </c>
      <c r="B75" s="86"/>
      <c r="C75" s="87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</row>
    <row r="76" spans="1:84" s="5" customFormat="1" ht="22.5" x14ac:dyDescent="0.2">
      <c r="A76" s="36" t="s">
        <v>67</v>
      </c>
      <c r="B76" s="27" t="s">
        <v>68</v>
      </c>
      <c r="C76" s="68">
        <v>3221210.79</v>
      </c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</row>
    <row r="77" spans="1:84" s="5" customFormat="1" x14ac:dyDescent="0.2">
      <c r="A77" s="36" t="s">
        <v>69</v>
      </c>
      <c r="B77" s="27" t="s">
        <v>70</v>
      </c>
      <c r="C77" s="68">
        <v>9814338.4000000004</v>
      </c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</row>
    <row r="78" spans="1:84" s="5" customFormat="1" x14ac:dyDescent="0.2">
      <c r="A78" s="36"/>
      <c r="B78" s="27"/>
      <c r="C78" s="68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</row>
    <row r="79" spans="1:84" s="5" customFormat="1" x14ac:dyDescent="0.2">
      <c r="A79" s="36"/>
      <c r="B79" s="27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</row>
    <row r="81" spans="2:2" x14ac:dyDescent="0.25">
      <c r="B81" s="14"/>
    </row>
  </sheetData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81"/>
  <sheetViews>
    <sheetView topLeftCell="S7" workbookViewId="0">
      <selection activeCell="AC46" sqref="AC46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0" width="10.85546875" style="3" bestFit="1" customWidth="1"/>
    <col min="11" max="11" width="11.7109375" style="3" bestFit="1" customWidth="1"/>
    <col min="12" max="20" width="10.85546875" style="3" bestFit="1" customWidth="1"/>
    <col min="21" max="21" width="11.7109375" style="3" bestFit="1" customWidth="1"/>
    <col min="22" max="38" width="10.85546875" style="3" bestFit="1" customWidth="1"/>
    <col min="39" max="16384" width="9" style="3"/>
  </cols>
  <sheetData>
    <row r="1" spans="1:38" ht="12" thickBot="1" x14ac:dyDescent="0.3"/>
    <row r="2" spans="1:38" s="1" customFormat="1" x14ac:dyDescent="0.2">
      <c r="A2" s="43" t="s">
        <v>50</v>
      </c>
      <c r="B2" s="15" t="s">
        <v>27</v>
      </c>
      <c r="C2" s="50">
        <v>4688285.5199999996</v>
      </c>
    </row>
    <row r="3" spans="1:38" s="1" customFormat="1" ht="12" thickBot="1" x14ac:dyDescent="0.25">
      <c r="A3" s="44">
        <v>87.882599999999996</v>
      </c>
      <c r="B3" s="15" t="s">
        <v>28</v>
      </c>
      <c r="C3" s="50">
        <v>10778.95</v>
      </c>
    </row>
    <row r="4" spans="1:38" s="8" customFormat="1" ht="12" thickBot="1" x14ac:dyDescent="0.25">
      <c r="A4" s="45"/>
      <c r="B4" s="15" t="s">
        <v>25</v>
      </c>
      <c r="C4" s="51">
        <v>0</v>
      </c>
    </row>
    <row r="5" spans="1:38" s="6" customFormat="1" x14ac:dyDescent="0.2">
      <c r="A5" s="43" t="s">
        <v>51</v>
      </c>
      <c r="B5" s="49" t="s">
        <v>26</v>
      </c>
      <c r="C5" s="52">
        <f>SUM(C2:C4)</f>
        <v>4699064.47</v>
      </c>
    </row>
    <row r="6" spans="1:38" s="6" customFormat="1" ht="12" thickBot="1" x14ac:dyDescent="0.25">
      <c r="A6" s="44">
        <v>74.808099999999996</v>
      </c>
      <c r="B6" s="16"/>
      <c r="C6" s="53"/>
      <c r="D6" s="17"/>
    </row>
    <row r="7" spans="1:38" s="6" customFormat="1" ht="12" thickBot="1" x14ac:dyDescent="0.25">
      <c r="A7" s="105" t="s">
        <v>51</v>
      </c>
      <c r="B7" s="18" t="s">
        <v>122</v>
      </c>
      <c r="C7" s="54">
        <f>SUM(E16:AL16)</f>
        <v>24652985.522399999</v>
      </c>
    </row>
    <row r="8" spans="1:38" x14ac:dyDescent="0.25">
      <c r="A8" s="43" t="s">
        <v>52</v>
      </c>
      <c r="B8" s="18" t="s">
        <v>84</v>
      </c>
      <c r="C8" s="54">
        <f>SUM(E25:AL26)</f>
        <v>32399111.226898264</v>
      </c>
    </row>
    <row r="9" spans="1:38" ht="12" thickBot="1" x14ac:dyDescent="0.3">
      <c r="A9" s="44">
        <v>10.9513</v>
      </c>
      <c r="B9" s="19" t="s">
        <v>64</v>
      </c>
      <c r="C9" s="55">
        <f>C5+C7-C8-C11</f>
        <v>-10729942.473618267</v>
      </c>
    </row>
    <row r="10" spans="1:38" x14ac:dyDescent="0.25">
      <c r="A10" s="99" t="s">
        <v>80</v>
      </c>
      <c r="B10" s="18" t="s">
        <v>23</v>
      </c>
      <c r="C10" s="56">
        <f>C16</f>
        <v>0</v>
      </c>
    </row>
    <row r="11" spans="1:38" x14ac:dyDescent="0.25">
      <c r="A11" s="101" t="s">
        <v>87</v>
      </c>
      <c r="B11" s="18" t="s">
        <v>24</v>
      </c>
      <c r="C11" s="54">
        <f>C26</f>
        <v>7682881.239120001</v>
      </c>
    </row>
    <row r="12" spans="1:38" x14ac:dyDescent="0.25">
      <c r="A12" s="107" t="s">
        <v>88</v>
      </c>
    </row>
    <row r="13" spans="1:38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s="2" customFormat="1" x14ac:dyDescent="0.25">
      <c r="A14" s="64"/>
      <c r="B14" s="65"/>
      <c r="C14" s="58" t="s">
        <v>56</v>
      </c>
      <c r="D14" s="66"/>
      <c r="E14" s="66">
        <v>46140</v>
      </c>
      <c r="F14" s="66">
        <v>46141</v>
      </c>
      <c r="G14" s="66">
        <v>46142</v>
      </c>
      <c r="H14" s="66">
        <v>46143</v>
      </c>
      <c r="I14" s="66">
        <v>46144</v>
      </c>
      <c r="J14" s="66">
        <v>46145</v>
      </c>
      <c r="K14" s="66">
        <v>46146</v>
      </c>
      <c r="L14" s="66">
        <v>46147</v>
      </c>
      <c r="M14" s="66">
        <v>46148</v>
      </c>
      <c r="N14" s="66">
        <v>46149</v>
      </c>
      <c r="O14" s="66">
        <v>46150</v>
      </c>
      <c r="P14" s="66">
        <v>46151</v>
      </c>
      <c r="Q14" s="66">
        <v>46152</v>
      </c>
      <c r="R14" s="66">
        <v>46153</v>
      </c>
      <c r="S14" s="66">
        <v>46154</v>
      </c>
      <c r="T14" s="66">
        <v>46155</v>
      </c>
      <c r="U14" s="66">
        <v>46156</v>
      </c>
      <c r="V14" s="66">
        <v>46157</v>
      </c>
      <c r="W14" s="66">
        <v>46158</v>
      </c>
      <c r="X14" s="66">
        <v>46159</v>
      </c>
      <c r="Y14" s="66">
        <v>46160</v>
      </c>
      <c r="Z14" s="66">
        <v>46161</v>
      </c>
      <c r="AA14" s="66">
        <v>46162</v>
      </c>
      <c r="AB14" s="66">
        <v>46163</v>
      </c>
      <c r="AC14" s="66">
        <v>46164</v>
      </c>
      <c r="AD14" s="66">
        <v>46165</v>
      </c>
      <c r="AE14" s="66">
        <v>46166</v>
      </c>
      <c r="AF14" s="66">
        <v>46167</v>
      </c>
      <c r="AG14" s="66">
        <v>46168</v>
      </c>
      <c r="AH14" s="66">
        <v>46169</v>
      </c>
      <c r="AI14" s="66">
        <v>46170</v>
      </c>
      <c r="AJ14" s="66">
        <v>46171</v>
      </c>
      <c r="AK14" s="66">
        <v>46172</v>
      </c>
      <c r="AL14" s="66">
        <v>46173</v>
      </c>
    </row>
    <row r="15" spans="1:38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</row>
    <row r="16" spans="1:38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P16" si="0">SUM(E17:E25)</f>
        <v>2000000</v>
      </c>
      <c r="F16" s="29">
        <f t="shared" si="0"/>
        <v>0</v>
      </c>
      <c r="G16" s="29">
        <f t="shared" si="0"/>
        <v>0</v>
      </c>
      <c r="H16" s="135">
        <f t="shared" si="0"/>
        <v>0</v>
      </c>
      <c r="I16" s="135">
        <f t="shared" si="0"/>
        <v>0</v>
      </c>
      <c r="J16" s="135">
        <f t="shared" si="0"/>
        <v>0</v>
      </c>
      <c r="K16" s="29">
        <f t="shared" si="0"/>
        <v>7037500</v>
      </c>
      <c r="L16" s="29">
        <f t="shared" si="0"/>
        <v>1500000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135">
        <f t="shared" si="0"/>
        <v>0</v>
      </c>
      <c r="Q16" s="135">
        <f>SUM(Q17:Q25)</f>
        <v>0</v>
      </c>
      <c r="R16" s="135">
        <f t="shared" ref="R16:AL16" si="1">SUM(R17:R25)</f>
        <v>3075891</v>
      </c>
      <c r="S16" s="29">
        <f t="shared" si="1"/>
        <v>0</v>
      </c>
      <c r="T16" s="29">
        <f t="shared" si="1"/>
        <v>0</v>
      </c>
      <c r="U16" s="29">
        <f t="shared" si="1"/>
        <v>7882500</v>
      </c>
      <c r="V16" s="29">
        <f t="shared" si="1"/>
        <v>0</v>
      </c>
      <c r="W16" s="135">
        <f t="shared" si="1"/>
        <v>0</v>
      </c>
      <c r="X16" s="135">
        <f t="shared" si="1"/>
        <v>0</v>
      </c>
      <c r="Y16" s="29">
        <f t="shared" si="1"/>
        <v>0</v>
      </c>
      <c r="Z16" s="29">
        <f t="shared" si="1"/>
        <v>0</v>
      </c>
      <c r="AA16" s="29">
        <f t="shared" si="1"/>
        <v>0</v>
      </c>
      <c r="AB16" s="29">
        <f t="shared" si="1"/>
        <v>0</v>
      </c>
      <c r="AC16" s="29">
        <f t="shared" si="1"/>
        <v>0</v>
      </c>
      <c r="AD16" s="135">
        <f t="shared" si="1"/>
        <v>0</v>
      </c>
      <c r="AE16" s="135">
        <f t="shared" si="1"/>
        <v>0</v>
      </c>
      <c r="AF16" s="29">
        <f t="shared" si="1"/>
        <v>0</v>
      </c>
      <c r="AG16" s="29">
        <f t="shared" si="1"/>
        <v>0</v>
      </c>
      <c r="AH16" s="29">
        <f t="shared" si="1"/>
        <v>0</v>
      </c>
      <c r="AI16" s="29">
        <f t="shared" si="1"/>
        <v>81203.522400000002</v>
      </c>
      <c r="AJ16" s="29">
        <f t="shared" si="1"/>
        <v>3075891</v>
      </c>
      <c r="AK16" s="135">
        <f t="shared" si="1"/>
        <v>0</v>
      </c>
      <c r="AL16" s="135">
        <f t="shared" si="1"/>
        <v>0</v>
      </c>
    </row>
    <row r="17" spans="1:38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</row>
    <row r="18" spans="1:38" s="80" customFormat="1" x14ac:dyDescent="0.25">
      <c r="A18" s="40" t="s">
        <v>9</v>
      </c>
      <c r="B18" s="21"/>
      <c r="C18" s="59"/>
      <c r="D18" s="30"/>
      <c r="E18" s="30">
        <v>2000000</v>
      </c>
      <c r="F18" s="30"/>
      <c r="G18" s="30"/>
      <c r="H18" s="30"/>
      <c r="I18" s="30"/>
      <c r="J18" s="30"/>
      <c r="K18" s="30"/>
      <c r="L18" s="30">
        <v>1500000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</row>
    <row r="19" spans="1:38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</row>
    <row r="20" spans="1:38" s="80" customFormat="1" ht="13.5" customHeigh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>
        <v>7037500</v>
      </c>
      <c r="L20" s="30"/>
      <c r="M20" s="30"/>
      <c r="N20" s="30"/>
      <c r="O20" s="30"/>
      <c r="P20" s="30"/>
      <c r="Q20" s="30"/>
      <c r="R20" s="30"/>
      <c r="S20" s="30"/>
      <c r="T20" s="30"/>
      <c r="U20" s="30">
        <v>7882500</v>
      </c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</row>
    <row r="21" spans="1:38" s="80" customFormat="1" ht="13.5" customHeigh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>
        <f>924*A3</f>
        <v>81203.522400000002</v>
      </c>
      <c r="AJ21" s="30"/>
      <c r="AK21" s="30"/>
      <c r="AL21" s="30"/>
    </row>
    <row r="22" spans="1:38" s="80" customFormat="1" ht="13.5" customHeigh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</row>
    <row r="23" spans="1:38" s="80" customFormat="1" ht="12" customHeigh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</row>
    <row r="24" spans="1:38" s="80" customFormat="1" ht="10.5" customHeigh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>
        <f>35000*A3</f>
        <v>3075891</v>
      </c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>
        <f>35000*A3</f>
        <v>3075891</v>
      </c>
      <c r="AK24" s="30"/>
      <c r="AL24" s="30"/>
    </row>
    <row r="25" spans="1:38" ht="3" customHeight="1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</row>
    <row r="26" spans="1:38" s="4" customFormat="1" x14ac:dyDescent="0.2">
      <c r="A26" s="41" t="s">
        <v>1</v>
      </c>
      <c r="B26" s="22"/>
      <c r="C26" s="34">
        <f>SUM(C28:C70)</f>
        <v>7682881.239120001</v>
      </c>
      <c r="D26" s="34"/>
      <c r="E26" s="34">
        <f t="shared" ref="E26:AL26" si="2">SUM(E27:E71)</f>
        <v>3619479.8</v>
      </c>
      <c r="F26" s="34">
        <f t="shared" si="2"/>
        <v>620570.91</v>
      </c>
      <c r="G26" s="34">
        <f t="shared" si="2"/>
        <v>332288.90999999997</v>
      </c>
      <c r="H26" s="34">
        <f t="shared" si="2"/>
        <v>112000</v>
      </c>
      <c r="I26" s="34">
        <f t="shared" si="2"/>
        <v>0</v>
      </c>
      <c r="J26" s="34">
        <f t="shared" si="2"/>
        <v>0</v>
      </c>
      <c r="K26" s="34">
        <f t="shared" si="2"/>
        <v>1588893.9646999999</v>
      </c>
      <c r="L26" s="34">
        <f t="shared" si="2"/>
        <v>4617497.5796948047</v>
      </c>
      <c r="M26" s="34">
        <f t="shared" si="2"/>
        <v>1179735.6745</v>
      </c>
      <c r="N26" s="34">
        <f t="shared" si="2"/>
        <v>2990872.9822922079</v>
      </c>
      <c r="O26" s="34">
        <f t="shared" si="2"/>
        <v>180881.6</v>
      </c>
      <c r="P26" s="34">
        <f t="shared" si="2"/>
        <v>0</v>
      </c>
      <c r="Q26" s="34">
        <f t="shared" si="2"/>
        <v>360000</v>
      </c>
      <c r="R26" s="34">
        <f t="shared" si="2"/>
        <v>0</v>
      </c>
      <c r="S26" s="34">
        <f t="shared" si="2"/>
        <v>1273720.2524999999</v>
      </c>
      <c r="T26" s="34">
        <f t="shared" si="2"/>
        <v>1646953.05</v>
      </c>
      <c r="U26" s="34">
        <f t="shared" si="2"/>
        <v>3114347.972077922</v>
      </c>
      <c r="V26" s="34">
        <f t="shared" si="2"/>
        <v>858130.05</v>
      </c>
      <c r="W26" s="34">
        <f t="shared" si="2"/>
        <v>0</v>
      </c>
      <c r="X26" s="34">
        <f t="shared" si="2"/>
        <v>0</v>
      </c>
      <c r="Y26" s="34">
        <f t="shared" si="2"/>
        <v>146084.85999999999</v>
      </c>
      <c r="Z26" s="34">
        <f t="shared" si="2"/>
        <v>337463.86</v>
      </c>
      <c r="AA26" s="34">
        <f t="shared" si="2"/>
        <v>146084.85999999999</v>
      </c>
      <c r="AB26" s="34">
        <f t="shared" si="2"/>
        <v>101200</v>
      </c>
      <c r="AC26" s="34">
        <f t="shared" si="2"/>
        <v>1179923.5677999998</v>
      </c>
      <c r="AD26" s="34">
        <f t="shared" si="2"/>
        <v>0</v>
      </c>
      <c r="AE26" s="34">
        <f t="shared" si="2"/>
        <v>0</v>
      </c>
      <c r="AF26" s="34">
        <f t="shared" si="2"/>
        <v>101200</v>
      </c>
      <c r="AG26" s="34">
        <f t="shared" si="2"/>
        <v>101200</v>
      </c>
      <c r="AH26" s="34">
        <f t="shared" si="2"/>
        <v>101200</v>
      </c>
      <c r="AI26" s="34">
        <f t="shared" si="2"/>
        <v>3329481.3333333335</v>
      </c>
      <c r="AJ26" s="34">
        <f t="shared" si="2"/>
        <v>4359900</v>
      </c>
      <c r="AK26" s="34">
        <f t="shared" si="2"/>
        <v>0</v>
      </c>
      <c r="AL26" s="34">
        <f t="shared" si="2"/>
        <v>0</v>
      </c>
    </row>
    <row r="27" spans="1:38" ht="3" customHeight="1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</row>
    <row r="28" spans="1:38" s="1" customFormat="1" x14ac:dyDescent="0.2">
      <c r="A28" s="36" t="s">
        <v>2</v>
      </c>
      <c r="B28" s="23" t="s">
        <v>3</v>
      </c>
      <c r="C28" s="60"/>
      <c r="D28" s="24"/>
      <c r="E28" s="24">
        <v>192481.8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1:38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1:38" s="1" customFormat="1" x14ac:dyDescent="0.2">
      <c r="A30" s="36" t="s">
        <v>2</v>
      </c>
      <c r="B30" s="23" t="s">
        <v>5</v>
      </c>
      <c r="C30" s="60"/>
      <c r="D30" s="24"/>
      <c r="E30" s="24">
        <f>8410965/3</f>
        <v>2803655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>
        <f>8399365/3</f>
        <v>2799788.3333333335</v>
      </c>
      <c r="AJ30" s="24"/>
      <c r="AK30" s="24"/>
      <c r="AL30" s="24"/>
    </row>
    <row r="31" spans="1:38" s="1" customFormat="1" x14ac:dyDescent="0.2">
      <c r="A31" s="36" t="s">
        <v>2</v>
      </c>
      <c r="B31" s="23" t="s">
        <v>6</v>
      </c>
      <c r="C31" s="60"/>
      <c r="D31" s="24"/>
      <c r="E31" s="90">
        <f>291375+137118</f>
        <v>428493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90">
        <f>291375+137118</f>
        <v>428493</v>
      </c>
      <c r="AJ31" s="24"/>
      <c r="AK31" s="24"/>
      <c r="AL31" s="24"/>
    </row>
    <row r="32" spans="1:38" s="1" customFormat="1" x14ac:dyDescent="0.2">
      <c r="A32" s="36" t="s">
        <v>7</v>
      </c>
      <c r="B32" s="23" t="s">
        <v>8</v>
      </c>
      <c r="C32" s="60"/>
      <c r="D32" s="24"/>
      <c r="E32" s="24"/>
      <c r="F32" s="24"/>
      <c r="G32" s="24"/>
      <c r="H32" s="24"/>
      <c r="I32" s="24"/>
      <c r="J32" s="24"/>
      <c r="K32" s="24">
        <v>560000</v>
      </c>
      <c r="L32" s="24"/>
      <c r="M32" s="24"/>
      <c r="N32" s="24"/>
      <c r="O32" s="24"/>
      <c r="P32" s="24"/>
      <c r="Q32" s="24">
        <v>360000</v>
      </c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1:38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>
        <v>271506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1:38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1:38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>
        <v>100000</v>
      </c>
      <c r="L35" s="24"/>
      <c r="M35" s="24">
        <v>100113.9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1:38" s="1" customFormat="1" x14ac:dyDescent="0.2">
      <c r="A36" s="36" t="s">
        <v>53</v>
      </c>
      <c r="B36" s="23"/>
      <c r="C36" s="60"/>
      <c r="D36" s="24"/>
      <c r="E36" s="24"/>
      <c r="F36" s="24"/>
      <c r="G36" s="24"/>
      <c r="I36" s="24"/>
      <c r="J36" s="24"/>
      <c r="L36" s="24"/>
      <c r="M36" s="24"/>
      <c r="N36" s="24"/>
      <c r="O36" s="24">
        <v>145949</v>
      </c>
      <c r="P36" s="24"/>
      <c r="Q36" s="24"/>
      <c r="R36" s="24"/>
      <c r="S36" s="24">
        <v>100000</v>
      </c>
      <c r="T36" s="24">
        <v>100000</v>
      </c>
      <c r="U36" s="24">
        <v>100000</v>
      </c>
      <c r="V36" s="24">
        <v>100000</v>
      </c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1:38" s="1" customFormat="1" ht="11.25" customHeigh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</row>
    <row r="38" spans="1:38" s="71" customFormat="1" x14ac:dyDescent="0.2">
      <c r="A38" s="69" t="s">
        <v>14</v>
      </c>
      <c r="B38" s="25" t="s">
        <v>30</v>
      </c>
      <c r="C38" s="70"/>
      <c r="D38" s="24"/>
      <c r="E38" s="24"/>
      <c r="F38" s="24"/>
      <c r="G38" s="24"/>
      <c r="I38" s="24"/>
      <c r="J38" s="24"/>
      <c r="K38" s="24"/>
      <c r="L38" s="24"/>
      <c r="N38" s="24"/>
      <c r="O38" s="24"/>
      <c r="P38" s="24"/>
      <c r="Q38" s="24"/>
      <c r="R38" s="24"/>
      <c r="S38" s="24"/>
      <c r="T38" s="100">
        <v>341779</v>
      </c>
      <c r="U38" s="24"/>
      <c r="V38" s="24"/>
      <c r="W38" s="24"/>
      <c r="X38" s="24"/>
      <c r="Y38" s="24"/>
      <c r="Z38" s="100">
        <v>191379</v>
      </c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1:38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100">
        <v>156160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1:38" s="71" customFormat="1" x14ac:dyDescent="0.2">
      <c r="A40" s="69" t="s">
        <v>117</v>
      </c>
      <c r="B40" s="25" t="s">
        <v>119</v>
      </c>
      <c r="C40" s="70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8"/>
      <c r="O40" s="24"/>
      <c r="P40" s="24"/>
      <c r="Q40" s="24"/>
      <c r="R40" s="24"/>
      <c r="S40" s="24"/>
      <c r="T40" s="24"/>
      <c r="U40" s="24"/>
      <c r="V40" s="28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100">
        <v>691000</v>
      </c>
      <c r="AK40" s="24"/>
      <c r="AL40" s="24"/>
    </row>
    <row r="41" spans="1:38" s="71" customFormat="1" x14ac:dyDescent="0.2">
      <c r="A41" s="69" t="s">
        <v>97</v>
      </c>
      <c r="B41" s="25" t="s">
        <v>98</v>
      </c>
      <c r="C41" s="70"/>
      <c r="D41" s="24"/>
      <c r="E41" s="24"/>
      <c r="F41" s="100">
        <v>311400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1:38" s="71" customFormat="1" x14ac:dyDescent="0.2">
      <c r="A42" s="69" t="s">
        <v>17</v>
      </c>
      <c r="B42" s="25" t="s">
        <v>41</v>
      </c>
      <c r="C42" s="70">
        <f>1375000-500000-175000-50000</f>
        <v>650000</v>
      </c>
      <c r="D42" s="24"/>
      <c r="E42" s="140">
        <v>45000</v>
      </c>
      <c r="F42" s="24"/>
      <c r="I42" s="24"/>
      <c r="J42" s="24"/>
      <c r="K42" s="129">
        <v>100000</v>
      </c>
      <c r="L42" s="129">
        <v>25000</v>
      </c>
      <c r="M42" s="129">
        <v>75000</v>
      </c>
      <c r="N42" s="129">
        <v>175000</v>
      </c>
      <c r="O42" s="24"/>
      <c r="P42" s="24"/>
      <c r="Q42" s="24"/>
      <c r="R42" s="24"/>
      <c r="S42" s="129">
        <v>175000</v>
      </c>
      <c r="T42" s="24"/>
      <c r="U42" s="129">
        <v>100000</v>
      </c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1:38" s="71" customFormat="1" x14ac:dyDescent="0.2">
      <c r="A43" s="69" t="s">
        <v>15</v>
      </c>
      <c r="B43" s="25" t="s">
        <v>31</v>
      </c>
      <c r="C43" s="70">
        <f>1289912-50000-50000-75000-124688-100000-100000-50000</f>
        <v>740224</v>
      </c>
      <c r="D43" s="24"/>
      <c r="E43" s="108">
        <v>45000</v>
      </c>
      <c r="F43" s="24"/>
      <c r="G43" s="108">
        <v>100000</v>
      </c>
      <c r="H43" s="28"/>
      <c r="I43" s="28"/>
      <c r="J43" s="24"/>
      <c r="K43" s="108">
        <v>65224</v>
      </c>
      <c r="L43" s="108">
        <v>90224</v>
      </c>
      <c r="M43" s="108">
        <v>115224</v>
      </c>
      <c r="N43" s="108">
        <f>25000+100000</f>
        <v>125000</v>
      </c>
      <c r="O43" s="24"/>
      <c r="P43" s="24"/>
      <c r="Q43" s="24"/>
      <c r="S43" s="98">
        <f>515224/4</f>
        <v>128806</v>
      </c>
      <c r="T43" s="98">
        <f>515224/4</f>
        <v>128806</v>
      </c>
      <c r="U43" s="98">
        <f>515224/4</f>
        <v>128806</v>
      </c>
      <c r="V43" s="98">
        <f>515224/4+54464</f>
        <v>183270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1:38" s="71" customFormat="1" x14ac:dyDescent="0.2">
      <c r="A44" s="69" t="s">
        <v>16</v>
      </c>
      <c r="B44" s="25" t="s">
        <v>32</v>
      </c>
      <c r="C44" s="70">
        <f>722080-56200-49941-90880-100000-30000</f>
        <v>395059</v>
      </c>
      <c r="D44" s="24"/>
      <c r="E44" s="108">
        <v>45000</v>
      </c>
      <c r="F44" s="108">
        <f>66588+33294</f>
        <v>99882</v>
      </c>
      <c r="G44" s="108">
        <v>50000</v>
      </c>
      <c r="H44" s="24"/>
      <c r="I44" s="24"/>
      <c r="J44" s="24"/>
      <c r="K44" s="108">
        <f>499410/4</f>
        <v>124852.5</v>
      </c>
      <c r="L44" s="108">
        <f>499410/4</f>
        <v>124852.5</v>
      </c>
      <c r="M44" s="108">
        <f>499410/4</f>
        <v>124852.5</v>
      </c>
      <c r="N44" s="108">
        <f>499410/4+20000</f>
        <v>144852.5</v>
      </c>
      <c r="O44" s="24"/>
      <c r="P44" s="24"/>
      <c r="Q44" s="24"/>
      <c r="R44" s="24"/>
      <c r="S44" s="95">
        <v>332940</v>
      </c>
      <c r="T44" s="108">
        <v>194764</v>
      </c>
      <c r="U44" s="108">
        <v>85388</v>
      </c>
      <c r="V44" s="108">
        <v>100000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1:38" s="71" customFormat="1" x14ac:dyDescent="0.2">
      <c r="A45" s="69" t="s">
        <v>85</v>
      </c>
      <c r="B45" s="25" t="s">
        <v>47</v>
      </c>
      <c r="C45" s="70">
        <f>2580*A6</f>
        <v>193004.89799999999</v>
      </c>
      <c r="D45" s="24"/>
      <c r="H45" s="24"/>
      <c r="I45" s="24"/>
      <c r="J45" s="24"/>
      <c r="K45" s="24"/>
      <c r="L45" s="108">
        <f>645*$A$6</f>
        <v>48251.224499999997</v>
      </c>
      <c r="M45" s="108">
        <f>645*$A$6</f>
        <v>48251.224499999997</v>
      </c>
      <c r="N45" s="108">
        <f>645*$A$6</f>
        <v>48251.224499999997</v>
      </c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1:38" s="71" customFormat="1" x14ac:dyDescent="0.2">
      <c r="A46" s="69" t="s">
        <v>120</v>
      </c>
      <c r="B46" s="25" t="s">
        <v>121</v>
      </c>
      <c r="C46" s="76"/>
      <c r="D46" s="24"/>
      <c r="E46" s="28"/>
      <c r="F46" s="28"/>
      <c r="G46" s="28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100">
        <v>507000</v>
      </c>
      <c r="AD46" s="24"/>
      <c r="AE46" s="24"/>
      <c r="AF46" s="24"/>
      <c r="AG46" s="24"/>
      <c r="AH46" s="24"/>
      <c r="AI46" s="24"/>
      <c r="AJ46" s="24"/>
      <c r="AK46" s="24"/>
      <c r="AL46" s="24"/>
    </row>
    <row r="47" spans="1:38" s="73" customFormat="1" x14ac:dyDescent="0.2">
      <c r="A47" s="69" t="s">
        <v>22</v>
      </c>
      <c r="B47" s="25" t="s">
        <v>48</v>
      </c>
      <c r="C47" s="137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138">
        <f>52206*A9</f>
        <v>571723.56779999996</v>
      </c>
      <c r="AD47" s="72"/>
      <c r="AE47" s="72"/>
      <c r="AF47" s="72"/>
      <c r="AG47" s="72"/>
      <c r="AH47" s="72"/>
      <c r="AI47" s="72"/>
      <c r="AJ47" s="72"/>
      <c r="AK47" s="72"/>
      <c r="AL47" s="72"/>
    </row>
    <row r="48" spans="1:38" s="73" customFormat="1" x14ac:dyDescent="0.2">
      <c r="A48" s="69" t="s">
        <v>108</v>
      </c>
      <c r="B48" s="25" t="s">
        <v>109</v>
      </c>
      <c r="C48" s="120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</row>
    <row r="49" spans="1:38" s="71" customFormat="1" x14ac:dyDescent="0.2">
      <c r="A49" s="69" t="s">
        <v>36</v>
      </c>
      <c r="B49" s="25" t="s">
        <v>37</v>
      </c>
      <c r="C49" s="130"/>
      <c r="D49" s="24"/>
      <c r="E49" s="24"/>
      <c r="F49" s="24"/>
      <c r="H49" s="24"/>
      <c r="I49" s="24"/>
      <c r="J49" s="24"/>
      <c r="K49" s="100">
        <f>2662*A6</f>
        <v>199139.16219999999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1:38" s="71" customFormat="1" x14ac:dyDescent="0.2">
      <c r="A50" s="69" t="s">
        <v>86</v>
      </c>
      <c r="B50" s="25" t="s">
        <v>35</v>
      </c>
      <c r="C50" s="70">
        <f>2400*A6+4050*A6</f>
        <v>482512.245</v>
      </c>
      <c r="D50" s="77"/>
      <c r="F50" s="108">
        <f>600*$A$6</f>
        <v>44884.86</v>
      </c>
      <c r="G50" s="108">
        <f>600*$A$6</f>
        <v>44884.86</v>
      </c>
      <c r="H50" s="24"/>
      <c r="I50" s="24"/>
      <c r="J50" s="24"/>
      <c r="K50" s="108">
        <f>525*$A$6</f>
        <v>39274.252499999995</v>
      </c>
      <c r="L50" s="108">
        <f>500*$A$6</f>
        <v>37404.049999999996</v>
      </c>
      <c r="M50" s="108">
        <f>500*$A$6</f>
        <v>37404.049999999996</v>
      </c>
      <c r="N50" s="108">
        <f>500*$A$6</f>
        <v>37404.049999999996</v>
      </c>
      <c r="O50" s="24"/>
      <c r="P50" s="24"/>
      <c r="Q50" s="24"/>
      <c r="R50" s="24"/>
      <c r="S50" s="108">
        <f>525*$A$6</f>
        <v>39274.252499999995</v>
      </c>
      <c r="T50" s="108">
        <f>500*$A$6</f>
        <v>37404.049999999996</v>
      </c>
      <c r="U50" s="108">
        <f>500*$A$6</f>
        <v>37404.049999999996</v>
      </c>
      <c r="V50" s="108">
        <f>500*$A$6</f>
        <v>37404.049999999996</v>
      </c>
      <c r="W50" s="24"/>
      <c r="X50" s="24"/>
      <c r="Y50" s="108">
        <f>600*$A$6</f>
        <v>44884.86</v>
      </c>
      <c r="Z50" s="108">
        <f>600*$A$6</f>
        <v>44884.86</v>
      </c>
      <c r="AA50" s="108">
        <f>600*$A$6</f>
        <v>44884.86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1:38" s="71" customFormat="1" x14ac:dyDescent="0.2">
      <c r="A51" s="69" t="s">
        <v>29</v>
      </c>
      <c r="B51" s="25" t="s">
        <v>42</v>
      </c>
      <c r="C51" s="70">
        <v>20000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1:38" s="71" customFormat="1" x14ac:dyDescent="0.2">
      <c r="A52" s="69" t="s">
        <v>29</v>
      </c>
      <c r="B52" s="25" t="s">
        <v>43</v>
      </c>
      <c r="C52" s="70">
        <v>439750</v>
      </c>
      <c r="D52" s="24"/>
      <c r="E52" s="24"/>
      <c r="F52" s="95">
        <v>50000</v>
      </c>
      <c r="G52" s="95">
        <v>25000</v>
      </c>
      <c r="I52" s="24"/>
      <c r="J52" s="24"/>
      <c r="K52" s="95">
        <v>50000</v>
      </c>
      <c r="L52" s="24"/>
      <c r="M52" s="95">
        <v>50000</v>
      </c>
      <c r="N52" s="95">
        <v>50000</v>
      </c>
      <c r="O52" s="24"/>
      <c r="P52" s="24"/>
      <c r="Q52" s="24"/>
      <c r="R52" s="24"/>
      <c r="S52" s="95">
        <v>50000</v>
      </c>
      <c r="T52" s="95">
        <v>50000</v>
      </c>
      <c r="U52" s="95">
        <v>50000</v>
      </c>
      <c r="V52" s="95">
        <f>50000+14750</f>
        <v>64750</v>
      </c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1:38" s="71" customFormat="1" x14ac:dyDescent="0.2">
      <c r="A53" s="69" t="s">
        <v>29</v>
      </c>
      <c r="B53" s="25" t="s">
        <v>55</v>
      </c>
      <c r="C53" s="70">
        <f>1500*A6</f>
        <v>112212.15</v>
      </c>
      <c r="D53" s="24"/>
      <c r="E53" s="24"/>
      <c r="F53" s="95">
        <f>500*$A$6</f>
        <v>37404.049999999996</v>
      </c>
      <c r="G53" s="95">
        <f>500*$A$6</f>
        <v>37404.049999999996</v>
      </c>
      <c r="H53" s="24"/>
      <c r="I53" s="24"/>
      <c r="J53" s="24"/>
      <c r="K53" s="95">
        <f>500*$A$6</f>
        <v>37404.049999999996</v>
      </c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1:38" s="71" customFormat="1" x14ac:dyDescent="0.2">
      <c r="A54" s="69" t="s">
        <v>40</v>
      </c>
      <c r="B54" s="25" t="s">
        <v>44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100">
        <v>2090</v>
      </c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1:38" s="71" customFormat="1" x14ac:dyDescent="0.2">
      <c r="A55" s="69" t="s">
        <v>90</v>
      </c>
      <c r="B55" s="25" t="s">
        <v>91</v>
      </c>
      <c r="C55" s="70"/>
      <c r="D55" s="77"/>
      <c r="E55" s="24"/>
      <c r="F55" s="24"/>
      <c r="G55" s="24"/>
      <c r="H55" s="24"/>
      <c r="J55" s="24"/>
      <c r="K55" s="100">
        <f>1012000/10</f>
        <v>101200</v>
      </c>
      <c r="L55" s="100">
        <f t="shared" ref="L55:N55" si="3">1012000/10</f>
        <v>101200</v>
      </c>
      <c r="M55" s="100">
        <f t="shared" si="3"/>
        <v>101200</v>
      </c>
      <c r="N55" s="100">
        <f t="shared" si="3"/>
        <v>101200</v>
      </c>
      <c r="O55" s="24"/>
      <c r="P55" s="24"/>
      <c r="Q55" s="24"/>
      <c r="R55" s="24"/>
      <c r="S55" s="100">
        <f t="shared" ref="S55:V55" si="4">1012000/10</f>
        <v>101200</v>
      </c>
      <c r="T55" s="100">
        <f t="shared" si="4"/>
        <v>101200</v>
      </c>
      <c r="U55" s="100">
        <f t="shared" si="4"/>
        <v>101200</v>
      </c>
      <c r="V55" s="100">
        <f t="shared" si="4"/>
        <v>101200</v>
      </c>
      <c r="W55" s="24"/>
      <c r="X55" s="24"/>
      <c r="Y55" s="100">
        <f t="shared" ref="Y55:AC55" si="5">1012000/10</f>
        <v>101200</v>
      </c>
      <c r="Z55" s="100">
        <f t="shared" si="5"/>
        <v>101200</v>
      </c>
      <c r="AA55" s="100">
        <f t="shared" si="5"/>
        <v>101200</v>
      </c>
      <c r="AB55" s="100">
        <f t="shared" si="5"/>
        <v>101200</v>
      </c>
      <c r="AC55" s="100">
        <f t="shared" si="5"/>
        <v>101200</v>
      </c>
      <c r="AD55" s="24"/>
      <c r="AE55" s="24"/>
      <c r="AF55" s="100">
        <f t="shared" ref="AF55:AJ55" si="6">1012000/10</f>
        <v>101200</v>
      </c>
      <c r="AG55" s="100">
        <f t="shared" si="6"/>
        <v>101200</v>
      </c>
      <c r="AH55" s="100">
        <f t="shared" si="6"/>
        <v>101200</v>
      </c>
      <c r="AI55" s="100">
        <f t="shared" si="6"/>
        <v>101200</v>
      </c>
      <c r="AJ55" s="100">
        <f t="shared" si="6"/>
        <v>101200</v>
      </c>
      <c r="AK55" s="24"/>
      <c r="AL55" s="24"/>
    </row>
    <row r="56" spans="1:38" s="71" customFormat="1" x14ac:dyDescent="0.2">
      <c r="A56" s="69" t="s">
        <v>102</v>
      </c>
      <c r="B56" s="25" t="s">
        <v>103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1:38" s="71" customFormat="1" x14ac:dyDescent="0.2">
      <c r="A57" s="132" t="s">
        <v>113</v>
      </c>
      <c r="B57" s="133" t="s">
        <v>114</v>
      </c>
      <c r="C57" s="70"/>
      <c r="D57" s="77"/>
      <c r="E57" s="28"/>
      <c r="F57" s="28"/>
      <c r="G57" s="24"/>
      <c r="H57" s="24"/>
      <c r="I57" s="24"/>
      <c r="J57" s="24"/>
      <c r="L57" s="28"/>
      <c r="M57" s="24"/>
      <c r="N57" s="28"/>
      <c r="O57" s="28"/>
      <c r="P57" s="28"/>
      <c r="Q57" s="28"/>
      <c r="R57" s="28"/>
      <c r="S57" s="100">
        <v>346500</v>
      </c>
      <c r="T57" s="100">
        <v>693000</v>
      </c>
      <c r="U57" s="28"/>
      <c r="V57" s="24"/>
      <c r="W57" s="24"/>
      <c r="X57" s="24"/>
      <c r="Y57" s="24"/>
      <c r="Z57" s="28"/>
      <c r="AA57" s="28"/>
      <c r="AB57" s="28"/>
      <c r="AC57" s="28"/>
      <c r="AD57" s="28"/>
      <c r="AE57" s="28"/>
      <c r="AF57" s="28"/>
      <c r="AG57" s="28"/>
      <c r="AH57" s="24"/>
      <c r="AI57" s="24"/>
      <c r="AJ57" s="24"/>
      <c r="AK57" s="24"/>
      <c r="AL57" s="24"/>
    </row>
    <row r="58" spans="1:38" s="71" customFormat="1" x14ac:dyDescent="0.2">
      <c r="A58" s="69" t="s">
        <v>34</v>
      </c>
      <c r="B58" s="25" t="s">
        <v>45</v>
      </c>
      <c r="C58" s="70">
        <f>1014000-100000-100000+400-50000</f>
        <v>764400</v>
      </c>
      <c r="D58" s="77"/>
      <c r="E58" s="24"/>
      <c r="F58" s="106">
        <v>50000</v>
      </c>
      <c r="G58" s="106">
        <v>75000</v>
      </c>
      <c r="I58" s="24"/>
      <c r="J58" s="24"/>
      <c r="K58" s="106">
        <v>75000</v>
      </c>
      <c r="L58" s="106">
        <v>75000</v>
      </c>
      <c r="M58" s="108">
        <f>10600+125000</f>
        <v>135600</v>
      </c>
      <c r="N58" s="108">
        <f>325000+50000</f>
        <v>375000</v>
      </c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 t="s">
        <v>89</v>
      </c>
      <c r="AG58" s="24"/>
      <c r="AH58" s="24"/>
      <c r="AI58" s="24"/>
      <c r="AJ58" s="24"/>
      <c r="AK58" s="24"/>
      <c r="AL58" s="24"/>
    </row>
    <row r="59" spans="1:38" s="71" customFormat="1" x14ac:dyDescent="0.2">
      <c r="A59" s="69" t="s">
        <v>101</v>
      </c>
      <c r="B59" s="25"/>
      <c r="C59" s="70"/>
      <c r="D59" s="77"/>
      <c r="E59" s="108">
        <v>25000</v>
      </c>
      <c r="F59" s="24"/>
      <c r="H59" s="24"/>
      <c r="I59" s="24"/>
      <c r="J59" s="24"/>
      <c r="K59" s="108">
        <v>120000</v>
      </c>
      <c r="L59" s="108">
        <v>25000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1:38" s="71" customFormat="1" x14ac:dyDescent="0.2">
      <c r="A60" s="69" t="s">
        <v>38</v>
      </c>
      <c r="B60" s="25" t="s">
        <v>39</v>
      </c>
      <c r="C60" s="70"/>
      <c r="D60" s="24"/>
      <c r="E60" s="100">
        <v>34850</v>
      </c>
      <c r="F60" s="100">
        <v>27000</v>
      </c>
      <c r="G60" s="24"/>
      <c r="H60" s="24"/>
      <c r="I60" s="24"/>
      <c r="J60" s="24"/>
      <c r="K60" s="100">
        <v>16800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1:38" s="71" customFormat="1" x14ac:dyDescent="0.2">
      <c r="A61" s="69" t="s">
        <v>74</v>
      </c>
      <c r="B61" s="25" t="s">
        <v>83</v>
      </c>
      <c r="C61" s="70"/>
      <c r="D61" s="24"/>
      <c r="E61" s="24"/>
      <c r="F61" s="24"/>
      <c r="H61" s="24"/>
      <c r="I61" s="24"/>
      <c r="J61" s="24"/>
      <c r="L61" s="24"/>
      <c r="M61" s="24"/>
      <c r="N61" s="24"/>
      <c r="O61" s="98">
        <f>104492.6-69560</f>
        <v>34932.600000000006</v>
      </c>
      <c r="P61" s="24"/>
      <c r="Q61" s="24"/>
      <c r="R61" s="24"/>
      <c r="S61" s="24"/>
      <c r="T61" s="24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4"/>
      <c r="AJ61" s="114">
        <v>3567700</v>
      </c>
      <c r="AK61" s="24"/>
      <c r="AL61" s="24"/>
    </row>
    <row r="62" spans="1:38" s="73" customFormat="1" ht="2.25" customHeight="1" x14ac:dyDescent="0.2">
      <c r="A62" s="78"/>
      <c r="B62" s="79"/>
      <c r="C62" s="75"/>
      <c r="D62" s="72"/>
      <c r="E62" s="72"/>
      <c r="F62" s="72"/>
      <c r="G62" s="72"/>
      <c r="H62" s="72"/>
      <c r="I62" s="72"/>
      <c r="J62" s="72"/>
      <c r="K62" s="72"/>
      <c r="L62" s="72"/>
      <c r="M62" s="72" t="s">
        <v>89</v>
      </c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spans="1:38" s="94" customFormat="1" ht="33.75" x14ac:dyDescent="0.2">
      <c r="A63" s="91" t="s">
        <v>60</v>
      </c>
      <c r="B63" s="92" t="s">
        <v>58</v>
      </c>
      <c r="C63" s="93">
        <v>248639.70012000017</v>
      </c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94" customFormat="1" ht="33.75" x14ac:dyDescent="0.2">
      <c r="A64" s="91" t="s">
        <v>60</v>
      </c>
      <c r="B64" s="92" t="s">
        <v>59</v>
      </c>
      <c r="C64" s="93">
        <v>0</v>
      </c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5" customFormat="1" ht="2.25" customHeight="1" x14ac:dyDescent="0.2">
      <c r="A65" s="42"/>
      <c r="B65" s="12"/>
      <c r="C65" s="68"/>
      <c r="D65" s="26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</row>
    <row r="66" spans="1:38" s="5" customFormat="1" x14ac:dyDescent="0.2">
      <c r="A66" s="36" t="s">
        <v>49</v>
      </c>
      <c r="B66" s="12"/>
      <c r="C66" s="13"/>
      <c r="D66" s="26"/>
      <c r="E66" s="13"/>
      <c r="F66" s="13"/>
      <c r="G66" s="13"/>
      <c r="H66" s="13"/>
      <c r="I66" s="13"/>
      <c r="J66" s="13"/>
      <c r="L66" s="126">
        <f>1400268.46/0.77</f>
        <v>1818530.4675324673</v>
      </c>
      <c r="M66" s="13"/>
      <c r="N66" s="126">
        <f>(1369064.01)/0.77</f>
        <v>1778005.2077922078</v>
      </c>
      <c r="O66" s="13"/>
      <c r="P66" s="13"/>
      <c r="Q66" s="13"/>
      <c r="R66" s="13"/>
      <c r="S66" s="13"/>
      <c r="T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</row>
    <row r="67" spans="1:38" s="5" customFormat="1" x14ac:dyDescent="0.2">
      <c r="A67" s="36" t="s">
        <v>57</v>
      </c>
      <c r="B67" s="12"/>
      <c r="C67" s="68"/>
      <c r="D67" s="26"/>
      <c r="E67" s="13"/>
      <c r="F67" s="13"/>
      <c r="H67" s="13"/>
      <c r="J67" s="13"/>
      <c r="K67" s="13"/>
      <c r="L67" s="139">
        <f>1749467.21/0.77</f>
        <v>2272035.3376623373</v>
      </c>
      <c r="M67" s="13"/>
      <c r="N67" s="13"/>
      <c r="O67" s="13"/>
      <c r="P67" s="13"/>
      <c r="Q67" s="13"/>
      <c r="R67" s="13"/>
      <c r="S67" s="13"/>
      <c r="T67" s="13"/>
      <c r="U67" s="139">
        <f>1933893.44/0.77</f>
        <v>2511549.9220779222</v>
      </c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 spans="1:38" s="5" customFormat="1" x14ac:dyDescent="0.2">
      <c r="A68" s="36" t="s">
        <v>61</v>
      </c>
      <c r="B68" s="12"/>
      <c r="C68" s="68"/>
      <c r="D68" s="26"/>
      <c r="E68" s="13"/>
      <c r="F68" s="13"/>
      <c r="G68" s="13"/>
      <c r="H68" s="13">
        <v>112000</v>
      </c>
      <c r="I68" s="13"/>
      <c r="J68" s="13"/>
      <c r="K68" s="13"/>
      <c r="L68" s="13"/>
      <c r="M68" s="139">
        <v>390000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</row>
    <row r="69" spans="1:38" s="5" customFormat="1" ht="2.25" customHeight="1" x14ac:dyDescent="0.2">
      <c r="A69" s="42"/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 spans="1:38" s="5" customFormat="1" x14ac:dyDescent="0.2">
      <c r="A70" s="36" t="s">
        <v>72</v>
      </c>
      <c r="B70" s="27" t="s">
        <v>73</v>
      </c>
      <c r="C70" s="62">
        <v>3637079.2460000003</v>
      </c>
      <c r="D70" s="35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</row>
    <row r="71" spans="1:38" s="5" customFormat="1" ht="2.25" customHeight="1" x14ac:dyDescent="0.2">
      <c r="A71" s="42"/>
      <c r="B71" s="12"/>
      <c r="C71" s="61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</row>
    <row r="72" spans="1:38" s="84" customFormat="1" x14ac:dyDescent="0.2">
      <c r="A72" s="81" t="s">
        <v>66</v>
      </c>
      <c r="B72" s="82"/>
      <c r="C72" s="63"/>
      <c r="D72" s="83"/>
      <c r="E72" s="83">
        <f>$C$5+E16-E26</f>
        <v>3079584.67</v>
      </c>
      <c r="F72" s="83">
        <f t="shared" ref="F72:AL72" si="7">E72+F16-F26</f>
        <v>2459013.7599999998</v>
      </c>
      <c r="G72" s="83">
        <f t="shared" si="7"/>
        <v>2126724.8499999996</v>
      </c>
      <c r="H72" s="83">
        <f t="shared" si="7"/>
        <v>2014724.8499999996</v>
      </c>
      <c r="I72" s="83">
        <f t="shared" si="7"/>
        <v>2014724.8499999996</v>
      </c>
      <c r="J72" s="83">
        <f t="shared" si="7"/>
        <v>2014724.8499999996</v>
      </c>
      <c r="K72" s="83">
        <f t="shared" si="7"/>
        <v>7463330.8852999993</v>
      </c>
      <c r="L72" s="83">
        <f t="shared" si="7"/>
        <v>4345833.3056051945</v>
      </c>
      <c r="M72" s="83">
        <f t="shared" si="7"/>
        <v>3166097.6311051948</v>
      </c>
      <c r="N72" s="83">
        <f t="shared" si="7"/>
        <v>175224.64881298691</v>
      </c>
      <c r="O72" s="83">
        <f t="shared" si="7"/>
        <v>-5656.9511870130955</v>
      </c>
      <c r="P72" s="83">
        <f t="shared" si="7"/>
        <v>-5656.9511870130955</v>
      </c>
      <c r="Q72" s="83">
        <f t="shared" si="7"/>
        <v>-365656.95118701307</v>
      </c>
      <c r="R72" s="83">
        <f t="shared" si="7"/>
        <v>2710234.0488129868</v>
      </c>
      <c r="S72" s="83">
        <f t="shared" si="7"/>
        <v>1436513.7963129869</v>
      </c>
      <c r="T72" s="83">
        <f t="shared" si="7"/>
        <v>-210439.25368701317</v>
      </c>
      <c r="U72" s="83">
        <f t="shared" si="7"/>
        <v>4557712.7742350651</v>
      </c>
      <c r="V72" s="83">
        <f t="shared" si="7"/>
        <v>3699582.7242350653</v>
      </c>
      <c r="W72" s="83">
        <f t="shared" si="7"/>
        <v>3699582.7242350653</v>
      </c>
      <c r="X72" s="83">
        <f t="shared" si="7"/>
        <v>3699582.7242350653</v>
      </c>
      <c r="Y72" s="83">
        <f t="shared" si="7"/>
        <v>3553497.8642350654</v>
      </c>
      <c r="Z72" s="83">
        <f t="shared" si="7"/>
        <v>3216034.0042350655</v>
      </c>
      <c r="AA72" s="83">
        <f t="shared" si="7"/>
        <v>3069949.1442350657</v>
      </c>
      <c r="AB72" s="83">
        <f t="shared" si="7"/>
        <v>2968749.1442350657</v>
      </c>
      <c r="AC72" s="83">
        <f t="shared" si="7"/>
        <v>1788825.5764350658</v>
      </c>
      <c r="AD72" s="83">
        <f t="shared" si="7"/>
        <v>1788825.5764350658</v>
      </c>
      <c r="AE72" s="83">
        <f t="shared" si="7"/>
        <v>1788825.5764350658</v>
      </c>
      <c r="AF72" s="83">
        <f t="shared" si="7"/>
        <v>1687625.5764350658</v>
      </c>
      <c r="AG72" s="83">
        <f t="shared" si="7"/>
        <v>1586425.5764350658</v>
      </c>
      <c r="AH72" s="83">
        <f t="shared" si="7"/>
        <v>1485225.5764350658</v>
      </c>
      <c r="AI72" s="83">
        <f t="shared" si="7"/>
        <v>-1763052.2344982678</v>
      </c>
      <c r="AJ72" s="83">
        <f t="shared" si="7"/>
        <v>-3047061.234498268</v>
      </c>
      <c r="AK72" s="83">
        <f t="shared" si="7"/>
        <v>-3047061.234498268</v>
      </c>
      <c r="AL72" s="83">
        <f t="shared" si="7"/>
        <v>-3047061.234498268</v>
      </c>
    </row>
    <row r="74" spans="1:38" s="5" customFormat="1" ht="2.25" customHeight="1" x14ac:dyDescent="0.2">
      <c r="A74" s="42"/>
      <c r="B74" s="12"/>
      <c r="C74" s="68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 spans="1:38" s="89" customFormat="1" ht="11.25" customHeight="1" x14ac:dyDescent="0.2">
      <c r="A75" s="85" t="s">
        <v>65</v>
      </c>
      <c r="B75" s="86"/>
      <c r="C75" s="87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5" customFormat="1" ht="22.5" x14ac:dyDescent="0.2">
      <c r="A76" s="36" t="s">
        <v>67</v>
      </c>
      <c r="B76" s="27" t="s">
        <v>68</v>
      </c>
      <c r="C76" s="68">
        <v>3221210.79</v>
      </c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 spans="1:38" s="5" customFormat="1" x14ac:dyDescent="0.2">
      <c r="A77" s="36" t="s">
        <v>69</v>
      </c>
      <c r="B77" s="27" t="s">
        <v>70</v>
      </c>
      <c r="C77" s="68">
        <v>9814338.4000000004</v>
      </c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 spans="1:38" s="5" customFormat="1" x14ac:dyDescent="0.2">
      <c r="A78" s="36"/>
      <c r="B78" s="27"/>
      <c r="C78" s="68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1:38" s="5" customFormat="1" x14ac:dyDescent="0.2">
      <c r="A79" s="36"/>
      <c r="B79" s="27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1" spans="2:2" x14ac:dyDescent="0.25">
      <c r="B81" s="14"/>
    </row>
  </sheetData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86"/>
  <sheetViews>
    <sheetView topLeftCell="A12" workbookViewId="0">
      <selection activeCell="F28" sqref="F28:F31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1" width="10.85546875" style="3" bestFit="1" customWidth="1"/>
    <col min="12" max="12" width="11.7109375" style="3" bestFit="1" customWidth="1"/>
    <col min="13" max="21" width="10.85546875" style="3" bestFit="1" customWidth="1"/>
    <col min="22" max="22" width="11.7109375" style="3" bestFit="1" customWidth="1"/>
    <col min="23" max="39" width="10.85546875" style="3" bestFit="1" customWidth="1"/>
    <col min="40" max="16384" width="9" style="3"/>
  </cols>
  <sheetData>
    <row r="1" spans="1:39" ht="12" thickBot="1" x14ac:dyDescent="0.3"/>
    <row r="2" spans="1:39" s="1" customFormat="1" x14ac:dyDescent="0.2">
      <c r="A2" s="43" t="s">
        <v>50</v>
      </c>
      <c r="B2" s="15" t="s">
        <v>27</v>
      </c>
      <c r="C2" s="50">
        <v>5270981.71</v>
      </c>
    </row>
    <row r="3" spans="1:39" s="1" customFormat="1" ht="12" thickBot="1" x14ac:dyDescent="0.25">
      <c r="A3" s="44">
        <v>87.5261</v>
      </c>
      <c r="B3" s="15" t="s">
        <v>28</v>
      </c>
      <c r="C3" s="50">
        <v>10778.95</v>
      </c>
    </row>
    <row r="4" spans="1:39" s="8" customFormat="1" ht="12" thickBot="1" x14ac:dyDescent="0.25">
      <c r="A4" s="45"/>
      <c r="B4" s="15" t="s">
        <v>25</v>
      </c>
      <c r="C4" s="51">
        <v>0</v>
      </c>
    </row>
    <row r="5" spans="1:39" s="6" customFormat="1" x14ac:dyDescent="0.2">
      <c r="A5" s="43" t="s">
        <v>51</v>
      </c>
      <c r="B5" s="49" t="s">
        <v>26</v>
      </c>
      <c r="C5" s="52">
        <f>SUM(C2:C4)</f>
        <v>5281760.66</v>
      </c>
    </row>
    <row r="6" spans="1:39" s="6" customFormat="1" ht="12" thickBot="1" x14ac:dyDescent="0.25">
      <c r="A6" s="44">
        <v>74.834900000000005</v>
      </c>
      <c r="B6" s="16"/>
      <c r="C6" s="53"/>
      <c r="D6" s="17"/>
    </row>
    <row r="7" spans="1:39" s="6" customFormat="1" ht="12" thickBot="1" x14ac:dyDescent="0.25">
      <c r="A7" s="105" t="s">
        <v>51</v>
      </c>
      <c r="B7" s="18" t="s">
        <v>122</v>
      </c>
      <c r="C7" s="54">
        <f>SUM(E16:AM16)</f>
        <v>25127701.1164</v>
      </c>
    </row>
    <row r="8" spans="1:39" x14ac:dyDescent="0.25">
      <c r="A8" s="43" t="s">
        <v>52</v>
      </c>
      <c r="B8" s="18" t="s">
        <v>84</v>
      </c>
      <c r="C8" s="54">
        <f>SUM(E25:AM26)</f>
        <v>34718932.512196541</v>
      </c>
    </row>
    <row r="9" spans="1:39" ht="12" thickBot="1" x14ac:dyDescent="0.3">
      <c r="A9" s="44">
        <v>10.944100000000001</v>
      </c>
      <c r="B9" s="19" t="s">
        <v>64</v>
      </c>
      <c r="C9" s="55">
        <f>C5+C7-C8-C11</f>
        <v>-12018224.126916543</v>
      </c>
    </row>
    <row r="10" spans="1:39" x14ac:dyDescent="0.25">
      <c r="A10" s="99" t="s">
        <v>80</v>
      </c>
      <c r="B10" s="18" t="s">
        <v>23</v>
      </c>
      <c r="C10" s="56">
        <f>C16</f>
        <v>0</v>
      </c>
    </row>
    <row r="11" spans="1:39" x14ac:dyDescent="0.25">
      <c r="A11" s="101" t="s">
        <v>87</v>
      </c>
      <c r="B11" s="18" t="s">
        <v>24</v>
      </c>
      <c r="C11" s="54">
        <f>C26</f>
        <v>7708753.3911200007</v>
      </c>
    </row>
    <row r="12" spans="1:39" x14ac:dyDescent="0.25">
      <c r="A12" s="107" t="s">
        <v>88</v>
      </c>
    </row>
    <row r="13" spans="1:39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s="2" customFormat="1" x14ac:dyDescent="0.25">
      <c r="A14" s="64"/>
      <c r="B14" s="65"/>
      <c r="C14" s="58" t="s">
        <v>56</v>
      </c>
      <c r="D14" s="66"/>
      <c r="E14" s="66">
        <v>46139</v>
      </c>
      <c r="F14" s="66">
        <v>46140</v>
      </c>
      <c r="G14" s="66">
        <v>46141</v>
      </c>
      <c r="H14" s="66">
        <v>46142</v>
      </c>
      <c r="I14" s="66">
        <v>46143</v>
      </c>
      <c r="J14" s="66">
        <v>46144</v>
      </c>
      <c r="K14" s="66">
        <v>46145</v>
      </c>
      <c r="L14" s="66">
        <v>46146</v>
      </c>
      <c r="M14" s="66">
        <v>46147</v>
      </c>
      <c r="N14" s="66">
        <v>46148</v>
      </c>
      <c r="O14" s="66">
        <v>46149</v>
      </c>
      <c r="P14" s="66">
        <v>46150</v>
      </c>
      <c r="Q14" s="66">
        <v>46151</v>
      </c>
      <c r="R14" s="66">
        <v>46152</v>
      </c>
      <c r="S14" s="66">
        <v>46153</v>
      </c>
      <c r="T14" s="66">
        <v>46154</v>
      </c>
      <c r="U14" s="66">
        <v>46155</v>
      </c>
      <c r="V14" s="66">
        <v>46156</v>
      </c>
      <c r="W14" s="66">
        <v>46157</v>
      </c>
      <c r="X14" s="66">
        <v>46158</v>
      </c>
      <c r="Y14" s="66">
        <v>46159</v>
      </c>
      <c r="Z14" s="66">
        <v>46160</v>
      </c>
      <c r="AA14" s="66">
        <v>46161</v>
      </c>
      <c r="AB14" s="66">
        <v>46162</v>
      </c>
      <c r="AC14" s="66">
        <v>46163</v>
      </c>
      <c r="AD14" s="66">
        <v>46164</v>
      </c>
      <c r="AE14" s="66">
        <v>46165</v>
      </c>
      <c r="AF14" s="66">
        <v>46166</v>
      </c>
      <c r="AG14" s="66">
        <v>46167</v>
      </c>
      <c r="AH14" s="66">
        <v>46168</v>
      </c>
      <c r="AI14" s="66">
        <v>46169</v>
      </c>
      <c r="AJ14" s="66">
        <v>46170</v>
      </c>
      <c r="AK14" s="66">
        <v>46171</v>
      </c>
      <c r="AL14" s="66">
        <v>46172</v>
      </c>
      <c r="AM14" s="66">
        <v>46173</v>
      </c>
    </row>
    <row r="15" spans="1:39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</row>
    <row r="16" spans="1:39" s="2" customFormat="1" x14ac:dyDescent="0.25">
      <c r="A16" s="39" t="s">
        <v>0</v>
      </c>
      <c r="B16" s="20"/>
      <c r="C16" s="29">
        <f>SUM(C18:C24)</f>
        <v>0</v>
      </c>
      <c r="D16" s="29"/>
      <c r="E16" s="29">
        <f t="shared" ref="E16:Q16" si="0">SUM(E17:E25)</f>
        <v>2500000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135">
        <f t="shared" si="0"/>
        <v>0</v>
      </c>
      <c r="J16" s="135">
        <f t="shared" si="0"/>
        <v>0</v>
      </c>
      <c r="K16" s="135">
        <f t="shared" si="0"/>
        <v>0</v>
      </c>
      <c r="L16" s="29">
        <f t="shared" si="0"/>
        <v>7037500</v>
      </c>
      <c r="M16" s="29">
        <f t="shared" si="0"/>
        <v>1500000</v>
      </c>
      <c r="N16" s="29">
        <f t="shared" si="0"/>
        <v>0</v>
      </c>
      <c r="O16" s="29">
        <f t="shared" si="0"/>
        <v>0</v>
      </c>
      <c r="P16" s="29">
        <f t="shared" si="0"/>
        <v>0</v>
      </c>
      <c r="Q16" s="135">
        <f t="shared" si="0"/>
        <v>0</v>
      </c>
      <c r="R16" s="135">
        <f>SUM(R17:R25)</f>
        <v>0</v>
      </c>
      <c r="S16" s="135">
        <f t="shared" ref="S16:AM16" si="1">SUM(S17:S25)</f>
        <v>3063413.5</v>
      </c>
      <c r="T16" s="29">
        <f t="shared" si="1"/>
        <v>0</v>
      </c>
      <c r="U16" s="29">
        <f t="shared" si="1"/>
        <v>0</v>
      </c>
      <c r="V16" s="29">
        <f t="shared" si="1"/>
        <v>7882500</v>
      </c>
      <c r="W16" s="29">
        <f t="shared" si="1"/>
        <v>0</v>
      </c>
      <c r="X16" s="135">
        <f t="shared" si="1"/>
        <v>0</v>
      </c>
      <c r="Y16" s="135">
        <f t="shared" si="1"/>
        <v>0</v>
      </c>
      <c r="Z16" s="29">
        <f t="shared" si="1"/>
        <v>0</v>
      </c>
      <c r="AA16" s="29">
        <f t="shared" si="1"/>
        <v>0</v>
      </c>
      <c r="AB16" s="29">
        <f t="shared" si="1"/>
        <v>0</v>
      </c>
      <c r="AC16" s="29">
        <f t="shared" si="1"/>
        <v>0</v>
      </c>
      <c r="AD16" s="29">
        <f t="shared" si="1"/>
        <v>0</v>
      </c>
      <c r="AE16" s="135">
        <f t="shared" si="1"/>
        <v>0</v>
      </c>
      <c r="AF16" s="135">
        <f t="shared" si="1"/>
        <v>0</v>
      </c>
      <c r="AG16" s="29">
        <f t="shared" si="1"/>
        <v>0</v>
      </c>
      <c r="AH16" s="29">
        <f t="shared" si="1"/>
        <v>0</v>
      </c>
      <c r="AI16" s="29">
        <f t="shared" si="1"/>
        <v>0</v>
      </c>
      <c r="AJ16" s="29">
        <f t="shared" si="1"/>
        <v>80874.116399999999</v>
      </c>
      <c r="AK16" s="29">
        <f t="shared" si="1"/>
        <v>3063413.5</v>
      </c>
      <c r="AL16" s="135">
        <f t="shared" si="1"/>
        <v>0</v>
      </c>
      <c r="AM16" s="135">
        <f t="shared" si="1"/>
        <v>0</v>
      </c>
    </row>
    <row r="17" spans="1:39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</row>
    <row r="18" spans="1:39" s="80" customFormat="1" x14ac:dyDescent="0.25">
      <c r="A18" s="40" t="s">
        <v>9</v>
      </c>
      <c r="B18" s="21"/>
      <c r="C18" s="59"/>
      <c r="D18" s="30"/>
      <c r="E18" s="30">
        <v>2500000</v>
      </c>
      <c r="F18" s="30"/>
      <c r="G18" s="30"/>
      <c r="H18" s="30"/>
      <c r="I18" s="30"/>
      <c r="J18" s="30"/>
      <c r="K18" s="30"/>
      <c r="L18" s="30"/>
      <c r="M18" s="30">
        <v>1500000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</row>
    <row r="19" spans="1:39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</row>
    <row r="20" spans="1:39" s="80" customFormat="1" ht="13.5" customHeigh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K20" s="30"/>
      <c r="L20" s="30">
        <v>7037500</v>
      </c>
      <c r="M20" s="30"/>
      <c r="N20" s="30"/>
      <c r="O20" s="30"/>
      <c r="P20" s="30"/>
      <c r="Q20" s="30"/>
      <c r="R20" s="30"/>
      <c r="S20" s="30"/>
      <c r="T20" s="30"/>
      <c r="U20" s="30"/>
      <c r="V20" s="30">
        <v>7882500</v>
      </c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</row>
    <row r="21" spans="1:39" s="80" customFormat="1" ht="13.5" customHeight="1" x14ac:dyDescent="0.25">
      <c r="A21" s="40" t="s">
        <v>123</v>
      </c>
      <c r="B21" s="21"/>
      <c r="C21" s="32"/>
      <c r="D21" s="30"/>
      <c r="E21" s="30"/>
      <c r="F21" s="30"/>
      <c r="G21" s="30"/>
      <c r="H21" s="30"/>
      <c r="I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>
        <f>924*A3</f>
        <v>80874.116399999999</v>
      </c>
      <c r="AK21" s="30"/>
      <c r="AL21" s="30"/>
      <c r="AM21" s="30"/>
    </row>
    <row r="22" spans="1:39" s="80" customFormat="1" ht="13.5" customHeight="1" x14ac:dyDescent="0.25">
      <c r="A22" s="40" t="s">
        <v>76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</row>
    <row r="23" spans="1:39" s="80" customFormat="1" ht="12" customHeight="1" x14ac:dyDescent="0.25">
      <c r="A23" s="40" t="s">
        <v>11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</row>
    <row r="24" spans="1:39" s="80" customFormat="1" ht="10.5" customHeight="1" x14ac:dyDescent="0.25">
      <c r="A24" s="40" t="s">
        <v>13</v>
      </c>
      <c r="B24" s="21"/>
      <c r="C24" s="5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>
        <f>35000*A3</f>
        <v>3063413.5</v>
      </c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>
        <f>35000*A3</f>
        <v>3063413.5</v>
      </c>
      <c r="AL24" s="30"/>
      <c r="AM24" s="30"/>
    </row>
    <row r="25" spans="1:39" ht="3" customHeight="1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</row>
    <row r="26" spans="1:39" s="4" customFormat="1" x14ac:dyDescent="0.2">
      <c r="A26" s="41" t="s">
        <v>1</v>
      </c>
      <c r="B26" s="22"/>
      <c r="C26" s="34">
        <f>SUM(C28:C75)</f>
        <v>7708753.3911200007</v>
      </c>
      <c r="D26" s="34"/>
      <c r="E26" s="34">
        <f t="shared" ref="E26:AM26" si="2">SUM(E27:E76)</f>
        <v>2510149.4955649353</v>
      </c>
      <c r="F26" s="34">
        <f t="shared" si="2"/>
        <v>3738723.5838333331</v>
      </c>
      <c r="G26" s="34">
        <f t="shared" si="2"/>
        <v>843868.90049999999</v>
      </c>
      <c r="H26" s="34">
        <f t="shared" si="2"/>
        <v>415519.50050000008</v>
      </c>
      <c r="I26" s="34">
        <f t="shared" si="2"/>
        <v>112000</v>
      </c>
      <c r="J26" s="34">
        <f t="shared" si="2"/>
        <v>0</v>
      </c>
      <c r="K26" s="34">
        <f t="shared" si="2"/>
        <v>0</v>
      </c>
      <c r="L26" s="34">
        <f t="shared" si="2"/>
        <v>1588992.7763</v>
      </c>
      <c r="M26" s="34">
        <f t="shared" si="2"/>
        <v>4544259.7551948046</v>
      </c>
      <c r="N26" s="34">
        <f t="shared" si="2"/>
        <v>1056497.8500000001</v>
      </c>
      <c r="O26" s="34">
        <f t="shared" si="2"/>
        <v>2942635.1577922078</v>
      </c>
      <c r="P26" s="34">
        <f t="shared" si="2"/>
        <v>145949</v>
      </c>
      <c r="Q26" s="34">
        <f t="shared" si="2"/>
        <v>0</v>
      </c>
      <c r="R26" s="34">
        <f t="shared" si="2"/>
        <v>360000</v>
      </c>
      <c r="S26" s="34">
        <f t="shared" si="2"/>
        <v>0</v>
      </c>
      <c r="T26" s="34">
        <f t="shared" si="2"/>
        <v>1273734.3225</v>
      </c>
      <c r="U26" s="34">
        <f t="shared" si="2"/>
        <v>1646966.45</v>
      </c>
      <c r="V26" s="34">
        <f t="shared" si="2"/>
        <v>3114361.3720779223</v>
      </c>
      <c r="W26" s="34">
        <f t="shared" si="2"/>
        <v>758143.45</v>
      </c>
      <c r="X26" s="34">
        <f t="shared" si="2"/>
        <v>0</v>
      </c>
      <c r="Y26" s="34">
        <f t="shared" si="2"/>
        <v>0</v>
      </c>
      <c r="Z26" s="34">
        <f t="shared" si="2"/>
        <v>146100.94</v>
      </c>
      <c r="AA26" s="34">
        <f t="shared" si="2"/>
        <v>146100.94</v>
      </c>
      <c r="AB26" s="34">
        <f t="shared" si="2"/>
        <v>101200</v>
      </c>
      <c r="AC26" s="34">
        <f t="shared" si="2"/>
        <v>101200</v>
      </c>
      <c r="AD26" s="34">
        <f t="shared" si="2"/>
        <v>1179547.6846</v>
      </c>
      <c r="AE26" s="34">
        <f t="shared" si="2"/>
        <v>0</v>
      </c>
      <c r="AF26" s="34">
        <f t="shared" si="2"/>
        <v>0</v>
      </c>
      <c r="AG26" s="34">
        <f t="shared" si="2"/>
        <v>101200</v>
      </c>
      <c r="AH26" s="34">
        <f t="shared" si="2"/>
        <v>101200</v>
      </c>
      <c r="AI26" s="34">
        <f t="shared" si="2"/>
        <v>101200</v>
      </c>
      <c r="AJ26" s="34">
        <f t="shared" si="2"/>
        <v>3329481.3333333335</v>
      </c>
      <c r="AK26" s="34">
        <f t="shared" si="2"/>
        <v>4359900</v>
      </c>
      <c r="AL26" s="34">
        <f t="shared" si="2"/>
        <v>0</v>
      </c>
      <c r="AM26" s="34">
        <f t="shared" si="2"/>
        <v>0</v>
      </c>
    </row>
    <row r="27" spans="1:39" ht="3" customHeight="1" x14ac:dyDescent="0.25">
      <c r="A27" s="40"/>
      <c r="B27" s="21"/>
      <c r="C27" s="59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</row>
    <row r="28" spans="1:39" s="1" customFormat="1" x14ac:dyDescent="0.2">
      <c r="A28" s="36" t="s">
        <v>2</v>
      </c>
      <c r="B28" s="23" t="s">
        <v>3</v>
      </c>
      <c r="C28" s="60"/>
      <c r="D28" s="24"/>
      <c r="E28" s="24"/>
      <c r="F28" s="24">
        <v>192481.8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</row>
    <row r="29" spans="1:39" s="1" customFormat="1" x14ac:dyDescent="0.2">
      <c r="A29" s="36" t="s">
        <v>2</v>
      </c>
      <c r="B29" s="23" t="s">
        <v>4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</row>
    <row r="30" spans="1:39" s="1" customFormat="1" x14ac:dyDescent="0.2">
      <c r="A30" s="36" t="s">
        <v>2</v>
      </c>
      <c r="B30" s="23" t="s">
        <v>5</v>
      </c>
      <c r="C30" s="60"/>
      <c r="D30" s="24"/>
      <c r="E30" s="24"/>
      <c r="F30" s="24">
        <f>8399365/3</f>
        <v>2799788.3333333335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>
        <f>8399365/3</f>
        <v>2799788.3333333335</v>
      </c>
      <c r="AK30" s="24"/>
      <c r="AL30" s="24"/>
      <c r="AM30" s="24"/>
    </row>
    <row r="31" spans="1:39" s="1" customFormat="1" x14ac:dyDescent="0.2">
      <c r="A31" s="36" t="s">
        <v>2</v>
      </c>
      <c r="B31" s="23" t="s">
        <v>6</v>
      </c>
      <c r="C31" s="60"/>
      <c r="D31" s="24"/>
      <c r="E31" s="24"/>
      <c r="F31" s="90">
        <f>291375+137118</f>
        <v>428493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90">
        <f>291375+137118</f>
        <v>428493</v>
      </c>
      <c r="AK31" s="24"/>
      <c r="AL31" s="24"/>
      <c r="AM31" s="24"/>
    </row>
    <row r="32" spans="1:39" s="1" customFormat="1" x14ac:dyDescent="0.2">
      <c r="A32" s="36" t="s">
        <v>7</v>
      </c>
      <c r="B32" s="23" t="s">
        <v>8</v>
      </c>
      <c r="C32" s="60"/>
      <c r="D32" s="24"/>
      <c r="F32" s="24"/>
      <c r="G32" s="24"/>
      <c r="H32" s="24"/>
      <c r="I32" s="24"/>
      <c r="J32" s="24"/>
      <c r="K32" s="24"/>
      <c r="L32" s="24">
        <v>560000</v>
      </c>
      <c r="M32" s="24"/>
      <c r="N32" s="24"/>
      <c r="O32" s="24"/>
      <c r="P32" s="24"/>
      <c r="Q32" s="24"/>
      <c r="R32" s="24">
        <v>360000</v>
      </c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</row>
    <row r="33" spans="1:39" s="1" customFormat="1" x14ac:dyDescent="0.2">
      <c r="A33" s="36" t="s">
        <v>118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>
        <v>271506</v>
      </c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</row>
    <row r="34" spans="1:39" s="1" customFormat="1" x14ac:dyDescent="0.2">
      <c r="A34" s="36" t="s">
        <v>54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</row>
    <row r="35" spans="1:39" s="1" customFormat="1" x14ac:dyDescent="0.2">
      <c r="A35" s="36" t="s">
        <v>71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>
        <v>100000</v>
      </c>
      <c r="M35" s="24"/>
      <c r="N35" s="24">
        <v>100113.9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</row>
    <row r="36" spans="1:39" s="1" customFormat="1" x14ac:dyDescent="0.2">
      <c r="A36" s="36" t="s">
        <v>53</v>
      </c>
      <c r="B36" s="23"/>
      <c r="C36" s="60"/>
      <c r="D36" s="24"/>
      <c r="E36" s="24"/>
      <c r="F36" s="24"/>
      <c r="G36" s="24"/>
      <c r="H36" s="24"/>
      <c r="J36" s="24"/>
      <c r="K36" s="24"/>
      <c r="M36" s="24"/>
      <c r="N36" s="24"/>
      <c r="O36" s="24"/>
      <c r="P36" s="24">
        <v>145949</v>
      </c>
      <c r="Q36" s="24"/>
      <c r="R36" s="24"/>
      <c r="S36" s="24"/>
      <c r="T36" s="24">
        <v>100000</v>
      </c>
      <c r="U36" s="24">
        <v>100000</v>
      </c>
      <c r="V36" s="24">
        <v>100000</v>
      </c>
      <c r="W36" s="24">
        <v>100000</v>
      </c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</row>
    <row r="37" spans="1:39" s="1" customFormat="1" ht="11.25" customHeight="1" x14ac:dyDescent="0.2">
      <c r="A37" s="47"/>
      <c r="B37" s="48"/>
      <c r="C37" s="67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</row>
    <row r="38" spans="1:39" s="71" customFormat="1" x14ac:dyDescent="0.2">
      <c r="A38" s="69" t="s">
        <v>14</v>
      </c>
      <c r="B38" s="25" t="s">
        <v>30</v>
      </c>
      <c r="C38" s="70"/>
      <c r="D38" s="24"/>
      <c r="E38" s="24"/>
      <c r="F38" s="24"/>
      <c r="G38" s="24"/>
      <c r="H38" s="24"/>
      <c r="J38" s="24"/>
      <c r="K38" s="24"/>
      <c r="L38" s="24"/>
      <c r="M38" s="24"/>
      <c r="O38" s="24"/>
      <c r="P38" s="24"/>
      <c r="Q38" s="24"/>
      <c r="R38" s="24"/>
      <c r="S38" s="24"/>
      <c r="T38" s="24"/>
      <c r="U38" s="100">
        <v>341779</v>
      </c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</row>
    <row r="39" spans="1:39" s="71" customFormat="1" x14ac:dyDescent="0.2">
      <c r="A39" s="69" t="s">
        <v>115</v>
      </c>
      <c r="B39" s="25" t="s">
        <v>116</v>
      </c>
      <c r="C39" s="70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100">
        <v>156160</v>
      </c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</row>
    <row r="40" spans="1:39" s="71" customFormat="1" x14ac:dyDescent="0.2">
      <c r="A40" s="69" t="s">
        <v>117</v>
      </c>
      <c r="B40" s="25" t="s">
        <v>119</v>
      </c>
      <c r="C40" s="70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8"/>
      <c r="P40" s="24"/>
      <c r="Q40" s="24"/>
      <c r="R40" s="24"/>
      <c r="S40" s="24"/>
      <c r="T40" s="24"/>
      <c r="U40" s="24"/>
      <c r="V40" s="24"/>
      <c r="W40" s="28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100">
        <v>691000</v>
      </c>
      <c r="AL40" s="24"/>
      <c r="AM40" s="24"/>
    </row>
    <row r="41" spans="1:39" s="71" customFormat="1" x14ac:dyDescent="0.2">
      <c r="A41" s="69" t="s">
        <v>97</v>
      </c>
      <c r="B41" s="25" t="s">
        <v>98</v>
      </c>
      <c r="C41" s="70"/>
      <c r="D41" s="24"/>
      <c r="E41" s="24"/>
      <c r="F41" s="24"/>
      <c r="G41" s="100">
        <v>311400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</row>
    <row r="42" spans="1:39" s="71" customFormat="1" x14ac:dyDescent="0.2">
      <c r="A42" s="69" t="s">
        <v>17</v>
      </c>
      <c r="B42" s="25" t="s">
        <v>41</v>
      </c>
      <c r="C42" s="70">
        <f>1375000-500000-175000</f>
        <v>700000</v>
      </c>
      <c r="D42" s="24"/>
      <c r="E42" s="100">
        <v>50000</v>
      </c>
      <c r="G42" s="129">
        <v>75000</v>
      </c>
      <c r="J42" s="24"/>
      <c r="K42" s="24"/>
      <c r="L42" s="129">
        <v>100000</v>
      </c>
      <c r="M42" s="129">
        <v>25000</v>
      </c>
      <c r="N42" s="24"/>
      <c r="O42" s="129">
        <v>175000</v>
      </c>
      <c r="P42" s="24"/>
      <c r="Q42" s="24"/>
      <c r="R42" s="24"/>
      <c r="S42" s="24"/>
      <c r="T42" s="129">
        <v>175000</v>
      </c>
      <c r="U42" s="24"/>
      <c r="V42" s="129">
        <v>100000</v>
      </c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</row>
    <row r="43" spans="1:39" s="71" customFormat="1" x14ac:dyDescent="0.2">
      <c r="A43" s="69" t="s">
        <v>15</v>
      </c>
      <c r="B43" s="25" t="s">
        <v>31</v>
      </c>
      <c r="C43" s="70">
        <f>1289912-50000-50000-75000-124688-100000-100000</f>
        <v>790224</v>
      </c>
      <c r="D43" s="24"/>
      <c r="E43" s="100">
        <v>50000</v>
      </c>
      <c r="F43" s="108">
        <f>150000-60000</f>
        <v>90000</v>
      </c>
      <c r="G43" s="108">
        <v>100000</v>
      </c>
      <c r="H43" s="108">
        <v>100000</v>
      </c>
      <c r="I43" s="28"/>
      <c r="J43" s="28"/>
      <c r="K43" s="24"/>
      <c r="L43" s="108">
        <v>65224</v>
      </c>
      <c r="M43" s="108">
        <v>90224</v>
      </c>
      <c r="N43" s="108">
        <v>115224</v>
      </c>
      <c r="O43" s="108">
        <f>25000+100000</f>
        <v>125000</v>
      </c>
      <c r="P43" s="24"/>
      <c r="Q43" s="24"/>
      <c r="R43" s="24"/>
      <c r="T43" s="98">
        <f>515224/4</f>
        <v>128806</v>
      </c>
      <c r="U43" s="98">
        <f>515224/4</f>
        <v>128806</v>
      </c>
      <c r="V43" s="98">
        <f>515224/4</f>
        <v>128806</v>
      </c>
      <c r="W43" s="98">
        <f>515224/4+54464</f>
        <v>183270</v>
      </c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</row>
    <row r="44" spans="1:39" s="71" customFormat="1" x14ac:dyDescent="0.2">
      <c r="A44" s="69" t="s">
        <v>19</v>
      </c>
      <c r="B44" s="25" t="s">
        <v>46</v>
      </c>
      <c r="C44" s="70">
        <f>500*A3</f>
        <v>43763.05</v>
      </c>
      <c r="D44" s="24"/>
      <c r="E44" s="100">
        <f>500*$A$3</f>
        <v>43763.05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</row>
    <row r="45" spans="1:39" s="71" customFormat="1" x14ac:dyDescent="0.2">
      <c r="A45" s="69" t="s">
        <v>16</v>
      </c>
      <c r="B45" s="25" t="s">
        <v>32</v>
      </c>
      <c r="C45" s="70">
        <f>722080-56200-49941-90880-100000</f>
        <v>425059</v>
      </c>
      <c r="D45" s="24"/>
      <c r="E45" s="100">
        <v>30000</v>
      </c>
      <c r="F45" s="108">
        <f>(66588+33294)/2</f>
        <v>49941</v>
      </c>
      <c r="G45" s="108">
        <f>66588+33294</f>
        <v>99882</v>
      </c>
      <c r="H45" s="108">
        <v>50000</v>
      </c>
      <c r="I45" s="24"/>
      <c r="J45" s="24"/>
      <c r="K45" s="24"/>
      <c r="L45" s="108">
        <f>499410/4</f>
        <v>124852.5</v>
      </c>
      <c r="M45" s="108">
        <f>499410/4</f>
        <v>124852.5</v>
      </c>
      <c r="N45" s="108">
        <f>499410/4</f>
        <v>124852.5</v>
      </c>
      <c r="O45" s="108">
        <f>499410/4+20000</f>
        <v>144852.5</v>
      </c>
      <c r="P45" s="24"/>
      <c r="Q45" s="24"/>
      <c r="R45" s="24"/>
      <c r="S45" s="24"/>
      <c r="T45" s="95">
        <v>332940</v>
      </c>
      <c r="U45" s="108">
        <v>194764</v>
      </c>
      <c r="V45" s="108">
        <v>85388</v>
      </c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</row>
    <row r="46" spans="1:39" s="71" customFormat="1" x14ac:dyDescent="0.2">
      <c r="A46" s="69" t="s">
        <v>85</v>
      </c>
      <c r="B46" s="25" t="s">
        <v>47</v>
      </c>
      <c r="C46" s="70" t="s">
        <v>89</v>
      </c>
      <c r="D46" s="24"/>
      <c r="F46" s="108">
        <f>645*$A$6</f>
        <v>48268.510500000004</v>
      </c>
      <c r="G46" s="108">
        <f>645*$A$6</f>
        <v>48268.510500000004</v>
      </c>
      <c r="H46" s="108">
        <f>645*$A$6</f>
        <v>48268.510500000004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</row>
    <row r="47" spans="1:39" s="71" customFormat="1" x14ac:dyDescent="0.2">
      <c r="A47" s="69" t="s">
        <v>120</v>
      </c>
      <c r="B47" s="25" t="s">
        <v>121</v>
      </c>
      <c r="C47" s="76"/>
      <c r="D47" s="24"/>
      <c r="E47" s="28"/>
      <c r="F47" s="28"/>
      <c r="G47" s="28"/>
      <c r="H47" s="28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100">
        <v>507000</v>
      </c>
      <c r="AE47" s="24"/>
      <c r="AF47" s="24"/>
      <c r="AG47" s="24"/>
      <c r="AH47" s="24"/>
      <c r="AI47" s="24"/>
      <c r="AJ47" s="24"/>
      <c r="AK47" s="24"/>
      <c r="AL47" s="24"/>
      <c r="AM47" s="24"/>
    </row>
    <row r="48" spans="1:39" s="73" customFormat="1" x14ac:dyDescent="0.2">
      <c r="A48" s="69" t="s">
        <v>22</v>
      </c>
      <c r="B48" s="25" t="s">
        <v>48</v>
      </c>
      <c r="C48" s="137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138">
        <f>52206*A9</f>
        <v>571347.68460000004</v>
      </c>
      <c r="AE48" s="72"/>
      <c r="AF48" s="72"/>
      <c r="AG48" s="72"/>
      <c r="AH48" s="72"/>
      <c r="AI48" s="72"/>
      <c r="AJ48" s="72"/>
      <c r="AK48" s="72"/>
      <c r="AL48" s="72"/>
      <c r="AM48" s="72"/>
    </row>
    <row r="49" spans="1:39" s="73" customFormat="1" x14ac:dyDescent="0.2">
      <c r="A49" s="69" t="s">
        <v>108</v>
      </c>
      <c r="B49" s="25" t="s">
        <v>109</v>
      </c>
      <c r="C49" s="120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</row>
    <row r="50" spans="1:39" s="71" customFormat="1" x14ac:dyDescent="0.2">
      <c r="A50" s="69" t="s">
        <v>36</v>
      </c>
      <c r="B50" s="25" t="s">
        <v>37</v>
      </c>
      <c r="C50" s="130"/>
      <c r="D50" s="24"/>
      <c r="E50" s="72"/>
      <c r="F50" s="24"/>
      <c r="G50" s="24"/>
      <c r="I50" s="24"/>
      <c r="J50" s="24"/>
      <c r="K50" s="24"/>
      <c r="L50" s="100">
        <f>2662*A6</f>
        <v>199210.50380000001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</row>
    <row r="51" spans="1:39" s="71" customFormat="1" x14ac:dyDescent="0.2">
      <c r="A51" s="69" t="s">
        <v>86</v>
      </c>
      <c r="B51" s="25" t="s">
        <v>35</v>
      </c>
      <c r="C51" s="70">
        <f>1600*$A$6+2400*A6+4050*A6-500*A6-500*A6</f>
        <v>527586.04500000016</v>
      </c>
      <c r="D51" s="77"/>
      <c r="E51" s="100">
        <f>645*$A$6</f>
        <v>48268.510500000004</v>
      </c>
      <c r="F51" s="108">
        <f>600*$A$6</f>
        <v>44900.94</v>
      </c>
      <c r="G51" s="108">
        <f>600*$A$6</f>
        <v>44900.94</v>
      </c>
      <c r="H51" s="108">
        <f>600*$A$6</f>
        <v>44900.94</v>
      </c>
      <c r="I51" s="24"/>
      <c r="J51" s="24"/>
      <c r="K51" s="24"/>
      <c r="L51" s="108">
        <f>525*$A$6</f>
        <v>39288.322500000002</v>
      </c>
      <c r="M51" s="108">
        <f>500*$A$6</f>
        <v>37417.450000000004</v>
      </c>
      <c r="N51" s="108">
        <f>500*$A$6</f>
        <v>37417.450000000004</v>
      </c>
      <c r="O51" s="108">
        <f>500*$A$6</f>
        <v>37417.450000000004</v>
      </c>
      <c r="P51" s="24"/>
      <c r="Q51" s="24"/>
      <c r="R51" s="24"/>
      <c r="S51" s="24"/>
      <c r="T51" s="108">
        <f>525*$A$6</f>
        <v>39288.322500000002</v>
      </c>
      <c r="U51" s="108">
        <f>500*$A$6</f>
        <v>37417.450000000004</v>
      </c>
      <c r="V51" s="108">
        <f>500*$A$6</f>
        <v>37417.450000000004</v>
      </c>
      <c r="W51" s="108">
        <f>500*$A$6</f>
        <v>37417.450000000004</v>
      </c>
      <c r="X51" s="24"/>
      <c r="Y51" s="24"/>
      <c r="Z51" s="108">
        <f>600*$A$6</f>
        <v>44900.94</v>
      </c>
      <c r="AA51" s="108">
        <f>600*$A$6</f>
        <v>44900.94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</row>
    <row r="52" spans="1:39" s="71" customFormat="1" x14ac:dyDescent="0.2">
      <c r="A52" s="69" t="s">
        <v>111</v>
      </c>
      <c r="B52" s="25" t="s">
        <v>112</v>
      </c>
      <c r="C52" s="70"/>
      <c r="D52" s="77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</row>
    <row r="53" spans="1:39" s="71" customFormat="1" x14ac:dyDescent="0.2">
      <c r="A53" s="69" t="s">
        <v>29</v>
      </c>
      <c r="B53" s="25" t="s">
        <v>42</v>
      </c>
      <c r="C53" s="70">
        <v>20000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</row>
    <row r="54" spans="1:39" s="71" customFormat="1" x14ac:dyDescent="0.2">
      <c r="A54" s="69" t="s">
        <v>29</v>
      </c>
      <c r="B54" s="25" t="s">
        <v>43</v>
      </c>
      <c r="C54" s="70">
        <v>439750</v>
      </c>
      <c r="D54" s="24"/>
      <c r="F54" s="24"/>
      <c r="G54" s="95">
        <v>50000</v>
      </c>
      <c r="H54" s="95">
        <v>25000</v>
      </c>
      <c r="J54" s="24"/>
      <c r="K54" s="24"/>
      <c r="L54" s="95">
        <v>50000</v>
      </c>
      <c r="M54" s="24"/>
      <c r="N54" s="95">
        <v>50000</v>
      </c>
      <c r="O54" s="95">
        <v>50000</v>
      </c>
      <c r="P54" s="24"/>
      <c r="Q54" s="24"/>
      <c r="R54" s="24"/>
      <c r="S54" s="24"/>
      <c r="T54" s="95">
        <v>50000</v>
      </c>
      <c r="U54" s="95">
        <v>50000</v>
      </c>
      <c r="V54" s="95">
        <v>50000</v>
      </c>
      <c r="W54" s="95">
        <f>50000+14750</f>
        <v>64750</v>
      </c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</row>
    <row r="55" spans="1:39" s="71" customFormat="1" x14ac:dyDescent="0.2">
      <c r="A55" s="69" t="s">
        <v>104</v>
      </c>
      <c r="B55" s="25" t="s">
        <v>105</v>
      </c>
      <c r="C55" s="70"/>
      <c r="D55" s="77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</row>
    <row r="56" spans="1:39" s="71" customFormat="1" x14ac:dyDescent="0.2">
      <c r="A56" s="69" t="s">
        <v>99</v>
      </c>
      <c r="B56" s="25" t="s">
        <v>100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</row>
    <row r="57" spans="1:39" s="71" customFormat="1" x14ac:dyDescent="0.2">
      <c r="A57" s="69" t="s">
        <v>29</v>
      </c>
      <c r="B57" s="25" t="s">
        <v>55</v>
      </c>
      <c r="C57" s="70">
        <f>1500*A6</f>
        <v>112252.35</v>
      </c>
      <c r="D57" s="24"/>
      <c r="F57" s="24"/>
      <c r="G57" s="95">
        <f>500*$A$6</f>
        <v>37417.450000000004</v>
      </c>
      <c r="H57" s="95">
        <f>500*$A$6</f>
        <v>37417.450000000004</v>
      </c>
      <c r="I57" s="24"/>
      <c r="J57" s="24"/>
      <c r="K57" s="24"/>
      <c r="L57" s="95">
        <f>500*$A$6</f>
        <v>37417.450000000004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</row>
    <row r="58" spans="1:39" s="71" customFormat="1" x14ac:dyDescent="0.2">
      <c r="A58" s="69" t="s">
        <v>40</v>
      </c>
      <c r="B58" s="25" t="s">
        <v>44</v>
      </c>
      <c r="C58" s="70"/>
      <c r="D58" s="24"/>
      <c r="E58" s="100">
        <v>1878</v>
      </c>
      <c r="F58" s="24"/>
      <c r="G58" s="24"/>
      <c r="H58" s="24"/>
      <c r="I58" s="24"/>
      <c r="J58" s="24"/>
      <c r="K58" s="24"/>
      <c r="L58" s="24"/>
      <c r="M58" s="24"/>
      <c r="N58" s="100">
        <v>2090</v>
      </c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</row>
    <row r="59" spans="1:39" s="71" customFormat="1" x14ac:dyDescent="0.2">
      <c r="A59" s="69" t="s">
        <v>90</v>
      </c>
      <c r="B59" s="25" t="s">
        <v>91</v>
      </c>
      <c r="C59" s="70"/>
      <c r="D59" s="77"/>
      <c r="F59" s="24"/>
      <c r="G59" s="24"/>
      <c r="H59" s="24"/>
      <c r="I59" s="24"/>
      <c r="K59" s="24"/>
      <c r="L59" s="100">
        <f>1012000/10</f>
        <v>101200</v>
      </c>
      <c r="M59" s="100">
        <f t="shared" ref="M59:O59" si="3">1012000/10</f>
        <v>101200</v>
      </c>
      <c r="N59" s="100">
        <f t="shared" si="3"/>
        <v>101200</v>
      </c>
      <c r="O59" s="100">
        <f t="shared" si="3"/>
        <v>101200</v>
      </c>
      <c r="P59" s="24"/>
      <c r="Q59" s="24"/>
      <c r="R59" s="24"/>
      <c r="S59" s="24"/>
      <c r="T59" s="100">
        <f t="shared" ref="T59:W59" si="4">1012000/10</f>
        <v>101200</v>
      </c>
      <c r="U59" s="100">
        <f t="shared" si="4"/>
        <v>101200</v>
      </c>
      <c r="V59" s="100">
        <f t="shared" si="4"/>
        <v>101200</v>
      </c>
      <c r="W59" s="100">
        <f t="shared" si="4"/>
        <v>101200</v>
      </c>
      <c r="X59" s="24"/>
      <c r="Y59" s="24"/>
      <c r="Z59" s="100">
        <f t="shared" ref="Z59:AD59" si="5">1012000/10</f>
        <v>101200</v>
      </c>
      <c r="AA59" s="100">
        <f t="shared" si="5"/>
        <v>101200</v>
      </c>
      <c r="AB59" s="100">
        <f t="shared" si="5"/>
        <v>101200</v>
      </c>
      <c r="AC59" s="100">
        <f t="shared" si="5"/>
        <v>101200</v>
      </c>
      <c r="AD59" s="100">
        <f t="shared" si="5"/>
        <v>101200</v>
      </c>
      <c r="AE59" s="24"/>
      <c r="AF59" s="24"/>
      <c r="AG59" s="100">
        <f t="shared" ref="AG59:AK59" si="6">1012000/10</f>
        <v>101200</v>
      </c>
      <c r="AH59" s="100">
        <f t="shared" si="6"/>
        <v>101200</v>
      </c>
      <c r="AI59" s="100">
        <f t="shared" si="6"/>
        <v>101200</v>
      </c>
      <c r="AJ59" s="100">
        <f t="shared" si="6"/>
        <v>101200</v>
      </c>
      <c r="AK59" s="100">
        <f t="shared" si="6"/>
        <v>101200</v>
      </c>
      <c r="AL59" s="24"/>
      <c r="AM59" s="24"/>
    </row>
    <row r="60" spans="1:39" s="71" customFormat="1" x14ac:dyDescent="0.2">
      <c r="A60" s="69" t="s">
        <v>106</v>
      </c>
      <c r="B60" s="25" t="s">
        <v>107</v>
      </c>
      <c r="C60" s="70"/>
      <c r="D60" s="77"/>
      <c r="E60" s="100">
        <v>10000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</row>
    <row r="61" spans="1:39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</row>
    <row r="62" spans="1:39" s="71" customFormat="1" x14ac:dyDescent="0.2">
      <c r="A62" s="132" t="s">
        <v>113</v>
      </c>
      <c r="B62" s="133" t="s">
        <v>114</v>
      </c>
      <c r="C62" s="70"/>
      <c r="D62" s="77"/>
      <c r="E62" s="100">
        <v>693000</v>
      </c>
      <c r="F62" s="28"/>
      <c r="G62" s="28"/>
      <c r="H62" s="24"/>
      <c r="I62" s="24"/>
      <c r="J62" s="24"/>
      <c r="K62" s="24"/>
      <c r="M62" s="28"/>
      <c r="N62" s="24"/>
      <c r="O62" s="28"/>
      <c r="P62" s="28"/>
      <c r="Q62" s="28"/>
      <c r="R62" s="28"/>
      <c r="S62" s="28"/>
      <c r="T62" s="100">
        <v>346500</v>
      </c>
      <c r="U62" s="100">
        <v>693000</v>
      </c>
      <c r="V62" s="28"/>
      <c r="W62" s="24"/>
      <c r="X62" s="24"/>
      <c r="Y62" s="24"/>
      <c r="Z62" s="24"/>
      <c r="AA62" s="28"/>
      <c r="AB62" s="28"/>
      <c r="AC62" s="28"/>
      <c r="AD62" s="28"/>
      <c r="AE62" s="28"/>
      <c r="AF62" s="28"/>
      <c r="AG62" s="28"/>
      <c r="AH62" s="28"/>
      <c r="AI62" s="24"/>
      <c r="AJ62" s="24"/>
      <c r="AK62" s="24"/>
      <c r="AL62" s="24"/>
      <c r="AM62" s="24"/>
    </row>
    <row r="63" spans="1:39" s="71" customFormat="1" x14ac:dyDescent="0.2">
      <c r="A63" s="69" t="s">
        <v>34</v>
      </c>
      <c r="B63" s="25" t="s">
        <v>45</v>
      </c>
      <c r="C63" s="70">
        <f>1014000-100000-100000+400-50000</f>
        <v>764400</v>
      </c>
      <c r="D63" s="77"/>
      <c r="E63" s="28"/>
      <c r="F63" s="24"/>
      <c r="G63" s="106">
        <v>50000</v>
      </c>
      <c r="H63" s="106">
        <v>75000</v>
      </c>
      <c r="J63" s="24"/>
      <c r="K63" s="24"/>
      <c r="L63" s="106">
        <v>75000</v>
      </c>
      <c r="M63" s="106">
        <v>75000</v>
      </c>
      <c r="N63" s="108">
        <f>10600+125000</f>
        <v>135600</v>
      </c>
      <c r="O63" s="108">
        <f>325000+50000</f>
        <v>375000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 t="s">
        <v>89</v>
      </c>
      <c r="AH63" s="24"/>
      <c r="AI63" s="24"/>
      <c r="AJ63" s="24"/>
      <c r="AK63" s="24"/>
      <c r="AL63" s="24"/>
      <c r="AM63" s="24"/>
    </row>
    <row r="64" spans="1:39" s="71" customFormat="1" x14ac:dyDescent="0.2">
      <c r="A64" s="69" t="s">
        <v>101</v>
      </c>
      <c r="B64" s="25"/>
      <c r="C64" s="70"/>
      <c r="D64" s="77"/>
      <c r="F64" s="108">
        <v>50000</v>
      </c>
      <c r="G64" s="24"/>
      <c r="I64" s="24"/>
      <c r="J64" s="24"/>
      <c r="K64" s="24"/>
      <c r="L64" s="108">
        <v>120000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</row>
    <row r="65" spans="1:39" s="71" customFormat="1" x14ac:dyDescent="0.2">
      <c r="A65" s="69" t="s">
        <v>38</v>
      </c>
      <c r="B65" s="25" t="s">
        <v>39</v>
      </c>
      <c r="C65" s="70"/>
      <c r="D65" s="24"/>
      <c r="E65" s="100">
        <v>24000</v>
      </c>
      <c r="F65" s="100">
        <v>34850</v>
      </c>
      <c r="G65" s="100">
        <v>27000</v>
      </c>
      <c r="H65" s="24"/>
      <c r="I65" s="24"/>
      <c r="J65" s="24"/>
      <c r="K65" s="24"/>
      <c r="L65" s="100">
        <v>16800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</row>
    <row r="66" spans="1:39" s="71" customFormat="1" x14ac:dyDescent="0.2">
      <c r="A66" s="69" t="s">
        <v>74</v>
      </c>
      <c r="B66" s="25" t="s">
        <v>83</v>
      </c>
      <c r="C66" s="70"/>
      <c r="D66" s="24"/>
      <c r="E66" s="24"/>
      <c r="F66" s="24"/>
      <c r="G66" s="24"/>
      <c r="H66" s="98">
        <f>104492.6-69560</f>
        <v>34932.600000000006</v>
      </c>
      <c r="I66" s="24"/>
      <c r="J66" s="24"/>
      <c r="K66" s="24"/>
      <c r="M66" s="24"/>
      <c r="N66" s="24"/>
      <c r="O66" s="24"/>
      <c r="P66" s="24"/>
      <c r="Q66" s="24"/>
      <c r="R66" s="24"/>
      <c r="S66" s="24"/>
      <c r="T66" s="24"/>
      <c r="U66" s="24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4"/>
      <c r="AK66" s="114">
        <v>3567700</v>
      </c>
      <c r="AL66" s="24"/>
      <c r="AM66" s="24"/>
    </row>
    <row r="67" spans="1:39" s="73" customFormat="1" ht="2.25" customHeigh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 t="s">
        <v>89</v>
      </c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</row>
    <row r="68" spans="1:39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</row>
    <row r="69" spans="1:39" s="94" customFormat="1" ht="33.75" x14ac:dyDescent="0.2">
      <c r="A69" s="91" t="s">
        <v>60</v>
      </c>
      <c r="B69" s="92" t="s">
        <v>59</v>
      </c>
      <c r="C69" s="93">
        <v>0</v>
      </c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</row>
    <row r="70" spans="1:39" s="5" customFormat="1" ht="2.25" customHeigh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</row>
    <row r="71" spans="1:39" s="5" customFormat="1" x14ac:dyDescent="0.2">
      <c r="A71" s="36" t="s">
        <v>49</v>
      </c>
      <c r="B71" s="12"/>
      <c r="C71" s="13"/>
      <c r="D71" s="26"/>
      <c r="F71" s="13"/>
      <c r="G71" s="13"/>
      <c r="H71" s="13"/>
      <c r="I71" s="13"/>
      <c r="J71" s="13"/>
      <c r="K71" s="13"/>
      <c r="M71" s="126">
        <f>1400268.46/0.77</f>
        <v>1818530.4675324673</v>
      </c>
      <c r="N71" s="13"/>
      <c r="O71" s="126">
        <f>(1369064.01)/0.77</f>
        <v>1778005.2077922078</v>
      </c>
      <c r="P71" s="13"/>
      <c r="Q71" s="13"/>
      <c r="R71" s="13"/>
      <c r="S71" s="13"/>
      <c r="T71" s="13"/>
      <c r="U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</row>
    <row r="72" spans="1:39" s="5" customFormat="1" x14ac:dyDescent="0.2">
      <c r="A72" s="36" t="s">
        <v>57</v>
      </c>
      <c r="B72" s="12"/>
      <c r="C72" s="68"/>
      <c r="D72" s="26"/>
      <c r="E72" s="126">
        <f>1200614.75/0.77</f>
        <v>1559239.9350649351</v>
      </c>
      <c r="F72" s="13"/>
      <c r="G72" s="13"/>
      <c r="I72" s="13"/>
      <c r="K72" s="13"/>
      <c r="L72" s="13"/>
      <c r="M72" s="139">
        <f>1749467.21/0.77</f>
        <v>2272035.3376623373</v>
      </c>
      <c r="N72" s="13"/>
      <c r="O72" s="13"/>
      <c r="P72" s="13"/>
      <c r="Q72" s="13"/>
      <c r="R72" s="13"/>
      <c r="S72" s="13"/>
      <c r="T72" s="13"/>
      <c r="U72" s="13"/>
      <c r="V72" s="139">
        <f>1933893.44/0.77</f>
        <v>2511549.9220779222</v>
      </c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</row>
    <row r="73" spans="1:39" s="5" customFormat="1" x14ac:dyDescent="0.2">
      <c r="A73" s="36" t="s">
        <v>61</v>
      </c>
      <c r="B73" s="12"/>
      <c r="C73" s="68"/>
      <c r="D73" s="26"/>
      <c r="F73" s="13"/>
      <c r="G73" s="13"/>
      <c r="H73" s="13"/>
      <c r="I73" s="13">
        <v>112000</v>
      </c>
      <c r="J73" s="13"/>
      <c r="K73" s="13"/>
      <c r="L73" s="13"/>
      <c r="M73" s="13"/>
      <c r="N73" s="139">
        <v>390000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</row>
    <row r="74" spans="1:39" s="5" customFormat="1" ht="2.25" customHeight="1" x14ac:dyDescent="0.2">
      <c r="A74" s="42"/>
      <c r="B74" s="12"/>
      <c r="C74" s="68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</row>
    <row r="75" spans="1:39" s="5" customFormat="1" x14ac:dyDescent="0.2">
      <c r="A75" s="36" t="s">
        <v>72</v>
      </c>
      <c r="B75" s="27" t="s">
        <v>73</v>
      </c>
      <c r="C75" s="62">
        <v>3637079.2460000003</v>
      </c>
      <c r="D75" s="35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</row>
    <row r="76" spans="1:39" s="5" customFormat="1" ht="2.25" customHeight="1" x14ac:dyDescent="0.2">
      <c r="A76" s="42"/>
      <c r="B76" s="12"/>
      <c r="C76" s="61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</row>
    <row r="77" spans="1:39" s="84" customFormat="1" x14ac:dyDescent="0.2">
      <c r="A77" s="81" t="s">
        <v>66</v>
      </c>
      <c r="B77" s="82"/>
      <c r="C77" s="63"/>
      <c r="D77" s="83"/>
      <c r="E77" s="83">
        <f>$C$5+E16-E26</f>
        <v>5271611.1644350644</v>
      </c>
      <c r="F77" s="83">
        <f t="shared" ref="F77:AM77" si="7">E77+F16-F26</f>
        <v>1532887.5806017313</v>
      </c>
      <c r="G77" s="83">
        <f t="shared" si="7"/>
        <v>689018.68010173133</v>
      </c>
      <c r="H77" s="83">
        <f t="shared" si="7"/>
        <v>273499.17960173124</v>
      </c>
      <c r="I77" s="83">
        <f t="shared" si="7"/>
        <v>161499.17960173124</v>
      </c>
      <c r="J77" s="83">
        <f t="shared" si="7"/>
        <v>161499.17960173124</v>
      </c>
      <c r="K77" s="83">
        <f t="shared" si="7"/>
        <v>161499.17960173124</v>
      </c>
      <c r="L77" s="83">
        <f t="shared" si="7"/>
        <v>5610006.4033017308</v>
      </c>
      <c r="M77" s="83">
        <f t="shared" si="7"/>
        <v>2565746.6481069261</v>
      </c>
      <c r="N77" s="83">
        <f t="shared" si="7"/>
        <v>1509248.798106926</v>
      </c>
      <c r="O77" s="83">
        <f t="shared" si="7"/>
        <v>-1433386.3596852818</v>
      </c>
      <c r="P77" s="83">
        <f t="shared" si="7"/>
        <v>-1579335.3596852818</v>
      </c>
      <c r="Q77" s="83">
        <f t="shared" si="7"/>
        <v>-1579335.3596852818</v>
      </c>
      <c r="R77" s="83">
        <f t="shared" si="7"/>
        <v>-1939335.3596852818</v>
      </c>
      <c r="S77" s="83">
        <f t="shared" si="7"/>
        <v>1124078.1403147182</v>
      </c>
      <c r="T77" s="83">
        <f t="shared" si="7"/>
        <v>-149656.18218528177</v>
      </c>
      <c r="U77" s="83">
        <f t="shared" si="7"/>
        <v>-1796622.6321852817</v>
      </c>
      <c r="V77" s="83">
        <f t="shared" si="7"/>
        <v>2971515.9957367955</v>
      </c>
      <c r="W77" s="83">
        <f t="shared" si="7"/>
        <v>2213372.5457367953</v>
      </c>
      <c r="X77" s="83">
        <f t="shared" si="7"/>
        <v>2213372.5457367953</v>
      </c>
      <c r="Y77" s="83">
        <f t="shared" si="7"/>
        <v>2213372.5457367953</v>
      </c>
      <c r="Z77" s="83">
        <f t="shared" si="7"/>
        <v>2067271.6057367953</v>
      </c>
      <c r="AA77" s="83">
        <f t="shared" si="7"/>
        <v>1921170.6657367954</v>
      </c>
      <c r="AB77" s="83">
        <f t="shared" si="7"/>
        <v>1819970.6657367954</v>
      </c>
      <c r="AC77" s="83">
        <f t="shared" si="7"/>
        <v>1718770.6657367954</v>
      </c>
      <c r="AD77" s="83">
        <f t="shared" si="7"/>
        <v>539222.98113679537</v>
      </c>
      <c r="AE77" s="83">
        <f t="shared" si="7"/>
        <v>539222.98113679537</v>
      </c>
      <c r="AF77" s="83">
        <f t="shared" si="7"/>
        <v>539222.98113679537</v>
      </c>
      <c r="AG77" s="83">
        <f t="shared" si="7"/>
        <v>438022.98113679537</v>
      </c>
      <c r="AH77" s="83">
        <f t="shared" si="7"/>
        <v>336822.98113679537</v>
      </c>
      <c r="AI77" s="83">
        <f t="shared" si="7"/>
        <v>235622.98113679537</v>
      </c>
      <c r="AJ77" s="83">
        <f t="shared" si="7"/>
        <v>-3012984.2357965382</v>
      </c>
      <c r="AK77" s="83">
        <f t="shared" si="7"/>
        <v>-4309470.7357965382</v>
      </c>
      <c r="AL77" s="83">
        <f t="shared" si="7"/>
        <v>-4309470.7357965382</v>
      </c>
      <c r="AM77" s="83">
        <f t="shared" si="7"/>
        <v>-4309470.7357965382</v>
      </c>
    </row>
    <row r="79" spans="1:39" s="5" customFormat="1" ht="2.25" customHeight="1" x14ac:dyDescent="0.2">
      <c r="A79" s="42"/>
      <c r="B79" s="12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</row>
    <row r="80" spans="1:39" s="89" customFormat="1" ht="11.25" customHeight="1" x14ac:dyDescent="0.2">
      <c r="A80" s="85" t="s">
        <v>65</v>
      </c>
      <c r="B80" s="86"/>
      <c r="C80" s="87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</row>
    <row r="81" spans="1:39" s="5" customFormat="1" ht="22.5" x14ac:dyDescent="0.2">
      <c r="A81" s="36" t="s">
        <v>67</v>
      </c>
      <c r="B81" s="27" t="s">
        <v>68</v>
      </c>
      <c r="C81" s="68">
        <v>3221210.79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</row>
    <row r="82" spans="1:39" s="5" customFormat="1" x14ac:dyDescent="0.2">
      <c r="A82" s="36" t="s">
        <v>69</v>
      </c>
      <c r="B82" s="27" t="s">
        <v>70</v>
      </c>
      <c r="C82" s="68">
        <v>9814338.4000000004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</row>
    <row r="83" spans="1:39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</row>
    <row r="84" spans="1:39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</row>
    <row r="86" spans="1:39" x14ac:dyDescent="0.25">
      <c r="B86" s="14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85"/>
  <sheetViews>
    <sheetView workbookViewId="0">
      <selection sqref="A1:XFD1048576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4" width="10.85546875" style="3" bestFit="1" customWidth="1"/>
    <col min="15" max="15" width="11.7109375" style="3" bestFit="1" customWidth="1"/>
    <col min="16" max="24" width="10.85546875" style="3" bestFit="1" customWidth="1"/>
    <col min="25" max="25" width="11.7109375" style="3" bestFit="1" customWidth="1"/>
    <col min="26" max="42" width="10.85546875" style="3" bestFit="1" customWidth="1"/>
    <col min="43" max="16384" width="9" style="3"/>
  </cols>
  <sheetData>
    <row r="1" spans="1:42" ht="12" thickBot="1" x14ac:dyDescent="0.3"/>
    <row r="2" spans="1:42" s="1" customFormat="1" x14ac:dyDescent="0.2">
      <c r="A2" s="43" t="s">
        <v>50</v>
      </c>
      <c r="B2" s="15" t="s">
        <v>27</v>
      </c>
      <c r="C2" s="50">
        <v>5688488.3499999996</v>
      </c>
    </row>
    <row r="3" spans="1:42" s="1" customFormat="1" ht="12" thickBot="1" x14ac:dyDescent="0.25">
      <c r="A3" s="44">
        <v>87.5261</v>
      </c>
      <c r="B3" s="15" t="s">
        <v>28</v>
      </c>
      <c r="C3" s="50">
        <v>10778.95</v>
      </c>
    </row>
    <row r="4" spans="1:42" s="8" customFormat="1" ht="12" thickBot="1" x14ac:dyDescent="0.25">
      <c r="A4" s="45"/>
      <c r="B4" s="15" t="s">
        <v>25</v>
      </c>
      <c r="C4" s="51">
        <v>0</v>
      </c>
    </row>
    <row r="5" spans="1:42" s="6" customFormat="1" x14ac:dyDescent="0.2">
      <c r="A5" s="43" t="s">
        <v>51</v>
      </c>
      <c r="B5" s="49" t="s">
        <v>26</v>
      </c>
      <c r="C5" s="52">
        <f>SUM(C2:C4)</f>
        <v>5699267.2999999998</v>
      </c>
    </row>
    <row r="6" spans="1:42" s="6" customFormat="1" ht="12" thickBot="1" x14ac:dyDescent="0.25">
      <c r="A6" s="44">
        <v>74.834900000000005</v>
      </c>
      <c r="B6" s="16"/>
      <c r="C6" s="53"/>
      <c r="D6" s="17"/>
    </row>
    <row r="7" spans="1:42" s="6" customFormat="1" ht="12" thickBot="1" x14ac:dyDescent="0.25">
      <c r="A7" s="105" t="s">
        <v>51</v>
      </c>
      <c r="B7" s="18" t="s">
        <v>110</v>
      </c>
      <c r="C7" s="54">
        <f>SUM(E16:AP16)</f>
        <v>17983413.5</v>
      </c>
    </row>
    <row r="8" spans="1:42" x14ac:dyDescent="0.25">
      <c r="A8" s="43" t="s">
        <v>52</v>
      </c>
      <c r="B8" s="18" t="s">
        <v>84</v>
      </c>
      <c r="C8" s="54">
        <f>SUM(E24:AP25)</f>
        <v>29760445.155529868</v>
      </c>
    </row>
    <row r="9" spans="1:42" ht="12" thickBot="1" x14ac:dyDescent="0.3">
      <c r="A9" s="44">
        <v>10.944100000000001</v>
      </c>
      <c r="B9" s="19" t="s">
        <v>64</v>
      </c>
      <c r="C9" s="55">
        <f>C5+C7-C8-C11</f>
        <v>-13786517.746649869</v>
      </c>
    </row>
    <row r="10" spans="1:42" x14ac:dyDescent="0.25">
      <c r="A10" s="99" t="s">
        <v>80</v>
      </c>
      <c r="B10" s="18" t="s">
        <v>23</v>
      </c>
      <c r="C10" s="56">
        <f>C16</f>
        <v>0</v>
      </c>
    </row>
    <row r="11" spans="1:42" x14ac:dyDescent="0.25">
      <c r="A11" s="101" t="s">
        <v>87</v>
      </c>
      <c r="B11" s="18" t="s">
        <v>24</v>
      </c>
      <c r="C11" s="54">
        <f>C25</f>
        <v>7708753.3911200007</v>
      </c>
    </row>
    <row r="12" spans="1:42" x14ac:dyDescent="0.25">
      <c r="A12" s="107" t="s">
        <v>88</v>
      </c>
    </row>
    <row r="13" spans="1:42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spans="1:42" s="2" customFormat="1" x14ac:dyDescent="0.25">
      <c r="A14" s="64"/>
      <c r="B14" s="65"/>
      <c r="C14" s="58" t="s">
        <v>56</v>
      </c>
      <c r="D14" s="66"/>
      <c r="E14" s="66">
        <v>46136</v>
      </c>
      <c r="F14" s="66">
        <v>46137</v>
      </c>
      <c r="G14" s="66">
        <v>46138</v>
      </c>
      <c r="H14" s="66">
        <v>46139</v>
      </c>
      <c r="I14" s="66">
        <v>46140</v>
      </c>
      <c r="J14" s="66">
        <v>46141</v>
      </c>
      <c r="K14" s="66">
        <v>46142</v>
      </c>
      <c r="L14" s="66">
        <v>46143</v>
      </c>
      <c r="M14" s="66">
        <v>46144</v>
      </c>
      <c r="N14" s="66">
        <v>46145</v>
      </c>
      <c r="O14" s="66">
        <v>46146</v>
      </c>
      <c r="P14" s="66">
        <v>46147</v>
      </c>
      <c r="Q14" s="66">
        <v>46148</v>
      </c>
      <c r="R14" s="66">
        <v>46149</v>
      </c>
      <c r="S14" s="66">
        <v>46150</v>
      </c>
      <c r="T14" s="66">
        <v>46151</v>
      </c>
      <c r="U14" s="66">
        <v>46152</v>
      </c>
      <c r="V14" s="66">
        <v>46153</v>
      </c>
      <c r="W14" s="66">
        <v>46154</v>
      </c>
      <c r="X14" s="66">
        <v>46155</v>
      </c>
      <c r="Y14" s="66">
        <v>46156</v>
      </c>
      <c r="Z14" s="66">
        <v>46157</v>
      </c>
      <c r="AA14" s="66">
        <v>46158</v>
      </c>
      <c r="AB14" s="66">
        <v>46159</v>
      </c>
      <c r="AC14" s="66">
        <v>46160</v>
      </c>
      <c r="AD14" s="66">
        <v>46161</v>
      </c>
      <c r="AE14" s="66">
        <v>46162</v>
      </c>
      <c r="AF14" s="66">
        <v>46163</v>
      </c>
      <c r="AG14" s="66">
        <v>46164</v>
      </c>
      <c r="AH14" s="66">
        <v>46165</v>
      </c>
      <c r="AI14" s="66">
        <v>46166</v>
      </c>
      <c r="AJ14" s="66">
        <v>46167</v>
      </c>
      <c r="AK14" s="66">
        <v>46168</v>
      </c>
      <c r="AL14" s="66">
        <v>46169</v>
      </c>
      <c r="AM14" s="66">
        <v>46170</v>
      </c>
      <c r="AN14" s="66">
        <v>46171</v>
      </c>
      <c r="AO14" s="66">
        <v>46172</v>
      </c>
      <c r="AP14" s="66">
        <v>46173</v>
      </c>
    </row>
    <row r="15" spans="1:42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</row>
    <row r="16" spans="1:42" s="2" customFormat="1" x14ac:dyDescent="0.25">
      <c r="A16" s="39" t="s">
        <v>0</v>
      </c>
      <c r="B16" s="20"/>
      <c r="C16" s="29">
        <f>SUM(C18:C23)</f>
        <v>0</v>
      </c>
      <c r="D16" s="29"/>
      <c r="E16" s="29">
        <f t="shared" ref="E16:T16" si="0">SUM(E17:E24)</f>
        <v>0</v>
      </c>
      <c r="F16" s="135">
        <f t="shared" si="0"/>
        <v>0</v>
      </c>
      <c r="G16" s="135">
        <f t="shared" si="0"/>
        <v>0</v>
      </c>
      <c r="H16" s="29">
        <f t="shared" si="0"/>
        <v>0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135">
        <f t="shared" si="0"/>
        <v>0</v>
      </c>
      <c r="M16" s="135">
        <f t="shared" si="0"/>
        <v>7037500</v>
      </c>
      <c r="N16" s="135">
        <f t="shared" si="0"/>
        <v>0</v>
      </c>
      <c r="O16" s="29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135">
        <f t="shared" si="0"/>
        <v>0</v>
      </c>
      <c r="U16" s="135">
        <f>SUM(U17:U24)</f>
        <v>0</v>
      </c>
      <c r="V16" s="135">
        <f t="shared" ref="V16:AP16" si="1">SUM(V17:V24)</f>
        <v>3063413.5</v>
      </c>
      <c r="W16" s="29">
        <f t="shared" si="1"/>
        <v>0</v>
      </c>
      <c r="X16" s="29">
        <f t="shared" si="1"/>
        <v>0</v>
      </c>
      <c r="Y16" s="29">
        <f t="shared" si="1"/>
        <v>7882500</v>
      </c>
      <c r="Z16" s="29">
        <f t="shared" si="1"/>
        <v>0</v>
      </c>
      <c r="AA16" s="135">
        <f t="shared" si="1"/>
        <v>0</v>
      </c>
      <c r="AB16" s="135">
        <f t="shared" si="1"/>
        <v>0</v>
      </c>
      <c r="AC16" s="29">
        <f t="shared" si="1"/>
        <v>0</v>
      </c>
      <c r="AD16" s="29">
        <f t="shared" si="1"/>
        <v>0</v>
      </c>
      <c r="AE16" s="29">
        <f t="shared" si="1"/>
        <v>0</v>
      </c>
      <c r="AF16" s="29">
        <f t="shared" si="1"/>
        <v>0</v>
      </c>
      <c r="AG16" s="29">
        <f t="shared" si="1"/>
        <v>0</v>
      </c>
      <c r="AH16" s="135">
        <f t="shared" si="1"/>
        <v>0</v>
      </c>
      <c r="AI16" s="135">
        <f t="shared" si="1"/>
        <v>0</v>
      </c>
      <c r="AJ16" s="29">
        <f t="shared" si="1"/>
        <v>0</v>
      </c>
      <c r="AK16" s="29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135">
        <f t="shared" si="1"/>
        <v>0</v>
      </c>
      <c r="AP16" s="135">
        <f t="shared" si="1"/>
        <v>0</v>
      </c>
    </row>
    <row r="17" spans="1:42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</row>
    <row r="18" spans="1:42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</row>
    <row r="19" spans="1:42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</row>
    <row r="20" spans="1:42" s="80" customFormat="1" ht="13.5" customHeigh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>
        <v>7037500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>
        <v>7882500</v>
      </c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</row>
    <row r="21" spans="1:42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</row>
    <row r="22" spans="1:42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</row>
    <row r="23" spans="1:42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>
        <f>35000*A3</f>
        <v>3063413.5</v>
      </c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</row>
    <row r="24" spans="1:42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</row>
    <row r="25" spans="1:42" s="4" customFormat="1" x14ac:dyDescent="0.2">
      <c r="A25" s="41" t="s">
        <v>1</v>
      </c>
      <c r="B25" s="22"/>
      <c r="C25" s="34">
        <f>SUM(C27:C74)</f>
        <v>7708753.3911200007</v>
      </c>
      <c r="D25" s="34"/>
      <c r="E25" s="34">
        <f t="shared" ref="E25:AP25" si="2">SUM(E26:E75)</f>
        <v>769403.09999999986</v>
      </c>
      <c r="F25" s="34">
        <f t="shared" si="2"/>
        <v>0</v>
      </c>
      <c r="G25" s="34">
        <f t="shared" si="2"/>
        <v>0</v>
      </c>
      <c r="H25" s="34">
        <f t="shared" si="2"/>
        <v>4569628.5758246742</v>
      </c>
      <c r="I25" s="34">
        <f t="shared" si="2"/>
        <v>2267960.4504999998</v>
      </c>
      <c r="J25" s="34">
        <f t="shared" si="2"/>
        <v>991986.90049999999</v>
      </c>
      <c r="K25" s="34">
        <f t="shared" si="2"/>
        <v>2159357.9393649353</v>
      </c>
      <c r="L25" s="34">
        <f t="shared" si="2"/>
        <v>112000</v>
      </c>
      <c r="M25" s="34">
        <f t="shared" si="2"/>
        <v>2272035.3376623373</v>
      </c>
      <c r="N25" s="34">
        <f t="shared" si="2"/>
        <v>0</v>
      </c>
      <c r="O25" s="34">
        <f t="shared" si="2"/>
        <v>2439267.0449999999</v>
      </c>
      <c r="P25" s="34">
        <f t="shared" si="2"/>
        <v>717911.4</v>
      </c>
      <c r="Q25" s="34">
        <f t="shared" si="2"/>
        <v>960001.4</v>
      </c>
      <c r="R25" s="34">
        <f t="shared" si="2"/>
        <v>1273597.3999999999</v>
      </c>
      <c r="S25" s="34">
        <f t="shared" si="2"/>
        <v>545949</v>
      </c>
      <c r="T25" s="34">
        <f t="shared" si="2"/>
        <v>0</v>
      </c>
      <c r="U25" s="34">
        <f t="shared" si="2"/>
        <v>360000</v>
      </c>
      <c r="V25" s="34">
        <f t="shared" si="2"/>
        <v>0</v>
      </c>
      <c r="W25" s="34">
        <f t="shared" si="2"/>
        <v>1473746</v>
      </c>
      <c r="X25" s="34">
        <f t="shared" si="2"/>
        <v>470585</v>
      </c>
      <c r="Y25" s="34">
        <f t="shared" si="2"/>
        <v>2997055.9220779222</v>
      </c>
      <c r="Z25" s="34">
        <f t="shared" si="2"/>
        <v>757012</v>
      </c>
      <c r="AA25" s="34">
        <f t="shared" si="2"/>
        <v>0</v>
      </c>
      <c r="AB25" s="34">
        <f t="shared" si="2"/>
        <v>0</v>
      </c>
      <c r="AC25" s="34">
        <f t="shared" si="2"/>
        <v>356700</v>
      </c>
      <c r="AD25" s="34">
        <f t="shared" si="2"/>
        <v>356700</v>
      </c>
      <c r="AE25" s="34">
        <f t="shared" si="2"/>
        <v>356700</v>
      </c>
      <c r="AF25" s="34">
        <f t="shared" si="2"/>
        <v>356700</v>
      </c>
      <c r="AG25" s="34">
        <f t="shared" si="2"/>
        <v>1435047.6846</v>
      </c>
      <c r="AH25" s="34">
        <f t="shared" si="2"/>
        <v>0</v>
      </c>
      <c r="AI25" s="34">
        <f t="shared" si="2"/>
        <v>0</v>
      </c>
      <c r="AJ25" s="34">
        <f t="shared" si="2"/>
        <v>356700</v>
      </c>
      <c r="AK25" s="34">
        <f t="shared" si="2"/>
        <v>356700</v>
      </c>
      <c r="AL25" s="34">
        <f t="shared" si="2"/>
        <v>356700</v>
      </c>
      <c r="AM25" s="34">
        <f t="shared" si="2"/>
        <v>0</v>
      </c>
      <c r="AN25" s="34">
        <f t="shared" si="2"/>
        <v>691000</v>
      </c>
      <c r="AO25" s="34">
        <f t="shared" si="2"/>
        <v>0</v>
      </c>
      <c r="AP25" s="34">
        <f t="shared" si="2"/>
        <v>0</v>
      </c>
    </row>
    <row r="26" spans="1:42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</row>
    <row r="27" spans="1:42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</row>
    <row r="28" spans="1:42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</row>
    <row r="29" spans="1:42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</row>
    <row r="30" spans="1:42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90">
        <v>2000000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</row>
    <row r="31" spans="1:42" s="1" customFormat="1" x14ac:dyDescent="0.2">
      <c r="A31" s="36" t="s">
        <v>7</v>
      </c>
      <c r="B31" s="23" t="s">
        <v>8</v>
      </c>
      <c r="C31" s="60"/>
      <c r="D31" s="24"/>
      <c r="E31" s="24">
        <f>643714.22/2</f>
        <v>321857.11</v>
      </c>
      <c r="G31" s="24"/>
      <c r="I31" s="24"/>
      <c r="J31" s="24"/>
      <c r="K31" s="24"/>
      <c r="L31" s="24"/>
      <c r="M31" s="24"/>
      <c r="N31" s="24"/>
      <c r="O31" s="24">
        <v>560000</v>
      </c>
      <c r="P31" s="24"/>
      <c r="Q31" s="24"/>
      <c r="R31" s="24"/>
      <c r="S31" s="24"/>
      <c r="T31" s="24"/>
      <c r="U31" s="24">
        <v>360000</v>
      </c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</row>
    <row r="32" spans="1:42" s="1" customFormat="1" x14ac:dyDescent="0.2">
      <c r="A32" s="36" t="s">
        <v>118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>
        <v>271506</v>
      </c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</row>
    <row r="33" spans="1:42" s="1" customFormat="1" x14ac:dyDescent="0.2">
      <c r="A33" s="36" t="s">
        <v>54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</row>
    <row r="34" spans="1:42" s="1" customFormat="1" x14ac:dyDescent="0.2">
      <c r="A34" s="36" t="s">
        <v>71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>
        <v>200113.9</v>
      </c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</row>
    <row r="35" spans="1:42" s="1" customFormat="1" x14ac:dyDescent="0.2">
      <c r="A35" s="36" t="s">
        <v>53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M35" s="24"/>
      <c r="N35" s="24"/>
      <c r="P35" s="24"/>
      <c r="Q35" s="24"/>
      <c r="R35" s="24"/>
      <c r="S35" s="24">
        <v>545949</v>
      </c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</row>
    <row r="36" spans="1:42" s="1" customFormat="1" ht="11.25" customHeight="1" x14ac:dyDescent="0.2">
      <c r="A36" s="47"/>
      <c r="B36" s="48"/>
      <c r="C36" s="67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</row>
    <row r="37" spans="1:42" s="71" customFormat="1" x14ac:dyDescent="0.2">
      <c r="A37" s="69" t="s">
        <v>14</v>
      </c>
      <c r="B37" s="25" t="s">
        <v>30</v>
      </c>
      <c r="C37" s="70"/>
      <c r="D37" s="24"/>
      <c r="E37" s="24"/>
      <c r="F37" s="24"/>
      <c r="G37" s="24"/>
      <c r="H37" s="24"/>
      <c r="I37" s="24"/>
      <c r="J37" s="24"/>
      <c r="K37" s="24"/>
      <c r="M37" s="24"/>
      <c r="N37" s="24"/>
      <c r="O37" s="24"/>
      <c r="P37" s="24"/>
      <c r="R37" s="24"/>
      <c r="S37" s="24"/>
      <c r="T37" s="24"/>
      <c r="U37" s="24"/>
      <c r="V37" s="24"/>
      <c r="W37" s="24"/>
      <c r="X37" s="100">
        <v>341779</v>
      </c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</row>
    <row r="38" spans="1:42" s="71" customFormat="1" x14ac:dyDescent="0.2">
      <c r="A38" s="69" t="s">
        <v>115</v>
      </c>
      <c r="B38" s="25" t="s">
        <v>116</v>
      </c>
      <c r="C38" s="70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100">
        <v>156160</v>
      </c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</row>
    <row r="39" spans="1:42" s="71" customFormat="1" x14ac:dyDescent="0.2">
      <c r="A39" s="69" t="s">
        <v>117</v>
      </c>
      <c r="B39" s="25" t="s">
        <v>119</v>
      </c>
      <c r="C39" s="70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8"/>
      <c r="S39" s="24"/>
      <c r="T39" s="24"/>
      <c r="U39" s="24"/>
      <c r="V39" s="24"/>
      <c r="W39" s="24"/>
      <c r="X39" s="24"/>
      <c r="Y39" s="24"/>
      <c r="Z39" s="28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100">
        <v>691000</v>
      </c>
      <c r="AO39" s="24"/>
      <c r="AP39" s="24"/>
    </row>
    <row r="40" spans="1:42" s="71" customFormat="1" x14ac:dyDescent="0.2">
      <c r="A40" s="69" t="s">
        <v>97</v>
      </c>
      <c r="B40" s="25" t="s">
        <v>98</v>
      </c>
      <c r="C40" s="70"/>
      <c r="D40" s="24"/>
      <c r="E40" s="24"/>
      <c r="F40" s="24"/>
      <c r="G40" s="24"/>
      <c r="H40" s="24"/>
      <c r="I40" s="24"/>
      <c r="J40" s="100">
        <v>311400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</row>
    <row r="41" spans="1:42" s="71" customFormat="1" x14ac:dyDescent="0.2">
      <c r="A41" s="69" t="s">
        <v>17</v>
      </c>
      <c r="B41" s="25" t="s">
        <v>41</v>
      </c>
      <c r="C41" s="70">
        <f>1375000-500000-175000</f>
        <v>700000</v>
      </c>
      <c r="D41" s="24"/>
      <c r="F41" s="24"/>
      <c r="G41" s="24"/>
      <c r="H41" s="129">
        <v>175000</v>
      </c>
      <c r="J41" s="129">
        <v>175000</v>
      </c>
      <c r="M41" s="24"/>
      <c r="N41" s="24"/>
      <c r="O41" s="24"/>
      <c r="P41" s="129">
        <v>175000</v>
      </c>
      <c r="Q41" s="24"/>
      <c r="R41" s="129">
        <v>175000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</row>
    <row r="42" spans="1:42" s="71" customFormat="1" x14ac:dyDescent="0.2">
      <c r="A42" s="69" t="s">
        <v>15</v>
      </c>
      <c r="B42" s="25" t="s">
        <v>31</v>
      </c>
      <c r="C42" s="70">
        <f>1289912-50000-50000-75000-124688-100000-100000</f>
        <v>790224</v>
      </c>
      <c r="D42" s="24"/>
      <c r="E42" s="108">
        <v>100000</v>
      </c>
      <c r="F42" s="24"/>
      <c r="G42" s="24"/>
      <c r="H42" s="108">
        <v>104464</v>
      </c>
      <c r="I42" s="108">
        <f>150000-60000</f>
        <v>90000</v>
      </c>
      <c r="J42" s="108">
        <v>100000</v>
      </c>
      <c r="K42" s="108">
        <v>100000</v>
      </c>
      <c r="L42" s="28"/>
      <c r="M42" s="28"/>
      <c r="N42" s="24"/>
      <c r="O42" s="108">
        <v>65224</v>
      </c>
      <c r="P42" s="108">
        <v>90224</v>
      </c>
      <c r="Q42" s="108">
        <v>115224</v>
      </c>
      <c r="R42" s="108">
        <v>25000</v>
      </c>
      <c r="S42" s="24"/>
      <c r="T42" s="24"/>
      <c r="U42" s="24"/>
      <c r="W42" s="98">
        <f>515224/4</f>
        <v>128806</v>
      </c>
      <c r="X42" s="98">
        <f>515224/4</f>
        <v>128806</v>
      </c>
      <c r="Y42" s="98">
        <f>515224/4</f>
        <v>128806</v>
      </c>
      <c r="Z42" s="98">
        <f>515224/4</f>
        <v>128806</v>
      </c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</row>
    <row r="43" spans="1:42" s="71" customFormat="1" x14ac:dyDescent="0.2">
      <c r="A43" s="69" t="s">
        <v>19</v>
      </c>
      <c r="B43" s="25" t="s">
        <v>46</v>
      </c>
      <c r="C43" s="70">
        <f>500*A3</f>
        <v>43763.05</v>
      </c>
      <c r="D43" s="24"/>
      <c r="E43" s="129">
        <f>500*$A$3</f>
        <v>43763.05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</row>
    <row r="44" spans="1:42" s="71" customFormat="1" x14ac:dyDescent="0.2">
      <c r="A44" s="69" t="s">
        <v>16</v>
      </c>
      <c r="B44" s="25" t="s">
        <v>32</v>
      </c>
      <c r="C44" s="70">
        <f>722080-56200-49941-90880-100000</f>
        <v>425059</v>
      </c>
      <c r="D44" s="24"/>
      <c r="E44" s="108">
        <f>66588+33294</f>
        <v>99882</v>
      </c>
      <c r="F44" s="24"/>
      <c r="G44" s="24"/>
      <c r="H44" s="108">
        <f>66588+33294+99882</f>
        <v>199764</v>
      </c>
      <c r="I44" s="108">
        <f>(66588+33294)/2</f>
        <v>49941</v>
      </c>
      <c r="K44" s="108">
        <f>66588+33294+35506</f>
        <v>135388</v>
      </c>
      <c r="L44" s="24"/>
      <c r="M44" s="24"/>
      <c r="N44" s="24"/>
      <c r="O44" s="108">
        <f>499410/4</f>
        <v>124852.5</v>
      </c>
      <c r="P44" s="108">
        <f>499410/4</f>
        <v>124852.5</v>
      </c>
      <c r="Q44" s="108">
        <f>499410/4</f>
        <v>124852.5</v>
      </c>
      <c r="R44" s="108">
        <f>499410/4</f>
        <v>124852.5</v>
      </c>
      <c r="S44" s="24"/>
      <c r="T44" s="24"/>
      <c r="U44" s="24"/>
      <c r="V44" s="24"/>
      <c r="W44" s="95">
        <v>332940</v>
      </c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</row>
    <row r="45" spans="1:42" s="71" customFormat="1" x14ac:dyDescent="0.2">
      <c r="A45" s="69" t="s">
        <v>85</v>
      </c>
      <c r="B45" s="25" t="s">
        <v>47</v>
      </c>
      <c r="C45" s="70" t="s">
        <v>89</v>
      </c>
      <c r="D45" s="24"/>
      <c r="E45" s="24"/>
      <c r="F45" s="24"/>
      <c r="G45" s="24"/>
      <c r="H45" s="108">
        <f>645*$A$6</f>
        <v>48268.510500000004</v>
      </c>
      <c r="I45" s="108">
        <f>645*$A$6</f>
        <v>48268.510500000004</v>
      </c>
      <c r="J45" s="108">
        <f>645*$A$6</f>
        <v>48268.510500000004</v>
      </c>
      <c r="K45" s="108">
        <f>645*$A$6</f>
        <v>48268.510500000004</v>
      </c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</row>
    <row r="46" spans="1:42" s="71" customFormat="1" x14ac:dyDescent="0.2">
      <c r="A46" s="69" t="s">
        <v>120</v>
      </c>
      <c r="B46" s="25" t="s">
        <v>121</v>
      </c>
      <c r="C46" s="76"/>
      <c r="D46" s="24"/>
      <c r="E46" s="24"/>
      <c r="F46" s="24"/>
      <c r="G46" s="24"/>
      <c r="H46" s="28"/>
      <c r="I46" s="28"/>
      <c r="J46" s="28"/>
      <c r="K46" s="28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100">
        <v>507000</v>
      </c>
      <c r="AH46" s="24"/>
      <c r="AI46" s="24"/>
      <c r="AJ46" s="24"/>
      <c r="AK46" s="24"/>
      <c r="AL46" s="24"/>
      <c r="AM46" s="24"/>
      <c r="AN46" s="24"/>
      <c r="AO46" s="24"/>
      <c r="AP46" s="24"/>
    </row>
    <row r="47" spans="1:42" s="73" customFormat="1" x14ac:dyDescent="0.2">
      <c r="A47" s="69" t="s">
        <v>22</v>
      </c>
      <c r="B47" s="25" t="s">
        <v>48</v>
      </c>
      <c r="C47" s="137"/>
      <c r="D47" s="72"/>
      <c r="E47" s="24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138">
        <f>52206*A9</f>
        <v>571347.68460000004</v>
      </c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s="73" customFormat="1" x14ac:dyDescent="0.2">
      <c r="A48" s="69" t="s">
        <v>108</v>
      </c>
      <c r="B48" s="25" t="s">
        <v>109</v>
      </c>
      <c r="C48" s="120"/>
      <c r="D48" s="72"/>
      <c r="E48" s="24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s="71" customFormat="1" x14ac:dyDescent="0.2">
      <c r="A49" s="69" t="s">
        <v>36</v>
      </c>
      <c r="B49" s="25" t="s">
        <v>37</v>
      </c>
      <c r="C49" s="130"/>
      <c r="D49" s="24"/>
      <c r="E49" s="24"/>
      <c r="F49" s="24"/>
      <c r="G49" s="24"/>
      <c r="I49" s="24"/>
      <c r="J49" s="24"/>
      <c r="K49" s="100">
        <f>2662*A6</f>
        <v>199210.50380000001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</row>
    <row r="50" spans="1:42" s="71" customFormat="1" x14ac:dyDescent="0.2">
      <c r="A50" s="69" t="s">
        <v>86</v>
      </c>
      <c r="B50" s="25" t="s">
        <v>35</v>
      </c>
      <c r="C50" s="70">
        <f>1600*$A$6+2400*A6+4050*A6-500*A6-500*A6</f>
        <v>527586.04500000016</v>
      </c>
      <c r="D50" s="77"/>
      <c r="E50" s="95">
        <f>600*$A$6</f>
        <v>44900.94</v>
      </c>
      <c r="F50" s="24"/>
      <c r="G50" s="24"/>
      <c r="H50" s="108">
        <f>600*$A$6</f>
        <v>44900.94</v>
      </c>
      <c r="I50" s="108">
        <f>600*$A$6</f>
        <v>44900.94</v>
      </c>
      <c r="J50" s="108">
        <f>600*$A$6</f>
        <v>44900.94</v>
      </c>
      <c r="K50" s="108">
        <f>600*$A$6</f>
        <v>44900.94</v>
      </c>
      <c r="L50" s="24"/>
      <c r="M50" s="24"/>
      <c r="N50" s="24"/>
      <c r="O50" s="108">
        <f>1050*$A$6</f>
        <v>78576.645000000004</v>
      </c>
      <c r="P50" s="108">
        <f>1000*$A$6</f>
        <v>74834.900000000009</v>
      </c>
      <c r="Q50" s="108">
        <f>1000*$A$6</f>
        <v>74834.900000000009</v>
      </c>
      <c r="R50" s="108">
        <f>1000*$A$6</f>
        <v>74834.900000000009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</row>
    <row r="51" spans="1:42" s="71" customFormat="1" x14ac:dyDescent="0.2">
      <c r="A51" s="69" t="s">
        <v>111</v>
      </c>
      <c r="B51" s="25" t="s">
        <v>112</v>
      </c>
      <c r="C51" s="70"/>
      <c r="D51" s="77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</row>
    <row r="52" spans="1:42" s="71" customFormat="1" x14ac:dyDescent="0.2">
      <c r="A52" s="69" t="s">
        <v>29</v>
      </c>
      <c r="B52" s="25" t="s">
        <v>42</v>
      </c>
      <c r="C52" s="70">
        <v>20000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</row>
    <row r="53" spans="1:42" s="71" customFormat="1" x14ac:dyDescent="0.2">
      <c r="A53" s="69" t="s">
        <v>29</v>
      </c>
      <c r="B53" s="25" t="s">
        <v>43</v>
      </c>
      <c r="C53" s="70">
        <v>439750</v>
      </c>
      <c r="D53" s="24"/>
      <c r="F53" s="24"/>
      <c r="G53" s="24"/>
      <c r="H53" s="95">
        <v>100000</v>
      </c>
      <c r="I53" s="24"/>
      <c r="J53" s="95">
        <v>100000</v>
      </c>
      <c r="M53" s="24"/>
      <c r="N53" s="24"/>
      <c r="O53" s="95">
        <v>100000</v>
      </c>
      <c r="P53" s="24"/>
      <c r="Q53" s="24"/>
      <c r="R53" s="95">
        <v>139750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</row>
    <row r="54" spans="1:42" s="71" customFormat="1" x14ac:dyDescent="0.2">
      <c r="A54" s="69" t="s">
        <v>104</v>
      </c>
      <c r="B54" s="25" t="s">
        <v>105</v>
      </c>
      <c r="C54" s="70"/>
      <c r="D54" s="77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</row>
    <row r="55" spans="1:42" s="71" customFormat="1" x14ac:dyDescent="0.2">
      <c r="A55" s="69" t="s">
        <v>99</v>
      </c>
      <c r="B55" s="25" t="s">
        <v>100</v>
      </c>
      <c r="C55" s="70"/>
      <c r="D55" s="77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</row>
    <row r="56" spans="1:42" s="71" customFormat="1" x14ac:dyDescent="0.2">
      <c r="A56" s="69" t="s">
        <v>29</v>
      </c>
      <c r="B56" s="25" t="s">
        <v>55</v>
      </c>
      <c r="C56" s="70">
        <f>1500*A6</f>
        <v>112252.35</v>
      </c>
      <c r="D56" s="24"/>
      <c r="E56" s="28"/>
      <c r="F56" s="24"/>
      <c r="G56" s="24"/>
      <c r="H56" s="95">
        <f>500*$A$6</f>
        <v>37417.450000000004</v>
      </c>
      <c r="I56" s="24"/>
      <c r="J56" s="95">
        <f>500*$A$6</f>
        <v>37417.450000000004</v>
      </c>
      <c r="K56" s="95">
        <f>500*$A$6</f>
        <v>37417.450000000004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</row>
    <row r="57" spans="1:42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100">
        <v>1878</v>
      </c>
      <c r="I57" s="24"/>
      <c r="J57" s="24"/>
      <c r="K57" s="24"/>
      <c r="L57" s="24"/>
      <c r="M57" s="24"/>
      <c r="N57" s="24"/>
      <c r="O57" s="24"/>
      <c r="P57" s="24"/>
      <c r="Q57" s="100">
        <v>2090</v>
      </c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</row>
    <row r="58" spans="1:42" s="71" customFormat="1" x14ac:dyDescent="0.2">
      <c r="A58" s="69" t="s">
        <v>90</v>
      </c>
      <c r="B58" s="25" t="s">
        <v>91</v>
      </c>
      <c r="C58" s="70"/>
      <c r="D58" s="77"/>
      <c r="E58" s="24"/>
      <c r="F58" s="24"/>
      <c r="G58" s="24"/>
      <c r="I58" s="24"/>
      <c r="J58" s="24"/>
      <c r="K58" s="24"/>
      <c r="L58" s="24"/>
      <c r="N58" s="24"/>
      <c r="O58" s="100">
        <f>1012000/4</f>
        <v>253000</v>
      </c>
      <c r="P58" s="100">
        <f>1012000/4</f>
        <v>253000</v>
      </c>
      <c r="Q58" s="100">
        <f>1012000/4</f>
        <v>253000</v>
      </c>
      <c r="R58" s="100">
        <f>1012000/4</f>
        <v>253000</v>
      </c>
      <c r="S58" s="24"/>
      <c r="T58" s="24"/>
      <c r="U58" s="24"/>
      <c r="V58" s="24"/>
      <c r="W58" s="100">
        <v>1012000</v>
      </c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</row>
    <row r="59" spans="1:42" s="71" customFormat="1" x14ac:dyDescent="0.2">
      <c r="A59" s="69" t="s">
        <v>106</v>
      </c>
      <c r="B59" s="25" t="s">
        <v>107</v>
      </c>
      <c r="C59" s="70"/>
      <c r="D59" s="77"/>
      <c r="E59" s="100">
        <v>10000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</row>
    <row r="60" spans="1:42" s="71" customFormat="1" x14ac:dyDescent="0.2">
      <c r="A60" s="69" t="s">
        <v>102</v>
      </c>
      <c r="B60" s="25" t="s">
        <v>103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</row>
    <row r="61" spans="1:42" s="71" customFormat="1" x14ac:dyDescent="0.2">
      <c r="A61" s="132" t="s">
        <v>113</v>
      </c>
      <c r="B61" s="133" t="s">
        <v>114</v>
      </c>
      <c r="C61" s="70"/>
      <c r="D61" s="77"/>
      <c r="E61" s="28"/>
      <c r="F61" s="24"/>
      <c r="G61" s="24"/>
      <c r="H61" s="28"/>
      <c r="I61" s="28"/>
      <c r="J61" s="28"/>
      <c r="K61" s="24"/>
      <c r="L61" s="24"/>
      <c r="M61" s="24"/>
      <c r="N61" s="24"/>
      <c r="O61" s="100">
        <f>1732500-750000</f>
        <v>982500</v>
      </c>
      <c r="P61" s="28"/>
      <c r="Q61" s="24"/>
      <c r="R61" s="28"/>
      <c r="S61" s="28"/>
      <c r="T61" s="28"/>
      <c r="U61" s="28"/>
      <c r="V61" s="28"/>
      <c r="W61" s="28"/>
      <c r="X61" s="28"/>
      <c r="Y61" s="28"/>
      <c r="Z61" s="24"/>
      <c r="AA61" s="24"/>
      <c r="AB61" s="24"/>
      <c r="AC61" s="24"/>
      <c r="AD61" s="28"/>
      <c r="AE61" s="28"/>
      <c r="AF61" s="28"/>
      <c r="AG61" s="28"/>
      <c r="AH61" s="28"/>
      <c r="AI61" s="28"/>
      <c r="AJ61" s="28"/>
      <c r="AK61" s="28"/>
      <c r="AL61" s="24"/>
      <c r="AM61" s="24"/>
      <c r="AN61" s="24"/>
      <c r="AO61" s="24"/>
      <c r="AP61" s="24"/>
    </row>
    <row r="62" spans="1:42" s="71" customFormat="1" x14ac:dyDescent="0.2">
      <c r="A62" s="69" t="s">
        <v>34</v>
      </c>
      <c r="B62" s="25" t="s">
        <v>45</v>
      </c>
      <c r="C62" s="70">
        <f>1014000-100000-100000+400-50000</f>
        <v>764400</v>
      </c>
      <c r="D62" s="77"/>
      <c r="E62" s="106">
        <v>75000</v>
      </c>
      <c r="F62" s="24"/>
      <c r="G62" s="24"/>
      <c r="H62" s="108">
        <v>114400</v>
      </c>
      <c r="I62" s="24"/>
      <c r="J62" s="106">
        <v>175000</v>
      </c>
      <c r="K62" s="24"/>
      <c r="M62" s="24"/>
      <c r="N62" s="24"/>
      <c r="O62" s="106">
        <v>75000</v>
      </c>
      <c r="Q62" s="24"/>
      <c r="R62" s="108">
        <v>325000</v>
      </c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 t="s">
        <v>89</v>
      </c>
      <c r="AK62" s="24"/>
      <c r="AL62" s="24"/>
      <c r="AM62" s="24"/>
      <c r="AN62" s="24"/>
      <c r="AO62" s="24"/>
      <c r="AP62" s="24"/>
    </row>
    <row r="63" spans="1:42" s="71" customFormat="1" x14ac:dyDescent="0.2">
      <c r="A63" s="69" t="s">
        <v>101</v>
      </c>
      <c r="B63" s="25"/>
      <c r="C63" s="70"/>
      <c r="D63" s="77"/>
      <c r="E63" s="108">
        <v>50000</v>
      </c>
      <c r="F63" s="24"/>
      <c r="G63" s="24"/>
      <c r="H63" s="108">
        <v>120000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</row>
    <row r="64" spans="1:42" s="71" customFormat="1" x14ac:dyDescent="0.2">
      <c r="A64" s="69" t="s">
        <v>38</v>
      </c>
      <c r="B64" s="25" t="s">
        <v>39</v>
      </c>
      <c r="C64" s="70"/>
      <c r="D64" s="24"/>
      <c r="E64" s="100">
        <v>24000</v>
      </c>
      <c r="F64" s="24"/>
      <c r="G64" s="24"/>
      <c r="H64" s="100">
        <v>27000</v>
      </c>
      <c r="I64" s="100">
        <v>34850</v>
      </c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</row>
    <row r="65" spans="1:42" s="71" customFormat="1" x14ac:dyDescent="0.2">
      <c r="A65" s="69" t="s">
        <v>74</v>
      </c>
      <c r="B65" s="25" t="s">
        <v>83</v>
      </c>
      <c r="C65" s="70"/>
      <c r="D65" s="24"/>
      <c r="F65" s="24"/>
      <c r="G65" s="24"/>
      <c r="H65" s="24"/>
      <c r="I65" s="24"/>
      <c r="J65" s="24"/>
      <c r="K65" s="98">
        <f>104492.6-69560</f>
        <v>34932.600000000006</v>
      </c>
      <c r="L65" s="24"/>
      <c r="M65" s="24"/>
      <c r="N65" s="24"/>
      <c r="P65" s="24"/>
      <c r="Q65" s="24"/>
      <c r="R65" s="24"/>
      <c r="S65" s="24"/>
      <c r="T65" s="24"/>
      <c r="U65" s="24"/>
      <c r="V65" s="24"/>
      <c r="W65" s="24"/>
      <c r="X65" s="24"/>
      <c r="Y65" s="108">
        <f>3567000/10</f>
        <v>356700</v>
      </c>
      <c r="Z65" s="108">
        <f>3567000/10</f>
        <v>356700</v>
      </c>
      <c r="AA65" s="28"/>
      <c r="AB65" s="28"/>
      <c r="AC65" s="108">
        <f>3567000/10</f>
        <v>356700</v>
      </c>
      <c r="AD65" s="108">
        <f>3567000/10</f>
        <v>356700</v>
      </c>
      <c r="AE65" s="108">
        <f>3567000/10</f>
        <v>356700</v>
      </c>
      <c r="AF65" s="108">
        <f>3567000/10</f>
        <v>356700</v>
      </c>
      <c r="AG65" s="108">
        <f>3567000/10</f>
        <v>356700</v>
      </c>
      <c r="AH65" s="28"/>
      <c r="AI65" s="28"/>
      <c r="AJ65" s="108">
        <f>3567000/10</f>
        <v>356700</v>
      </c>
      <c r="AK65" s="108">
        <f>3567000/10</f>
        <v>356700</v>
      </c>
      <c r="AL65" s="108">
        <f>3567000/10</f>
        <v>356700</v>
      </c>
      <c r="AM65" s="24"/>
      <c r="AN65" s="24"/>
      <c r="AO65" s="24"/>
      <c r="AP65" s="24"/>
    </row>
    <row r="66" spans="1:42" s="73" customFormat="1" ht="2.25" customHeight="1" x14ac:dyDescent="0.2">
      <c r="A66" s="78"/>
      <c r="B66" s="79"/>
      <c r="C66" s="75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 t="s">
        <v>89</v>
      </c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s="94" customFormat="1" ht="33.75" x14ac:dyDescent="0.2">
      <c r="A67" s="91" t="s">
        <v>60</v>
      </c>
      <c r="B67" s="92" t="s">
        <v>58</v>
      </c>
      <c r="C67" s="93">
        <v>248639.70012000017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</row>
    <row r="68" spans="1:42" s="94" customFormat="1" ht="33.75" x14ac:dyDescent="0.2">
      <c r="A68" s="91" t="s">
        <v>60</v>
      </c>
      <c r="B68" s="92" t="s">
        <v>59</v>
      </c>
      <c r="C68" s="93">
        <v>0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</row>
    <row r="69" spans="1:42" s="5" customFormat="1" ht="2.25" customHeight="1" x14ac:dyDescent="0.2">
      <c r="A69" s="42"/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</row>
    <row r="70" spans="1:42" s="5" customFormat="1" x14ac:dyDescent="0.2">
      <c r="A70" s="36" t="s">
        <v>49</v>
      </c>
      <c r="B70" s="12"/>
      <c r="C70" s="13"/>
      <c r="D70" s="26"/>
      <c r="F70" s="13"/>
      <c r="G70" s="13"/>
      <c r="H70" s="126">
        <f>(1369064.01+1400268.46)/0.77</f>
        <v>3596535.6753246747</v>
      </c>
      <c r="I70" s="13"/>
      <c r="J70" s="13"/>
      <c r="L70" s="13"/>
      <c r="N70" s="13"/>
      <c r="O70" s="126"/>
      <c r="P70" s="13"/>
      <c r="Q70" s="13"/>
      <c r="R70" s="13"/>
      <c r="S70" s="13"/>
      <c r="T70" s="13"/>
      <c r="U70" s="13"/>
      <c r="V70" s="13"/>
      <c r="W70" s="13"/>
      <c r="X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</row>
    <row r="71" spans="1:42" s="5" customFormat="1" x14ac:dyDescent="0.2">
      <c r="A71" s="36" t="s">
        <v>57</v>
      </c>
      <c r="B71" s="12"/>
      <c r="C71" s="68"/>
      <c r="D71" s="26"/>
      <c r="E71" s="13"/>
      <c r="F71" s="13"/>
      <c r="G71" s="13"/>
      <c r="H71" s="13"/>
      <c r="I71" s="13"/>
      <c r="J71" s="13"/>
      <c r="K71" s="126">
        <f>1200614.75/0.77</f>
        <v>1559239.9350649351</v>
      </c>
      <c r="L71" s="13"/>
      <c r="M71" s="139">
        <f>1749467.21/0.77</f>
        <v>2272035.3376623373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9">
        <f>1933893.44/0.77</f>
        <v>2511549.9220779222</v>
      </c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</row>
    <row r="72" spans="1:42" s="5" customFormat="1" x14ac:dyDescent="0.2">
      <c r="A72" s="36" t="s">
        <v>61</v>
      </c>
      <c r="B72" s="12"/>
      <c r="C72" s="68"/>
      <c r="D72" s="26"/>
      <c r="E72" s="13"/>
      <c r="F72" s="13"/>
      <c r="G72" s="13"/>
      <c r="I72" s="13"/>
      <c r="J72" s="13"/>
      <c r="K72" s="13"/>
      <c r="L72" s="13">
        <v>112000</v>
      </c>
      <c r="M72" s="13"/>
      <c r="N72" s="13"/>
      <c r="O72" s="13"/>
      <c r="P72" s="13"/>
      <c r="Q72" s="139">
        <v>390000</v>
      </c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</row>
    <row r="73" spans="1:42" s="5" customFormat="1" ht="2.25" customHeight="1" x14ac:dyDescent="0.2">
      <c r="A73" s="42"/>
      <c r="B73" s="12"/>
      <c r="C73" s="68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</row>
    <row r="74" spans="1:42" s="5" customFormat="1" x14ac:dyDescent="0.2">
      <c r="A74" s="36" t="s">
        <v>72</v>
      </c>
      <c r="B74" s="27" t="s">
        <v>73</v>
      </c>
      <c r="C74" s="62">
        <v>3637079.2460000003</v>
      </c>
      <c r="D74" s="35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 spans="1:42" s="5" customFormat="1" ht="2.25" customHeight="1" x14ac:dyDescent="0.2">
      <c r="A75" s="42"/>
      <c r="B75" s="12"/>
      <c r="C75" s="61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</row>
    <row r="76" spans="1:42" s="84" customFormat="1" x14ac:dyDescent="0.2">
      <c r="A76" s="81" t="s">
        <v>66</v>
      </c>
      <c r="B76" s="82"/>
      <c r="C76" s="63"/>
      <c r="D76" s="83"/>
      <c r="E76" s="83">
        <f>$C$5+E16-E25</f>
        <v>4929864.2</v>
      </c>
      <c r="F76" s="83">
        <f t="shared" ref="F76:AP76" si="3">E76+F16-F25</f>
        <v>4929864.2</v>
      </c>
      <c r="G76" s="83">
        <f t="shared" si="3"/>
        <v>4929864.2</v>
      </c>
      <c r="H76" s="83">
        <f t="shared" si="3"/>
        <v>360235.62417532597</v>
      </c>
      <c r="I76" s="83">
        <f t="shared" si="3"/>
        <v>-1907724.8263246738</v>
      </c>
      <c r="J76" s="83">
        <f t="shared" si="3"/>
        <v>-2899711.7268246738</v>
      </c>
      <c r="K76" s="83">
        <f t="shared" si="3"/>
        <v>-5059069.6661896091</v>
      </c>
      <c r="L76" s="83">
        <f t="shared" si="3"/>
        <v>-5171069.6661896091</v>
      </c>
      <c r="M76" s="83">
        <f t="shared" si="3"/>
        <v>-405605.00385194644</v>
      </c>
      <c r="N76" s="83">
        <f t="shared" si="3"/>
        <v>-405605.00385194644</v>
      </c>
      <c r="O76" s="83">
        <f t="shared" si="3"/>
        <v>-2844872.0488519464</v>
      </c>
      <c r="P76" s="83">
        <f t="shared" si="3"/>
        <v>-3562783.4488519463</v>
      </c>
      <c r="Q76" s="83">
        <f t="shared" si="3"/>
        <v>-4522784.8488519462</v>
      </c>
      <c r="R76" s="83">
        <f t="shared" si="3"/>
        <v>-5796382.2488519456</v>
      </c>
      <c r="S76" s="83">
        <f t="shared" si="3"/>
        <v>-6342331.2488519456</v>
      </c>
      <c r="T76" s="83">
        <f t="shared" si="3"/>
        <v>-6342331.2488519456</v>
      </c>
      <c r="U76" s="83">
        <f t="shared" si="3"/>
        <v>-6702331.2488519456</v>
      </c>
      <c r="V76" s="83">
        <f t="shared" si="3"/>
        <v>-3638917.7488519456</v>
      </c>
      <c r="W76" s="83">
        <f t="shared" si="3"/>
        <v>-5112663.7488519456</v>
      </c>
      <c r="X76" s="83">
        <f t="shared" si="3"/>
        <v>-5583248.7488519456</v>
      </c>
      <c r="Y76" s="83">
        <f t="shared" si="3"/>
        <v>-697804.67092986777</v>
      </c>
      <c r="Z76" s="83">
        <f t="shared" si="3"/>
        <v>-1454816.6709298678</v>
      </c>
      <c r="AA76" s="83">
        <f t="shared" si="3"/>
        <v>-1454816.6709298678</v>
      </c>
      <c r="AB76" s="83">
        <f t="shared" si="3"/>
        <v>-1454816.6709298678</v>
      </c>
      <c r="AC76" s="83">
        <f t="shared" si="3"/>
        <v>-1811516.6709298678</v>
      </c>
      <c r="AD76" s="83">
        <f t="shared" si="3"/>
        <v>-2168216.6709298678</v>
      </c>
      <c r="AE76" s="83">
        <f t="shared" si="3"/>
        <v>-2524916.6709298678</v>
      </c>
      <c r="AF76" s="83">
        <f t="shared" si="3"/>
        <v>-2881616.6709298678</v>
      </c>
      <c r="AG76" s="83">
        <f t="shared" si="3"/>
        <v>-4316664.355529868</v>
      </c>
      <c r="AH76" s="83">
        <f t="shared" si="3"/>
        <v>-4316664.355529868</v>
      </c>
      <c r="AI76" s="83">
        <f t="shared" si="3"/>
        <v>-4316664.355529868</v>
      </c>
      <c r="AJ76" s="83">
        <f t="shared" si="3"/>
        <v>-4673364.355529868</v>
      </c>
      <c r="AK76" s="83">
        <f t="shared" si="3"/>
        <v>-5030064.355529868</v>
      </c>
      <c r="AL76" s="83">
        <f t="shared" si="3"/>
        <v>-5386764.355529868</v>
      </c>
      <c r="AM76" s="83">
        <f t="shared" si="3"/>
        <v>-5386764.355529868</v>
      </c>
      <c r="AN76" s="83">
        <f t="shared" si="3"/>
        <v>-6077764.355529868</v>
      </c>
      <c r="AO76" s="83">
        <f t="shared" si="3"/>
        <v>-6077764.355529868</v>
      </c>
      <c r="AP76" s="83">
        <f t="shared" si="3"/>
        <v>-6077764.355529868</v>
      </c>
    </row>
    <row r="78" spans="1:42" s="5" customFormat="1" ht="2.25" customHeight="1" x14ac:dyDescent="0.2">
      <c r="A78" s="42"/>
      <c r="B78" s="12"/>
      <c r="C78" s="68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</row>
    <row r="79" spans="1:42" s="89" customFormat="1" ht="11.25" customHeight="1" x14ac:dyDescent="0.2">
      <c r="A79" s="85" t="s">
        <v>65</v>
      </c>
      <c r="B79" s="86"/>
      <c r="C79" s="87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s="5" customFormat="1" ht="22.5" x14ac:dyDescent="0.2">
      <c r="A80" s="36" t="s">
        <v>67</v>
      </c>
      <c r="B80" s="27" t="s">
        <v>68</v>
      </c>
      <c r="C80" s="68">
        <v>3221210.79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</row>
    <row r="81" spans="1:42" s="5" customFormat="1" x14ac:dyDescent="0.2">
      <c r="A81" s="36" t="s">
        <v>69</v>
      </c>
      <c r="B81" s="27" t="s">
        <v>70</v>
      </c>
      <c r="C81" s="68">
        <v>9814338.4000000004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</row>
    <row r="82" spans="1:42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</row>
    <row r="83" spans="1:42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</row>
    <row r="85" spans="1:42" x14ac:dyDescent="0.25">
      <c r="B85" s="14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85"/>
  <sheetViews>
    <sheetView topLeftCell="A49" workbookViewId="0">
      <selection activeCell="P70" sqref="P70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5" width="10.85546875" style="3" bestFit="1" customWidth="1"/>
    <col min="16" max="16" width="11.7109375" style="3" bestFit="1" customWidth="1"/>
    <col min="17" max="25" width="10.85546875" style="3" bestFit="1" customWidth="1"/>
    <col min="26" max="26" width="11.7109375" style="3" bestFit="1" customWidth="1"/>
    <col min="27" max="43" width="10.85546875" style="3" bestFit="1" customWidth="1"/>
    <col min="44" max="16384" width="9" style="3"/>
  </cols>
  <sheetData>
    <row r="1" spans="1:43" ht="12" thickBot="1" x14ac:dyDescent="0.3"/>
    <row r="2" spans="1:43" s="1" customFormat="1" x14ac:dyDescent="0.2">
      <c r="A2" s="43" t="s">
        <v>50</v>
      </c>
      <c r="B2" s="15" t="s">
        <v>27</v>
      </c>
      <c r="C2" s="50">
        <v>7547282.9100000001</v>
      </c>
    </row>
    <row r="3" spans="1:43" s="1" customFormat="1" ht="12" thickBot="1" x14ac:dyDescent="0.25">
      <c r="A3" s="44">
        <v>87.973299999999995</v>
      </c>
      <c r="B3" s="15" t="s">
        <v>28</v>
      </c>
      <c r="C3" s="50">
        <v>10778.95</v>
      </c>
    </row>
    <row r="4" spans="1:43" s="8" customFormat="1" ht="12" thickBot="1" x14ac:dyDescent="0.25">
      <c r="A4" s="45"/>
      <c r="B4" s="15" t="s">
        <v>25</v>
      </c>
      <c r="C4" s="51">
        <v>0</v>
      </c>
    </row>
    <row r="5" spans="1:43" s="6" customFormat="1" x14ac:dyDescent="0.2">
      <c r="A5" s="43" t="s">
        <v>51</v>
      </c>
      <c r="B5" s="49" t="s">
        <v>26</v>
      </c>
      <c r="C5" s="52">
        <f>SUM(C2:C4)</f>
        <v>7558061.8600000003</v>
      </c>
    </row>
    <row r="6" spans="1:43" s="6" customFormat="1" ht="12" thickBot="1" x14ac:dyDescent="0.25">
      <c r="A6" s="44">
        <v>74.999499999999998</v>
      </c>
      <c r="B6" s="16"/>
      <c r="C6" s="53"/>
      <c r="D6" s="17"/>
    </row>
    <row r="7" spans="1:43" s="6" customFormat="1" ht="12" thickBot="1" x14ac:dyDescent="0.25">
      <c r="A7" s="105" t="s">
        <v>51</v>
      </c>
      <c r="B7" s="18" t="s">
        <v>110</v>
      </c>
      <c r="C7" s="54">
        <f>SUM(E16:AQ16)</f>
        <v>18499065.5</v>
      </c>
    </row>
    <row r="8" spans="1:43" x14ac:dyDescent="0.25">
      <c r="A8" s="43" t="s">
        <v>52</v>
      </c>
      <c r="B8" s="18" t="s">
        <v>84</v>
      </c>
      <c r="C8" s="54">
        <f>SUM(E24:AQ25)</f>
        <v>29283992.4862375</v>
      </c>
    </row>
    <row r="9" spans="1:43" ht="12" thickBot="1" x14ac:dyDescent="0.3">
      <c r="A9" s="44">
        <v>10.9931</v>
      </c>
      <c r="B9" s="19" t="s">
        <v>64</v>
      </c>
      <c r="C9" s="55">
        <f>C5+C7-C8-C11</f>
        <v>-11338195.5473575</v>
      </c>
    </row>
    <row r="10" spans="1:43" x14ac:dyDescent="0.25">
      <c r="A10" s="99" t="s">
        <v>80</v>
      </c>
      <c r="B10" s="18" t="s">
        <v>23</v>
      </c>
      <c r="C10" s="56">
        <f>C16</f>
        <v>0</v>
      </c>
    </row>
    <row r="11" spans="1:43" x14ac:dyDescent="0.25">
      <c r="A11" s="101" t="s">
        <v>87</v>
      </c>
      <c r="B11" s="18" t="s">
        <v>24</v>
      </c>
      <c r="C11" s="54">
        <f>C25</f>
        <v>8111330.4211200001</v>
      </c>
    </row>
    <row r="12" spans="1:43" x14ac:dyDescent="0.25">
      <c r="A12" s="107" t="s">
        <v>88</v>
      </c>
    </row>
    <row r="13" spans="1:43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</row>
    <row r="14" spans="1:43" s="2" customFormat="1" x14ac:dyDescent="0.25">
      <c r="A14" s="64"/>
      <c r="B14" s="65"/>
      <c r="C14" s="58" t="s">
        <v>56</v>
      </c>
      <c r="D14" s="66"/>
      <c r="E14" s="66">
        <v>46135</v>
      </c>
      <c r="F14" s="66">
        <v>46136</v>
      </c>
      <c r="G14" s="66">
        <v>46137</v>
      </c>
      <c r="H14" s="66">
        <v>46138</v>
      </c>
      <c r="I14" s="66">
        <v>46139</v>
      </c>
      <c r="J14" s="66">
        <v>46140</v>
      </c>
      <c r="K14" s="66">
        <v>46141</v>
      </c>
      <c r="L14" s="66">
        <v>46142</v>
      </c>
      <c r="M14" s="66">
        <v>46143</v>
      </c>
      <c r="N14" s="66">
        <v>46144</v>
      </c>
      <c r="O14" s="66">
        <v>46145</v>
      </c>
      <c r="P14" s="66">
        <v>46146</v>
      </c>
      <c r="Q14" s="66">
        <v>46147</v>
      </c>
      <c r="R14" s="66">
        <v>46148</v>
      </c>
      <c r="S14" s="66">
        <v>46149</v>
      </c>
      <c r="T14" s="66">
        <v>46150</v>
      </c>
      <c r="U14" s="66">
        <v>46151</v>
      </c>
      <c r="V14" s="66">
        <v>46152</v>
      </c>
      <c r="W14" s="66">
        <v>46153</v>
      </c>
      <c r="X14" s="66">
        <v>46154</v>
      </c>
      <c r="Y14" s="66">
        <v>46155</v>
      </c>
      <c r="Z14" s="66">
        <v>46156</v>
      </c>
      <c r="AA14" s="66">
        <v>46157</v>
      </c>
      <c r="AB14" s="66">
        <v>46158</v>
      </c>
      <c r="AC14" s="66">
        <v>46159</v>
      </c>
      <c r="AD14" s="66">
        <v>46160</v>
      </c>
      <c r="AE14" s="66">
        <v>46161</v>
      </c>
      <c r="AF14" s="66">
        <v>46162</v>
      </c>
      <c r="AG14" s="66">
        <v>46163</v>
      </c>
      <c r="AH14" s="66">
        <v>46164</v>
      </c>
      <c r="AI14" s="66">
        <v>46165</v>
      </c>
      <c r="AJ14" s="66">
        <v>46166</v>
      </c>
      <c r="AK14" s="66">
        <v>46167</v>
      </c>
      <c r="AL14" s="66">
        <v>46168</v>
      </c>
      <c r="AM14" s="66">
        <v>46169</v>
      </c>
      <c r="AN14" s="66">
        <v>46170</v>
      </c>
      <c r="AO14" s="66">
        <v>46171</v>
      </c>
      <c r="AP14" s="66">
        <v>46172</v>
      </c>
      <c r="AQ14" s="66">
        <v>46173</v>
      </c>
    </row>
    <row r="15" spans="1:43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</row>
    <row r="16" spans="1:43" s="2" customFormat="1" x14ac:dyDescent="0.25">
      <c r="A16" s="39" t="s">
        <v>0</v>
      </c>
      <c r="B16" s="20"/>
      <c r="C16" s="29">
        <f>SUM(C18:C23)</f>
        <v>0</v>
      </c>
      <c r="D16" s="29"/>
      <c r="E16" s="29">
        <f t="shared" ref="E16:U16" si="0">SUM(E17:E24)</f>
        <v>0</v>
      </c>
      <c r="F16" s="29">
        <f t="shared" si="0"/>
        <v>500000</v>
      </c>
      <c r="G16" s="135">
        <f t="shared" si="0"/>
        <v>0</v>
      </c>
      <c r="H16" s="135">
        <f t="shared" si="0"/>
        <v>0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0</v>
      </c>
      <c r="M16" s="135">
        <f t="shared" si="0"/>
        <v>0</v>
      </c>
      <c r="N16" s="135">
        <f t="shared" si="0"/>
        <v>7037500</v>
      </c>
      <c r="O16" s="135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135">
        <f t="shared" si="0"/>
        <v>0</v>
      </c>
      <c r="V16" s="135">
        <f>SUM(V17:V24)</f>
        <v>0</v>
      </c>
      <c r="W16" s="135">
        <f t="shared" ref="W16:AQ16" si="1">SUM(W17:W24)</f>
        <v>3079065.5</v>
      </c>
      <c r="X16" s="29">
        <f t="shared" si="1"/>
        <v>0</v>
      </c>
      <c r="Y16" s="29">
        <f t="shared" si="1"/>
        <v>0</v>
      </c>
      <c r="Z16" s="29">
        <f t="shared" si="1"/>
        <v>7882500</v>
      </c>
      <c r="AA16" s="29">
        <f t="shared" si="1"/>
        <v>0</v>
      </c>
      <c r="AB16" s="135">
        <f t="shared" si="1"/>
        <v>0</v>
      </c>
      <c r="AC16" s="135">
        <f t="shared" si="1"/>
        <v>0</v>
      </c>
      <c r="AD16" s="29">
        <f t="shared" si="1"/>
        <v>0</v>
      </c>
      <c r="AE16" s="29">
        <f t="shared" si="1"/>
        <v>0</v>
      </c>
      <c r="AF16" s="29">
        <f t="shared" si="1"/>
        <v>0</v>
      </c>
      <c r="AG16" s="29">
        <f t="shared" si="1"/>
        <v>0</v>
      </c>
      <c r="AH16" s="29">
        <f t="shared" si="1"/>
        <v>0</v>
      </c>
      <c r="AI16" s="135">
        <f t="shared" si="1"/>
        <v>0</v>
      </c>
      <c r="AJ16" s="135">
        <f t="shared" si="1"/>
        <v>0</v>
      </c>
      <c r="AK16" s="29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135">
        <f t="shared" si="1"/>
        <v>0</v>
      </c>
      <c r="AQ16" s="135">
        <f t="shared" si="1"/>
        <v>0</v>
      </c>
    </row>
    <row r="17" spans="1:43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</row>
    <row r="18" spans="1:43" s="80" customFormat="1" x14ac:dyDescent="0.25">
      <c r="A18" s="40" t="s">
        <v>9</v>
      </c>
      <c r="B18" s="21"/>
      <c r="C18" s="59"/>
      <c r="D18" s="30"/>
      <c r="E18" s="30"/>
      <c r="F18" s="30">
        <v>500000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</row>
    <row r="19" spans="1:43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</row>
    <row r="20" spans="1:43" s="80" customFormat="1" ht="13.5" customHeigh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>
        <v>7037500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>
        <v>7882500</v>
      </c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</row>
    <row r="21" spans="1:43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</row>
    <row r="22" spans="1:43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</row>
    <row r="23" spans="1:43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>
        <f>35000*A3</f>
        <v>3079065.5</v>
      </c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</row>
    <row r="24" spans="1:43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</row>
    <row r="25" spans="1:43" s="4" customFormat="1" x14ac:dyDescent="0.2">
      <c r="A25" s="41" t="s">
        <v>1</v>
      </c>
      <c r="B25" s="22"/>
      <c r="C25" s="34">
        <f>SUM(C27:C74)</f>
        <v>8111330.4211200001</v>
      </c>
      <c r="D25" s="34"/>
      <c r="E25" s="34">
        <f t="shared" ref="E25:AQ25" si="2">SUM(E26:E75)</f>
        <v>1858177.5836375002</v>
      </c>
      <c r="F25" s="34">
        <f t="shared" si="2"/>
        <v>1054658.06</v>
      </c>
      <c r="G25" s="34">
        <f t="shared" si="2"/>
        <v>0</v>
      </c>
      <c r="H25" s="34">
        <f t="shared" si="2"/>
        <v>0</v>
      </c>
      <c r="I25" s="34">
        <f t="shared" si="2"/>
        <v>1223380.1274999999</v>
      </c>
      <c r="J25" s="34">
        <f t="shared" si="2"/>
        <v>2268165.3775000004</v>
      </c>
      <c r="K25" s="34">
        <f t="shared" si="2"/>
        <v>1242274.1274999999</v>
      </c>
      <c r="L25" s="34">
        <f t="shared" si="2"/>
        <v>565910.79649999994</v>
      </c>
      <c r="M25" s="34">
        <f t="shared" si="2"/>
        <v>112000</v>
      </c>
      <c r="N25" s="34">
        <f t="shared" si="2"/>
        <v>0</v>
      </c>
      <c r="O25" s="34">
        <f t="shared" si="2"/>
        <v>0</v>
      </c>
      <c r="P25" s="34">
        <f t="shared" si="2"/>
        <v>5108503.8849999998</v>
      </c>
      <c r="Q25" s="34">
        <f t="shared" si="2"/>
        <v>2208076</v>
      </c>
      <c r="R25" s="34">
        <f t="shared" si="2"/>
        <v>2160780.75</v>
      </c>
      <c r="S25" s="34">
        <f t="shared" si="2"/>
        <v>1273762</v>
      </c>
      <c r="T25" s="34">
        <f t="shared" si="2"/>
        <v>545949</v>
      </c>
      <c r="U25" s="34">
        <f t="shared" si="2"/>
        <v>0</v>
      </c>
      <c r="V25" s="34">
        <f t="shared" si="2"/>
        <v>360000</v>
      </c>
      <c r="W25" s="34">
        <f t="shared" si="2"/>
        <v>0</v>
      </c>
      <c r="X25" s="34">
        <f t="shared" si="2"/>
        <v>1473746</v>
      </c>
      <c r="Y25" s="34">
        <f t="shared" si="2"/>
        <v>470585</v>
      </c>
      <c r="Z25" s="34">
        <f t="shared" si="2"/>
        <v>1975506</v>
      </c>
      <c r="AA25" s="34">
        <f t="shared" si="2"/>
        <v>757012</v>
      </c>
      <c r="AB25" s="34">
        <f t="shared" si="2"/>
        <v>0</v>
      </c>
      <c r="AC25" s="34">
        <f t="shared" si="2"/>
        <v>0</v>
      </c>
      <c r="AD25" s="34">
        <f t="shared" si="2"/>
        <v>356700</v>
      </c>
      <c r="AE25" s="34">
        <f t="shared" si="2"/>
        <v>356700</v>
      </c>
      <c r="AF25" s="34">
        <f t="shared" si="2"/>
        <v>356700</v>
      </c>
      <c r="AG25" s="34">
        <f t="shared" si="2"/>
        <v>356700</v>
      </c>
      <c r="AH25" s="34">
        <f t="shared" si="2"/>
        <v>1437605.7785999998</v>
      </c>
      <c r="AI25" s="34">
        <f t="shared" si="2"/>
        <v>0</v>
      </c>
      <c r="AJ25" s="34">
        <f t="shared" si="2"/>
        <v>0</v>
      </c>
      <c r="AK25" s="34">
        <f t="shared" si="2"/>
        <v>356700</v>
      </c>
      <c r="AL25" s="34">
        <f t="shared" si="2"/>
        <v>356700</v>
      </c>
      <c r="AM25" s="34">
        <f t="shared" si="2"/>
        <v>356700</v>
      </c>
      <c r="AN25" s="34">
        <f t="shared" si="2"/>
        <v>0</v>
      </c>
      <c r="AO25" s="34">
        <f t="shared" si="2"/>
        <v>691000</v>
      </c>
      <c r="AP25" s="34">
        <f t="shared" si="2"/>
        <v>0</v>
      </c>
      <c r="AQ25" s="34">
        <f t="shared" si="2"/>
        <v>0</v>
      </c>
    </row>
    <row r="26" spans="1:43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</row>
    <row r="27" spans="1:43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</row>
    <row r="28" spans="1:43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</row>
    <row r="29" spans="1:43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</row>
    <row r="30" spans="1:43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90">
        <v>2000000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</row>
    <row r="31" spans="1:43" s="1" customFormat="1" x14ac:dyDescent="0.2">
      <c r="A31" s="36" t="s">
        <v>7</v>
      </c>
      <c r="B31" s="23" t="s">
        <v>8</v>
      </c>
      <c r="C31" s="60"/>
      <c r="D31" s="24"/>
      <c r="E31" s="100">
        <v>1431642.25</v>
      </c>
      <c r="F31" s="24">
        <f>643714.22/2</f>
        <v>321857.11</v>
      </c>
      <c r="H31" s="24"/>
      <c r="J31" s="24"/>
      <c r="K31" s="24"/>
      <c r="L31" s="24"/>
      <c r="M31" s="24"/>
      <c r="N31" s="24"/>
      <c r="O31" s="24"/>
      <c r="P31" s="24">
        <v>560000</v>
      </c>
      <c r="Q31" s="24"/>
      <c r="R31" s="24"/>
      <c r="S31" s="24"/>
      <c r="T31" s="24"/>
      <c r="U31" s="24"/>
      <c r="V31" s="24">
        <v>360000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</row>
    <row r="32" spans="1:43" s="1" customFormat="1" x14ac:dyDescent="0.2">
      <c r="A32" s="36" t="s">
        <v>118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>
        <v>271506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</row>
    <row r="33" spans="1:43" s="1" customFormat="1" x14ac:dyDescent="0.2">
      <c r="A33" s="36" t="s">
        <v>54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</row>
    <row r="34" spans="1:43" s="1" customFormat="1" x14ac:dyDescent="0.2">
      <c r="A34" s="36" t="s">
        <v>71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>
        <v>200113.9</v>
      </c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</row>
    <row r="35" spans="1:43" s="1" customFormat="1" x14ac:dyDescent="0.2">
      <c r="A35" s="36" t="s">
        <v>53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N35" s="24"/>
      <c r="O35" s="24"/>
      <c r="Q35" s="24"/>
      <c r="R35" s="24"/>
      <c r="S35" s="24"/>
      <c r="T35" s="24">
        <v>545949</v>
      </c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</row>
    <row r="36" spans="1:43" s="1" customFormat="1" ht="11.25" customHeight="1" x14ac:dyDescent="0.2">
      <c r="A36" s="47"/>
      <c r="B36" s="48"/>
      <c r="C36" s="67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spans="1:43" s="71" customFormat="1" x14ac:dyDescent="0.2">
      <c r="A37" s="69" t="s">
        <v>14</v>
      </c>
      <c r="B37" s="25" t="s">
        <v>30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N37" s="24"/>
      <c r="O37" s="24"/>
      <c r="P37" s="24"/>
      <c r="Q37" s="24"/>
      <c r="S37" s="24"/>
      <c r="T37" s="24"/>
      <c r="U37" s="24"/>
      <c r="V37" s="24"/>
      <c r="W37" s="24"/>
      <c r="X37" s="24"/>
      <c r="Y37" s="100">
        <v>341779</v>
      </c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</row>
    <row r="38" spans="1:43" s="71" customFormat="1" x14ac:dyDescent="0.2">
      <c r="A38" s="69" t="s">
        <v>115</v>
      </c>
      <c r="B38" s="25" t="s">
        <v>116</v>
      </c>
      <c r="C38" s="70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00">
        <v>156160</v>
      </c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</row>
    <row r="39" spans="1:43" s="71" customFormat="1" x14ac:dyDescent="0.2">
      <c r="A39" s="69" t="s">
        <v>117</v>
      </c>
      <c r="B39" s="25" t="s">
        <v>119</v>
      </c>
      <c r="C39" s="70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8"/>
      <c r="T39" s="24"/>
      <c r="U39" s="24"/>
      <c r="V39" s="24"/>
      <c r="W39" s="24"/>
      <c r="X39" s="24"/>
      <c r="Y39" s="24"/>
      <c r="Z39" s="24"/>
      <c r="AA39" s="28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100">
        <v>691000</v>
      </c>
      <c r="AP39" s="24"/>
      <c r="AQ39" s="24"/>
    </row>
    <row r="40" spans="1:43" s="71" customFormat="1" x14ac:dyDescent="0.2">
      <c r="A40" s="69" t="s">
        <v>97</v>
      </c>
      <c r="B40" s="25" t="s">
        <v>98</v>
      </c>
      <c r="C40" s="70"/>
      <c r="D40" s="24"/>
      <c r="E40" s="24"/>
      <c r="F40" s="24"/>
      <c r="G40" s="24"/>
      <c r="H40" s="24"/>
      <c r="I40" s="24"/>
      <c r="J40" s="24"/>
      <c r="K40" s="100">
        <v>311400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</row>
    <row r="41" spans="1:43" s="71" customFormat="1" x14ac:dyDescent="0.2">
      <c r="A41" s="69" t="s">
        <v>17</v>
      </c>
      <c r="B41" s="25" t="s">
        <v>41</v>
      </c>
      <c r="C41" s="70">
        <f>1375000-500000-175000</f>
        <v>700000</v>
      </c>
      <c r="D41" s="24"/>
      <c r="E41" s="24"/>
      <c r="G41" s="24"/>
      <c r="H41" s="24"/>
      <c r="I41" s="129">
        <v>175000</v>
      </c>
      <c r="K41" s="129">
        <v>175000</v>
      </c>
      <c r="N41" s="24"/>
      <c r="O41" s="24"/>
      <c r="P41" s="24"/>
      <c r="Q41" s="129">
        <v>175000</v>
      </c>
      <c r="R41" s="24"/>
      <c r="S41" s="129">
        <v>175000</v>
      </c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</row>
    <row r="42" spans="1:43" s="71" customFormat="1" x14ac:dyDescent="0.2">
      <c r="A42" s="69" t="s">
        <v>15</v>
      </c>
      <c r="B42" s="25" t="s">
        <v>31</v>
      </c>
      <c r="C42" s="70">
        <f>1289912-50000-50000-75000-124688-100000</f>
        <v>890224</v>
      </c>
      <c r="D42" s="24"/>
      <c r="E42" s="100">
        <v>100000</v>
      </c>
      <c r="F42" s="108">
        <v>100000</v>
      </c>
      <c r="G42" s="24"/>
      <c r="H42" s="24"/>
      <c r="I42" s="108">
        <v>104464</v>
      </c>
      <c r="J42" s="108">
        <f>150000-60000</f>
        <v>90000</v>
      </c>
      <c r="K42" s="108">
        <v>100000</v>
      </c>
      <c r="L42" s="108">
        <v>100000</v>
      </c>
      <c r="M42" s="28"/>
      <c r="N42" s="28"/>
      <c r="O42" s="24"/>
      <c r="P42" s="108">
        <v>65224</v>
      </c>
      <c r="Q42" s="108">
        <v>90224</v>
      </c>
      <c r="R42" s="108">
        <v>115224</v>
      </c>
      <c r="S42" s="108">
        <v>25000</v>
      </c>
      <c r="T42" s="24"/>
      <c r="U42" s="24"/>
      <c r="V42" s="24"/>
      <c r="X42" s="98">
        <f>515224/4</f>
        <v>128806</v>
      </c>
      <c r="Y42" s="98">
        <f>515224/4</f>
        <v>128806</v>
      </c>
      <c r="Z42" s="98">
        <f>515224/4</f>
        <v>128806</v>
      </c>
      <c r="AA42" s="98">
        <f>515224/4</f>
        <v>128806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</row>
    <row r="43" spans="1:43" s="71" customFormat="1" x14ac:dyDescent="0.2">
      <c r="A43" s="69" t="s">
        <v>19</v>
      </c>
      <c r="B43" s="25" t="s">
        <v>46</v>
      </c>
      <c r="C43" s="70">
        <f>2500*A3</f>
        <v>219933.25</v>
      </c>
      <c r="D43" s="24"/>
      <c r="E43" s="100">
        <f>2000*$A$3</f>
        <v>175946.59999999998</v>
      </c>
      <c r="F43" s="129">
        <f>500*$A$3</f>
        <v>43986.649999999994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</row>
    <row r="44" spans="1:43" s="71" customFormat="1" x14ac:dyDescent="0.2">
      <c r="A44" s="69" t="s">
        <v>16</v>
      </c>
      <c r="B44" s="25" t="s">
        <v>32</v>
      </c>
      <c r="C44" s="70">
        <f>722080-56200-49941-90880-100000</f>
        <v>425059</v>
      </c>
      <c r="D44" s="24"/>
      <c r="F44" s="108">
        <f>66588+33294</f>
        <v>99882</v>
      </c>
      <c r="G44" s="24"/>
      <c r="H44" s="24"/>
      <c r="I44" s="108">
        <f>66588+33294+99882</f>
        <v>199764</v>
      </c>
      <c r="J44" s="108">
        <f>(66588+33294)/2</f>
        <v>49941</v>
      </c>
      <c r="L44" s="108">
        <f>66588+33294+35506</f>
        <v>135388</v>
      </c>
      <c r="M44" s="24"/>
      <c r="N44" s="24"/>
      <c r="O44" s="24"/>
      <c r="P44" s="108">
        <f>499410/4</f>
        <v>124852.5</v>
      </c>
      <c r="Q44" s="108">
        <f>499410/4</f>
        <v>124852.5</v>
      </c>
      <c r="R44" s="108">
        <f>499410/4</f>
        <v>124852.5</v>
      </c>
      <c r="S44" s="108">
        <f>499410/4</f>
        <v>124852.5</v>
      </c>
      <c r="T44" s="24"/>
      <c r="U44" s="24"/>
      <c r="V44" s="24"/>
      <c r="W44" s="24"/>
      <c r="X44" s="95">
        <v>332940</v>
      </c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</row>
    <row r="45" spans="1:43" s="71" customFormat="1" x14ac:dyDescent="0.2">
      <c r="A45" s="69" t="s">
        <v>85</v>
      </c>
      <c r="B45" s="25" t="s">
        <v>47</v>
      </c>
      <c r="C45" s="70" t="s">
        <v>89</v>
      </c>
      <c r="D45" s="24"/>
      <c r="E45" s="24"/>
      <c r="F45" s="24"/>
      <c r="G45" s="24"/>
      <c r="H45" s="24"/>
      <c r="I45" s="108">
        <f>645*$A$6</f>
        <v>48374.677499999998</v>
      </c>
      <c r="J45" s="108">
        <f>645*$A$6</f>
        <v>48374.677499999998</v>
      </c>
      <c r="K45" s="108">
        <f>645*$A$6</f>
        <v>48374.677499999998</v>
      </c>
      <c r="L45" s="108">
        <f>645*$A$6</f>
        <v>48374.677499999998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</row>
    <row r="46" spans="1:43" s="71" customFormat="1" x14ac:dyDescent="0.2">
      <c r="A46" s="69" t="s">
        <v>120</v>
      </c>
      <c r="B46" s="25" t="s">
        <v>121</v>
      </c>
      <c r="C46" s="76"/>
      <c r="D46" s="24"/>
      <c r="E46" s="24"/>
      <c r="F46" s="24"/>
      <c r="G46" s="24"/>
      <c r="H46" s="24"/>
      <c r="I46" s="28"/>
      <c r="J46" s="28"/>
      <c r="K46" s="28"/>
      <c r="L46" s="28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100">
        <v>507000</v>
      </c>
      <c r="AI46" s="24"/>
      <c r="AJ46" s="24"/>
      <c r="AK46" s="24"/>
      <c r="AL46" s="24"/>
      <c r="AM46" s="24"/>
      <c r="AN46" s="24"/>
      <c r="AO46" s="24"/>
      <c r="AP46" s="24"/>
      <c r="AQ46" s="24"/>
    </row>
    <row r="47" spans="1:43" s="73" customFormat="1" x14ac:dyDescent="0.2">
      <c r="A47" s="69" t="s">
        <v>22</v>
      </c>
      <c r="B47" s="25" t="s">
        <v>48</v>
      </c>
      <c r="C47" s="137"/>
      <c r="D47" s="72"/>
      <c r="E47" s="24"/>
      <c r="F47" s="24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138">
        <f>52206*A9</f>
        <v>573905.77859999996</v>
      </c>
      <c r="AI47" s="72"/>
      <c r="AJ47" s="72"/>
      <c r="AK47" s="72"/>
      <c r="AL47" s="72"/>
      <c r="AM47" s="72"/>
      <c r="AN47" s="72"/>
      <c r="AO47" s="72"/>
      <c r="AP47" s="72"/>
      <c r="AQ47" s="72"/>
    </row>
    <row r="48" spans="1:43" s="73" customFormat="1" x14ac:dyDescent="0.2">
      <c r="A48" s="69" t="s">
        <v>108</v>
      </c>
      <c r="B48" s="25" t="s">
        <v>109</v>
      </c>
      <c r="C48" s="120"/>
      <c r="D48" s="72"/>
      <c r="E48" s="72"/>
      <c r="F48" s="24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</row>
    <row r="49" spans="1:43" s="71" customFormat="1" x14ac:dyDescent="0.2">
      <c r="A49" s="69" t="s">
        <v>36</v>
      </c>
      <c r="B49" s="25" t="s">
        <v>37</v>
      </c>
      <c r="C49" s="130"/>
      <c r="D49" s="24"/>
      <c r="E49" s="24"/>
      <c r="F49" s="24"/>
      <c r="G49" s="24"/>
      <c r="H49" s="24"/>
      <c r="J49" s="24"/>
      <c r="K49" s="24"/>
      <c r="L49" s="100">
        <f>2662*A6</f>
        <v>199648.66899999999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</row>
    <row r="50" spans="1:43" s="71" customFormat="1" x14ac:dyDescent="0.2">
      <c r="A50" s="69" t="s">
        <v>86</v>
      </c>
      <c r="B50" s="25" t="s">
        <v>35</v>
      </c>
      <c r="C50" s="70">
        <f>1600*$A$6+2400*A6+4050*A6-500*A6-500*A6</f>
        <v>528746.47499999998</v>
      </c>
      <c r="D50" s="77"/>
      <c r="E50" s="24"/>
      <c r="F50" s="95">
        <f>600*$A$6</f>
        <v>44999.7</v>
      </c>
      <c r="G50" s="24"/>
      <c r="H50" s="24"/>
      <c r="I50" s="108">
        <f>600*$A$6</f>
        <v>44999.7</v>
      </c>
      <c r="J50" s="108">
        <f>600*$A$6</f>
        <v>44999.7</v>
      </c>
      <c r="K50" s="108">
        <f>600*$A$6</f>
        <v>44999.7</v>
      </c>
      <c r="L50" s="108">
        <f>600*$A$6</f>
        <v>44999.7</v>
      </c>
      <c r="M50" s="24"/>
      <c r="N50" s="24"/>
      <c r="O50" s="24"/>
      <c r="P50" s="108">
        <f>1050*$A$6</f>
        <v>78749.474999999991</v>
      </c>
      <c r="Q50" s="108">
        <f>1000*$A$6</f>
        <v>74999.5</v>
      </c>
      <c r="R50" s="108">
        <f>1000*$A$6</f>
        <v>74999.5</v>
      </c>
      <c r="S50" s="108">
        <f>1000*$A$6</f>
        <v>74999.5</v>
      </c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</row>
    <row r="51" spans="1:43" s="71" customFormat="1" x14ac:dyDescent="0.2">
      <c r="A51" s="69" t="s">
        <v>111</v>
      </c>
      <c r="B51" s="25" t="s">
        <v>112</v>
      </c>
      <c r="C51" s="70"/>
      <c r="D51" s="77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</row>
    <row r="52" spans="1:43" s="71" customFormat="1" x14ac:dyDescent="0.2">
      <c r="A52" s="69" t="s">
        <v>29</v>
      </c>
      <c r="B52" s="25" t="s">
        <v>42</v>
      </c>
      <c r="C52" s="70">
        <v>20000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</row>
    <row r="53" spans="1:43" s="71" customFormat="1" x14ac:dyDescent="0.2">
      <c r="A53" s="69" t="s">
        <v>29</v>
      </c>
      <c r="B53" s="25" t="s">
        <v>43</v>
      </c>
      <c r="C53" s="70">
        <v>439750</v>
      </c>
      <c r="D53" s="24"/>
      <c r="E53" s="24"/>
      <c r="G53" s="24"/>
      <c r="H53" s="24"/>
      <c r="I53" s="95">
        <v>100000</v>
      </c>
      <c r="J53" s="24"/>
      <c r="K53" s="95">
        <v>100000</v>
      </c>
      <c r="N53" s="24"/>
      <c r="O53" s="24"/>
      <c r="P53" s="95">
        <v>100000</v>
      </c>
      <c r="Q53" s="24"/>
      <c r="R53" s="24"/>
      <c r="S53" s="95">
        <v>139750</v>
      </c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</row>
    <row r="54" spans="1:43" s="71" customFormat="1" x14ac:dyDescent="0.2">
      <c r="A54" s="69" t="s">
        <v>104</v>
      </c>
      <c r="B54" s="25" t="s">
        <v>105</v>
      </c>
      <c r="C54" s="70"/>
      <c r="D54" s="77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</row>
    <row r="55" spans="1:43" s="71" customFormat="1" x14ac:dyDescent="0.2">
      <c r="A55" s="69" t="s">
        <v>99</v>
      </c>
      <c r="B55" s="25" t="s">
        <v>100</v>
      </c>
      <c r="C55" s="70"/>
      <c r="D55" s="77"/>
      <c r="E55" s="100">
        <f>(581.75/2)*$A$3</f>
        <v>25589.233637499998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</row>
    <row r="56" spans="1:43" s="71" customFormat="1" x14ac:dyDescent="0.2">
      <c r="A56" s="69" t="s">
        <v>29</v>
      </c>
      <c r="B56" s="25" t="s">
        <v>55</v>
      </c>
      <c r="C56" s="70">
        <f>2500*A6</f>
        <v>187498.75</v>
      </c>
      <c r="D56" s="24"/>
      <c r="E56" s="100">
        <f>1000*$A$6</f>
        <v>74999.5</v>
      </c>
      <c r="F56" s="28"/>
      <c r="G56" s="24"/>
      <c r="H56" s="24"/>
      <c r="I56" s="95">
        <f>500*$A$6</f>
        <v>37499.75</v>
      </c>
      <c r="J56" s="24"/>
      <c r="K56" s="95">
        <f>500*$A$6</f>
        <v>37499.75</v>
      </c>
      <c r="L56" s="95">
        <f>500*$A$6</f>
        <v>37499.75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</row>
    <row r="57" spans="1:43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100">
        <v>1878</v>
      </c>
      <c r="J57" s="24"/>
      <c r="K57" s="24"/>
      <c r="L57" s="24"/>
      <c r="M57" s="24"/>
      <c r="N57" s="24"/>
      <c r="O57" s="24"/>
      <c r="P57" s="24"/>
      <c r="Q57" s="24"/>
      <c r="R57" s="100">
        <v>2090</v>
      </c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</row>
    <row r="58" spans="1:43" s="71" customFormat="1" x14ac:dyDescent="0.2">
      <c r="A58" s="69" t="s">
        <v>90</v>
      </c>
      <c r="B58" s="25" t="s">
        <v>91</v>
      </c>
      <c r="C58" s="70"/>
      <c r="D58" s="77"/>
      <c r="E58" s="24"/>
      <c r="F58" s="24"/>
      <c r="G58" s="24"/>
      <c r="H58" s="24"/>
      <c r="J58" s="24"/>
      <c r="K58" s="24"/>
      <c r="L58" s="24"/>
      <c r="M58" s="24"/>
      <c r="O58" s="24"/>
      <c r="P58" s="100">
        <f>1012000/4</f>
        <v>253000</v>
      </c>
      <c r="Q58" s="100">
        <f>1012000/4</f>
        <v>253000</v>
      </c>
      <c r="R58" s="100">
        <f>1012000/4</f>
        <v>253000</v>
      </c>
      <c r="S58" s="100">
        <f>1012000/4</f>
        <v>253000</v>
      </c>
      <c r="T58" s="24"/>
      <c r="U58" s="24"/>
      <c r="V58" s="24"/>
      <c r="W58" s="24"/>
      <c r="X58" s="100">
        <v>1012000</v>
      </c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</row>
    <row r="59" spans="1:43" s="71" customFormat="1" x14ac:dyDescent="0.2">
      <c r="A59" s="69" t="s">
        <v>106</v>
      </c>
      <c r="B59" s="25" t="s">
        <v>107</v>
      </c>
      <c r="C59" s="70"/>
      <c r="D59" s="77"/>
      <c r="E59" s="24"/>
      <c r="F59" s="100">
        <v>10000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</row>
    <row r="60" spans="1:43" s="71" customFormat="1" x14ac:dyDescent="0.2">
      <c r="A60" s="69" t="s">
        <v>102</v>
      </c>
      <c r="B60" s="25" t="s">
        <v>103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</row>
    <row r="61" spans="1:43" s="71" customFormat="1" x14ac:dyDescent="0.2">
      <c r="A61" s="132" t="s">
        <v>113</v>
      </c>
      <c r="B61" s="133" t="s">
        <v>114</v>
      </c>
      <c r="C61" s="70"/>
      <c r="D61" s="77"/>
      <c r="F61" s="100">
        <v>250000</v>
      </c>
      <c r="G61" s="24"/>
      <c r="H61" s="24"/>
      <c r="I61" s="100">
        <v>250000</v>
      </c>
      <c r="J61" s="24"/>
      <c r="K61" s="100">
        <v>250000</v>
      </c>
      <c r="L61" s="24"/>
      <c r="M61" s="24"/>
      <c r="N61" s="24"/>
      <c r="O61" s="24"/>
      <c r="P61" s="100">
        <f>1732500-750000</f>
        <v>982500</v>
      </c>
      <c r="Q61" s="28"/>
      <c r="R61" s="24"/>
      <c r="S61" s="28"/>
      <c r="T61" s="28"/>
      <c r="U61" s="28"/>
      <c r="V61" s="28"/>
      <c r="W61" s="28"/>
      <c r="X61" s="28"/>
      <c r="Y61" s="28"/>
      <c r="Z61" s="28"/>
      <c r="AA61" s="24"/>
      <c r="AB61" s="24"/>
      <c r="AC61" s="24"/>
      <c r="AD61" s="24"/>
      <c r="AE61" s="28"/>
      <c r="AF61" s="28"/>
      <c r="AG61" s="28"/>
      <c r="AH61" s="28"/>
      <c r="AI61" s="28"/>
      <c r="AJ61" s="28"/>
      <c r="AK61" s="28"/>
      <c r="AL61" s="28"/>
      <c r="AM61" s="24"/>
      <c r="AN61" s="24"/>
      <c r="AO61" s="24"/>
      <c r="AP61" s="24"/>
      <c r="AQ61" s="24"/>
    </row>
    <row r="62" spans="1:43" s="71" customFormat="1" x14ac:dyDescent="0.2">
      <c r="A62" s="69" t="s">
        <v>34</v>
      </c>
      <c r="B62" s="25" t="s">
        <v>45</v>
      </c>
      <c r="C62" s="70">
        <f>1014000-100000-100000+400</f>
        <v>814400</v>
      </c>
      <c r="D62" s="77"/>
      <c r="E62" s="124">
        <v>50000</v>
      </c>
      <c r="F62" s="106">
        <v>75000</v>
      </c>
      <c r="G62" s="24"/>
      <c r="H62" s="24"/>
      <c r="I62" s="108">
        <v>114400</v>
      </c>
      <c r="J62" s="24"/>
      <c r="K62" s="106">
        <v>175000</v>
      </c>
      <c r="L62" s="24"/>
      <c r="N62" s="24"/>
      <c r="O62" s="24"/>
      <c r="P62" s="106">
        <v>75000</v>
      </c>
      <c r="R62" s="24"/>
      <c r="S62" s="108">
        <v>325000</v>
      </c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 t="s">
        <v>89</v>
      </c>
      <c r="AL62" s="24"/>
      <c r="AM62" s="24"/>
      <c r="AN62" s="24"/>
      <c r="AO62" s="24"/>
      <c r="AP62" s="24"/>
      <c r="AQ62" s="24"/>
    </row>
    <row r="63" spans="1:43" s="71" customFormat="1" x14ac:dyDescent="0.2">
      <c r="A63" s="69" t="s">
        <v>101</v>
      </c>
      <c r="B63" s="25"/>
      <c r="C63" s="70"/>
      <c r="D63" s="77"/>
      <c r="E63" s="24"/>
      <c r="F63" s="108">
        <v>50000</v>
      </c>
      <c r="G63" s="24"/>
      <c r="H63" s="24"/>
      <c r="I63" s="108">
        <v>120000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</row>
    <row r="64" spans="1:43" s="71" customFormat="1" x14ac:dyDescent="0.2">
      <c r="A64" s="69" t="s">
        <v>38</v>
      </c>
      <c r="B64" s="25" t="s">
        <v>39</v>
      </c>
      <c r="C64" s="70"/>
      <c r="D64" s="24"/>
      <c r="F64" s="100">
        <v>24000</v>
      </c>
      <c r="G64" s="24"/>
      <c r="H64" s="24"/>
      <c r="I64" s="100">
        <v>27000</v>
      </c>
      <c r="J64" s="100">
        <v>34850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</row>
    <row r="65" spans="1:43" s="71" customFormat="1" x14ac:dyDescent="0.2">
      <c r="A65" s="69" t="s">
        <v>74</v>
      </c>
      <c r="B65" s="25" t="s">
        <v>83</v>
      </c>
      <c r="C65" s="70"/>
      <c r="D65" s="24"/>
      <c r="E65" s="24"/>
      <c r="F65" s="98">
        <f>104492.6-69560</f>
        <v>34932.600000000006</v>
      </c>
      <c r="G65" s="24"/>
      <c r="H65" s="24"/>
      <c r="I65" s="24"/>
      <c r="J65" s="24"/>
      <c r="K65" s="24"/>
      <c r="L65" s="24"/>
      <c r="M65" s="24"/>
      <c r="N65" s="24"/>
      <c r="O65" s="24"/>
      <c r="Q65" s="24"/>
      <c r="R65" s="24"/>
      <c r="S65" s="24"/>
      <c r="T65" s="24"/>
      <c r="U65" s="24"/>
      <c r="V65" s="24"/>
      <c r="W65" s="24"/>
      <c r="X65" s="24"/>
      <c r="Y65" s="24"/>
      <c r="Z65" s="108">
        <f>3567000/10</f>
        <v>356700</v>
      </c>
      <c r="AA65" s="108">
        <f>3567000/10</f>
        <v>356700</v>
      </c>
      <c r="AB65" s="28"/>
      <c r="AC65" s="28"/>
      <c r="AD65" s="108">
        <f>3567000/10</f>
        <v>356700</v>
      </c>
      <c r="AE65" s="108">
        <f>3567000/10</f>
        <v>356700</v>
      </c>
      <c r="AF65" s="108">
        <f>3567000/10</f>
        <v>356700</v>
      </c>
      <c r="AG65" s="108">
        <f>3567000/10</f>
        <v>356700</v>
      </c>
      <c r="AH65" s="108">
        <f>3567000/10</f>
        <v>356700</v>
      </c>
      <c r="AI65" s="28"/>
      <c r="AJ65" s="28"/>
      <c r="AK65" s="108">
        <f>3567000/10</f>
        <v>356700</v>
      </c>
      <c r="AL65" s="108">
        <f>3567000/10</f>
        <v>356700</v>
      </c>
      <c r="AM65" s="108">
        <f>3567000/10</f>
        <v>356700</v>
      </c>
      <c r="AN65" s="24"/>
      <c r="AO65" s="24"/>
      <c r="AP65" s="24"/>
      <c r="AQ65" s="24"/>
    </row>
    <row r="66" spans="1:43" s="73" customFormat="1" ht="2.25" customHeight="1" x14ac:dyDescent="0.2">
      <c r="A66" s="78"/>
      <c r="B66" s="79"/>
      <c r="C66" s="75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 t="s">
        <v>89</v>
      </c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</row>
    <row r="67" spans="1:43" s="94" customFormat="1" ht="33.75" x14ac:dyDescent="0.2">
      <c r="A67" s="91" t="s">
        <v>60</v>
      </c>
      <c r="B67" s="92" t="s">
        <v>58</v>
      </c>
      <c r="C67" s="93">
        <v>248639.70012000017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</row>
    <row r="68" spans="1:43" s="94" customFormat="1" ht="33.75" x14ac:dyDescent="0.2">
      <c r="A68" s="91" t="s">
        <v>60</v>
      </c>
      <c r="B68" s="92" t="s">
        <v>59</v>
      </c>
      <c r="C68" s="93">
        <v>0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</row>
    <row r="69" spans="1:43" s="5" customFormat="1" ht="2.25" customHeight="1" x14ac:dyDescent="0.2">
      <c r="A69" s="42"/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</row>
    <row r="70" spans="1:43" s="5" customFormat="1" x14ac:dyDescent="0.2">
      <c r="A70" s="36" t="s">
        <v>49</v>
      </c>
      <c r="B70" s="12"/>
      <c r="C70" s="13"/>
      <c r="D70" s="26"/>
      <c r="E70" s="13"/>
      <c r="F70" s="13"/>
      <c r="G70" s="13"/>
      <c r="H70" s="13"/>
      <c r="I70" s="13"/>
      <c r="J70" s="13"/>
      <c r="K70" s="13"/>
      <c r="L70" s="13"/>
      <c r="M70" s="13"/>
      <c r="O70" s="13"/>
      <c r="P70" s="126">
        <v>1369064.01</v>
      </c>
      <c r="Q70" s="13">
        <v>1490000</v>
      </c>
      <c r="R70" s="13">
        <v>1200614.75</v>
      </c>
      <c r="S70" s="13"/>
      <c r="T70" s="13"/>
      <c r="U70" s="13"/>
      <c r="V70" s="13"/>
      <c r="W70" s="13"/>
      <c r="X70" s="13"/>
      <c r="Y70" s="13"/>
      <c r="Z70" s="13">
        <v>1490000</v>
      </c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</row>
    <row r="71" spans="1:43" s="5" customFormat="1" x14ac:dyDescent="0.2">
      <c r="A71" s="36" t="s">
        <v>57</v>
      </c>
      <c r="B71" s="12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>
        <v>1300000</v>
      </c>
      <c r="Q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</row>
    <row r="72" spans="1:43" s="5" customFormat="1" x14ac:dyDescent="0.2">
      <c r="A72" s="36" t="s">
        <v>61</v>
      </c>
      <c r="B72" s="12"/>
      <c r="C72" s="68"/>
      <c r="D72" s="26"/>
      <c r="E72" s="13"/>
      <c r="F72" s="13"/>
      <c r="G72" s="13"/>
      <c r="H72" s="13"/>
      <c r="J72" s="13"/>
      <c r="K72" s="13"/>
      <c r="L72" s="13"/>
      <c r="M72" s="13">
        <v>112000</v>
      </c>
      <c r="N72" s="13"/>
      <c r="O72" s="13"/>
      <c r="P72" s="13"/>
      <c r="Q72" s="13"/>
      <c r="R72" s="13">
        <v>390000</v>
      </c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</row>
    <row r="73" spans="1:43" s="5" customFormat="1" ht="2.25" customHeight="1" x14ac:dyDescent="0.2">
      <c r="A73" s="42"/>
      <c r="B73" s="12"/>
      <c r="C73" s="68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</row>
    <row r="74" spans="1:43" s="5" customFormat="1" x14ac:dyDescent="0.2">
      <c r="A74" s="36" t="s">
        <v>72</v>
      </c>
      <c r="B74" s="27" t="s">
        <v>73</v>
      </c>
      <c r="C74" s="62">
        <v>3637079.2460000003</v>
      </c>
      <c r="D74" s="35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</row>
    <row r="75" spans="1:43" s="5" customFormat="1" ht="2.25" customHeight="1" x14ac:dyDescent="0.2">
      <c r="A75" s="42"/>
      <c r="B75" s="12"/>
      <c r="C75" s="61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</row>
    <row r="76" spans="1:43" s="84" customFormat="1" x14ac:dyDescent="0.2">
      <c r="A76" s="81" t="s">
        <v>66</v>
      </c>
      <c r="B76" s="82"/>
      <c r="C76" s="63"/>
      <c r="D76" s="83"/>
      <c r="E76" s="83">
        <f>$C$5+E16-E25</f>
        <v>5699884.2763625002</v>
      </c>
      <c r="F76" s="83">
        <f t="shared" ref="F76:AQ76" si="3">E76+F16-F25</f>
        <v>5145226.2163625006</v>
      </c>
      <c r="G76" s="83">
        <f t="shared" si="3"/>
        <v>5145226.2163625006</v>
      </c>
      <c r="H76" s="83">
        <f t="shared" si="3"/>
        <v>5145226.2163625006</v>
      </c>
      <c r="I76" s="83">
        <f t="shared" si="3"/>
        <v>3921846.0888625006</v>
      </c>
      <c r="J76" s="83">
        <f t="shared" si="3"/>
        <v>1653680.7113625002</v>
      </c>
      <c r="K76" s="83">
        <f t="shared" si="3"/>
        <v>411406.58386250027</v>
      </c>
      <c r="L76" s="83">
        <f t="shared" si="3"/>
        <v>-154504.21263749967</v>
      </c>
      <c r="M76" s="83">
        <f t="shared" si="3"/>
        <v>-266504.21263749967</v>
      </c>
      <c r="N76" s="83">
        <f t="shared" si="3"/>
        <v>6770995.7873625001</v>
      </c>
      <c r="O76" s="83">
        <f t="shared" si="3"/>
        <v>6770995.7873625001</v>
      </c>
      <c r="P76" s="83">
        <f t="shared" si="3"/>
        <v>1662491.9023625003</v>
      </c>
      <c r="Q76" s="83">
        <f t="shared" si="3"/>
        <v>-545584.09763749968</v>
      </c>
      <c r="R76" s="83">
        <f t="shared" si="3"/>
        <v>-2706364.8476374997</v>
      </c>
      <c r="S76" s="83">
        <f t="shared" si="3"/>
        <v>-3980126.8476374997</v>
      </c>
      <c r="T76" s="83">
        <f t="shared" si="3"/>
        <v>-4526075.8476374997</v>
      </c>
      <c r="U76" s="83">
        <f t="shared" si="3"/>
        <v>-4526075.8476374997</v>
      </c>
      <c r="V76" s="83">
        <f t="shared" si="3"/>
        <v>-4886075.8476374997</v>
      </c>
      <c r="W76" s="83">
        <f t="shared" si="3"/>
        <v>-1807010.3476374997</v>
      </c>
      <c r="X76" s="83">
        <f t="shared" si="3"/>
        <v>-3280756.3476374997</v>
      </c>
      <c r="Y76" s="83">
        <f t="shared" si="3"/>
        <v>-3751341.3476374997</v>
      </c>
      <c r="Z76" s="83">
        <f t="shared" si="3"/>
        <v>2155652.6523625003</v>
      </c>
      <c r="AA76" s="83">
        <f t="shared" si="3"/>
        <v>1398640.6523625003</v>
      </c>
      <c r="AB76" s="83">
        <f t="shared" si="3"/>
        <v>1398640.6523625003</v>
      </c>
      <c r="AC76" s="83">
        <f t="shared" si="3"/>
        <v>1398640.6523625003</v>
      </c>
      <c r="AD76" s="83">
        <f t="shared" si="3"/>
        <v>1041940.6523625003</v>
      </c>
      <c r="AE76" s="83">
        <f t="shared" si="3"/>
        <v>685240.65236250032</v>
      </c>
      <c r="AF76" s="83">
        <f t="shared" si="3"/>
        <v>328540.65236250032</v>
      </c>
      <c r="AG76" s="83">
        <f t="shared" si="3"/>
        <v>-28159.347637499683</v>
      </c>
      <c r="AH76" s="83">
        <f t="shared" si="3"/>
        <v>-1465765.1262374995</v>
      </c>
      <c r="AI76" s="83">
        <f t="shared" si="3"/>
        <v>-1465765.1262374995</v>
      </c>
      <c r="AJ76" s="83">
        <f t="shared" si="3"/>
        <v>-1465765.1262374995</v>
      </c>
      <c r="AK76" s="83">
        <f t="shared" si="3"/>
        <v>-1822465.1262374995</v>
      </c>
      <c r="AL76" s="83">
        <f t="shared" si="3"/>
        <v>-2179165.1262374995</v>
      </c>
      <c r="AM76" s="83">
        <f t="shared" si="3"/>
        <v>-2535865.1262374995</v>
      </c>
      <c r="AN76" s="83">
        <f t="shared" si="3"/>
        <v>-2535865.1262374995</v>
      </c>
      <c r="AO76" s="83">
        <f t="shared" si="3"/>
        <v>-3226865.1262374995</v>
      </c>
      <c r="AP76" s="83">
        <f t="shared" si="3"/>
        <v>-3226865.1262374995</v>
      </c>
      <c r="AQ76" s="83">
        <f t="shared" si="3"/>
        <v>-3226865.1262374995</v>
      </c>
    </row>
    <row r="78" spans="1:43" s="5" customFormat="1" ht="2.25" customHeight="1" x14ac:dyDescent="0.2">
      <c r="A78" s="42"/>
      <c r="B78" s="12"/>
      <c r="C78" s="68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</row>
    <row r="79" spans="1:43" s="89" customFormat="1" ht="11.25" customHeight="1" x14ac:dyDescent="0.2">
      <c r="A79" s="85" t="s">
        <v>65</v>
      </c>
      <c r="B79" s="86"/>
      <c r="C79" s="87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</row>
    <row r="80" spans="1:43" s="5" customFormat="1" ht="22.5" x14ac:dyDescent="0.2">
      <c r="A80" s="36" t="s">
        <v>67</v>
      </c>
      <c r="B80" s="27" t="s">
        <v>68</v>
      </c>
      <c r="C80" s="68">
        <v>3221210.79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</row>
    <row r="81" spans="1:43" s="5" customFormat="1" x14ac:dyDescent="0.2">
      <c r="A81" s="36" t="s">
        <v>69</v>
      </c>
      <c r="B81" s="27" t="s">
        <v>70</v>
      </c>
      <c r="C81" s="68">
        <v>9814338.4000000004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</row>
    <row r="82" spans="1:43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</row>
    <row r="83" spans="1:43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</row>
    <row r="85" spans="1:43" x14ac:dyDescent="0.25">
      <c r="B85" s="14"/>
    </row>
  </sheetData>
  <pageMargins left="0.7" right="0.7" top="0.75" bottom="0.75" header="0.3" footer="0.3"/>
  <pageSetup paperSize="9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84"/>
  <sheetViews>
    <sheetView topLeftCell="A28" workbookViewId="0">
      <selection activeCell="E61" sqref="E61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26" width="10.85546875" style="3" bestFit="1" customWidth="1"/>
    <col min="27" max="27" width="11.7109375" style="3" bestFit="1" customWidth="1"/>
    <col min="28" max="44" width="10.85546875" style="3" bestFit="1" customWidth="1"/>
    <col min="45" max="16384" width="9" style="3"/>
  </cols>
  <sheetData>
    <row r="1" spans="1:44" ht="12" thickBot="1" x14ac:dyDescent="0.3"/>
    <row r="2" spans="1:44" s="1" customFormat="1" x14ac:dyDescent="0.2">
      <c r="A2" s="43" t="s">
        <v>50</v>
      </c>
      <c r="B2" s="15" t="s">
        <v>27</v>
      </c>
      <c r="C2" s="50">
        <v>8408159.2100000009</v>
      </c>
    </row>
    <row r="3" spans="1:44" s="1" customFormat="1" ht="12" thickBot="1" x14ac:dyDescent="0.25">
      <c r="A3" s="44">
        <v>87.765900000000002</v>
      </c>
      <c r="B3" s="15" t="s">
        <v>28</v>
      </c>
      <c r="C3" s="50">
        <v>10778.95</v>
      </c>
    </row>
    <row r="4" spans="1:44" s="8" customFormat="1" ht="12" thickBot="1" x14ac:dyDescent="0.25">
      <c r="A4" s="45"/>
      <c r="B4" s="15" t="s">
        <v>25</v>
      </c>
      <c r="C4" s="51">
        <v>0</v>
      </c>
    </row>
    <row r="5" spans="1:44" s="6" customFormat="1" x14ac:dyDescent="0.2">
      <c r="A5" s="43" t="s">
        <v>51</v>
      </c>
      <c r="B5" s="49" t="s">
        <v>26</v>
      </c>
      <c r="C5" s="52">
        <f>SUM(C2:C4)</f>
        <v>8418938.1600000001</v>
      </c>
    </row>
    <row r="6" spans="1:44" s="6" customFormat="1" ht="12" thickBot="1" x14ac:dyDescent="0.25">
      <c r="A6" s="44">
        <v>74.589699999999993</v>
      </c>
      <c r="B6" s="16"/>
      <c r="C6" s="53"/>
      <c r="D6" s="17"/>
    </row>
    <row r="7" spans="1:44" s="6" customFormat="1" ht="12" thickBot="1" x14ac:dyDescent="0.25">
      <c r="A7" s="105" t="s">
        <v>51</v>
      </c>
      <c r="B7" s="18" t="s">
        <v>110</v>
      </c>
      <c r="C7" s="54">
        <f>SUM(E16:AR16)</f>
        <v>18491806.5</v>
      </c>
    </row>
    <row r="8" spans="1:44" x14ac:dyDescent="0.25">
      <c r="A8" s="43" t="s">
        <v>52</v>
      </c>
      <c r="B8" s="18" t="s">
        <v>84</v>
      </c>
      <c r="C8" s="54">
        <f>SUM(E24:AR25)</f>
        <v>27874580.059162498</v>
      </c>
    </row>
    <row r="9" spans="1:44" ht="12" thickBot="1" x14ac:dyDescent="0.3">
      <c r="A9" s="44">
        <v>10.9451</v>
      </c>
      <c r="B9" s="19" t="s">
        <v>64</v>
      </c>
      <c r="C9" s="55">
        <f>C5+C7-C8-C11</f>
        <v>-9729396.5212824978</v>
      </c>
    </row>
    <row r="10" spans="1:44" x14ac:dyDescent="0.25">
      <c r="A10" s="99" t="s">
        <v>80</v>
      </c>
      <c r="B10" s="18" t="s">
        <v>23</v>
      </c>
      <c r="C10" s="56">
        <f>C16</f>
        <v>0</v>
      </c>
    </row>
    <row r="11" spans="1:44" x14ac:dyDescent="0.25">
      <c r="A11" s="101" t="s">
        <v>87</v>
      </c>
      <c r="B11" s="18" t="s">
        <v>24</v>
      </c>
      <c r="C11" s="54">
        <f>C25</f>
        <v>8765561.1221200004</v>
      </c>
    </row>
    <row r="12" spans="1:44" x14ac:dyDescent="0.25">
      <c r="A12" s="107" t="s">
        <v>88</v>
      </c>
    </row>
    <row r="13" spans="1:44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</row>
    <row r="14" spans="1:44" s="2" customFormat="1" x14ac:dyDescent="0.25">
      <c r="A14" s="64"/>
      <c r="B14" s="65"/>
      <c r="C14" s="58" t="s">
        <v>56</v>
      </c>
      <c r="D14" s="66"/>
      <c r="E14" s="66">
        <v>46134</v>
      </c>
      <c r="F14" s="66">
        <v>46135</v>
      </c>
      <c r="G14" s="66">
        <v>46136</v>
      </c>
      <c r="H14" s="66">
        <v>46137</v>
      </c>
      <c r="I14" s="66">
        <v>46138</v>
      </c>
      <c r="J14" s="66">
        <v>46139</v>
      </c>
      <c r="K14" s="66">
        <v>46140</v>
      </c>
      <c r="L14" s="66">
        <v>46141</v>
      </c>
      <c r="M14" s="66">
        <v>46142</v>
      </c>
      <c r="N14" s="66">
        <v>46143</v>
      </c>
      <c r="O14" s="66">
        <v>46144</v>
      </c>
      <c r="P14" s="66">
        <v>46145</v>
      </c>
      <c r="Q14" s="66">
        <v>46146</v>
      </c>
      <c r="R14" s="66">
        <v>46147</v>
      </c>
      <c r="S14" s="66">
        <v>46148</v>
      </c>
      <c r="T14" s="66">
        <v>46149</v>
      </c>
      <c r="U14" s="66">
        <v>46150</v>
      </c>
      <c r="V14" s="66">
        <v>46151</v>
      </c>
      <c r="W14" s="66">
        <v>46152</v>
      </c>
      <c r="X14" s="66">
        <v>46153</v>
      </c>
      <c r="Y14" s="66">
        <v>46154</v>
      </c>
      <c r="Z14" s="66">
        <v>46155</v>
      </c>
      <c r="AA14" s="66">
        <v>46156</v>
      </c>
      <c r="AB14" s="66">
        <v>46157</v>
      </c>
      <c r="AC14" s="66">
        <v>46158</v>
      </c>
      <c r="AD14" s="66">
        <v>46159</v>
      </c>
      <c r="AE14" s="66">
        <v>46160</v>
      </c>
      <c r="AF14" s="66">
        <v>46161</v>
      </c>
      <c r="AG14" s="66">
        <v>46162</v>
      </c>
      <c r="AH14" s="66">
        <v>46163</v>
      </c>
      <c r="AI14" s="66">
        <v>46164</v>
      </c>
      <c r="AJ14" s="66">
        <v>46165</v>
      </c>
      <c r="AK14" s="66">
        <v>46166</v>
      </c>
      <c r="AL14" s="66">
        <v>46167</v>
      </c>
      <c r="AM14" s="66">
        <v>46168</v>
      </c>
      <c r="AN14" s="66">
        <v>46169</v>
      </c>
      <c r="AO14" s="66">
        <v>46170</v>
      </c>
      <c r="AP14" s="66">
        <v>46171</v>
      </c>
      <c r="AQ14" s="66">
        <v>46172</v>
      </c>
      <c r="AR14" s="66">
        <v>46173</v>
      </c>
    </row>
    <row r="15" spans="1:44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</row>
    <row r="16" spans="1:44" s="2" customFormat="1" x14ac:dyDescent="0.25">
      <c r="A16" s="39" t="s">
        <v>0</v>
      </c>
      <c r="B16" s="20"/>
      <c r="C16" s="29">
        <f>SUM(C18:C23)</f>
        <v>0</v>
      </c>
      <c r="D16" s="29"/>
      <c r="E16" s="29">
        <f t="shared" ref="E16:V16" si="0">SUM(E17:E24)</f>
        <v>0</v>
      </c>
      <c r="F16" s="29">
        <f t="shared" si="0"/>
        <v>0</v>
      </c>
      <c r="G16" s="29">
        <f t="shared" si="0"/>
        <v>500000</v>
      </c>
      <c r="H16" s="135">
        <f t="shared" si="0"/>
        <v>0</v>
      </c>
      <c r="I16" s="135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135">
        <f t="shared" si="0"/>
        <v>0</v>
      </c>
      <c r="O16" s="135">
        <f t="shared" si="0"/>
        <v>7037500</v>
      </c>
      <c r="P16" s="135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135">
        <f t="shared" si="0"/>
        <v>0</v>
      </c>
      <c r="W16" s="135">
        <f>SUM(W17:W24)</f>
        <v>0</v>
      </c>
      <c r="X16" s="135">
        <f t="shared" ref="X16:AR16" si="1">SUM(X17:X24)</f>
        <v>3071806.5</v>
      </c>
      <c r="Y16" s="29">
        <f t="shared" si="1"/>
        <v>0</v>
      </c>
      <c r="Z16" s="29">
        <f t="shared" si="1"/>
        <v>0</v>
      </c>
      <c r="AA16" s="29">
        <f t="shared" si="1"/>
        <v>7882500</v>
      </c>
      <c r="AB16" s="29">
        <f t="shared" si="1"/>
        <v>0</v>
      </c>
      <c r="AC16" s="135">
        <f t="shared" si="1"/>
        <v>0</v>
      </c>
      <c r="AD16" s="135">
        <f t="shared" si="1"/>
        <v>0</v>
      </c>
      <c r="AE16" s="29">
        <f t="shared" si="1"/>
        <v>0</v>
      </c>
      <c r="AF16" s="29">
        <f t="shared" si="1"/>
        <v>0</v>
      </c>
      <c r="AG16" s="29">
        <f t="shared" si="1"/>
        <v>0</v>
      </c>
      <c r="AH16" s="29">
        <f t="shared" si="1"/>
        <v>0</v>
      </c>
      <c r="AI16" s="29">
        <f t="shared" si="1"/>
        <v>0</v>
      </c>
      <c r="AJ16" s="135">
        <f t="shared" si="1"/>
        <v>0</v>
      </c>
      <c r="AK16" s="135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135">
        <f t="shared" si="1"/>
        <v>0</v>
      </c>
      <c r="AR16" s="135">
        <f t="shared" si="1"/>
        <v>0</v>
      </c>
    </row>
    <row r="17" spans="1:44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</row>
    <row r="18" spans="1:44" s="80" customFormat="1" x14ac:dyDescent="0.25">
      <c r="A18" s="40" t="s">
        <v>9</v>
      </c>
      <c r="B18" s="21"/>
      <c r="C18" s="59"/>
      <c r="D18" s="30"/>
      <c r="E18" s="30"/>
      <c r="F18" s="30"/>
      <c r="G18" s="30">
        <v>500000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</row>
    <row r="19" spans="1:44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</row>
    <row r="20" spans="1:44" s="80" customFormat="1" ht="13.5" customHeigh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>
        <v>7037500</v>
      </c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>
        <v>7882500</v>
      </c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</row>
    <row r="21" spans="1:44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</row>
    <row r="22" spans="1:44" s="80" customFormat="1" ht="12" customHeight="1" x14ac:dyDescent="0.25">
      <c r="A22" s="40" t="s">
        <v>11</v>
      </c>
      <c r="B22" s="21"/>
      <c r="C22" s="59"/>
      <c r="D22" s="30"/>
      <c r="E22" s="33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</row>
    <row r="23" spans="1:44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>
        <f>35000*A3</f>
        <v>3071806.5</v>
      </c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</row>
    <row r="24" spans="1:44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</row>
    <row r="25" spans="1:44" s="4" customFormat="1" x14ac:dyDescent="0.2">
      <c r="A25" s="41" t="s">
        <v>1</v>
      </c>
      <c r="B25" s="22"/>
      <c r="C25" s="34">
        <f>SUM(C27:C73)</f>
        <v>8765561.1221200004</v>
      </c>
      <c r="D25" s="34"/>
      <c r="E25" s="34">
        <f t="shared" ref="E25:AR25" si="2">SUM(E26:E74)</f>
        <v>860876.29999999993</v>
      </c>
      <c r="F25" s="34">
        <f t="shared" si="2"/>
        <v>1835650.4061624999</v>
      </c>
      <c r="G25" s="34">
        <f t="shared" si="2"/>
        <v>3473372.49</v>
      </c>
      <c r="H25" s="34">
        <f t="shared" si="2"/>
        <v>0</v>
      </c>
      <c r="I25" s="34">
        <f t="shared" si="2"/>
        <v>0</v>
      </c>
      <c r="J25" s="34">
        <f t="shared" si="2"/>
        <v>2761837.5578999999</v>
      </c>
      <c r="K25" s="34">
        <f t="shared" si="2"/>
        <v>2267655.1764999996</v>
      </c>
      <c r="L25" s="34">
        <f t="shared" si="2"/>
        <v>1324499.0265000002</v>
      </c>
      <c r="M25" s="34">
        <f t="shared" si="2"/>
        <v>505297.02649999998</v>
      </c>
      <c r="N25" s="34">
        <f t="shared" si="2"/>
        <v>112000</v>
      </c>
      <c r="O25" s="34">
        <f t="shared" si="2"/>
        <v>0</v>
      </c>
      <c r="P25" s="34">
        <f t="shared" si="2"/>
        <v>0</v>
      </c>
      <c r="Q25" s="34">
        <f t="shared" si="2"/>
        <v>1456509.585</v>
      </c>
      <c r="R25" s="34">
        <f t="shared" si="2"/>
        <v>2207666.2000000002</v>
      </c>
      <c r="S25" s="34">
        <f t="shared" si="2"/>
        <v>569756.19999999995</v>
      </c>
      <c r="T25" s="34">
        <f t="shared" si="2"/>
        <v>1133602.2</v>
      </c>
      <c r="U25" s="34">
        <f t="shared" si="2"/>
        <v>545949</v>
      </c>
      <c r="V25" s="34">
        <f t="shared" si="2"/>
        <v>0</v>
      </c>
      <c r="W25" s="34">
        <f t="shared" si="2"/>
        <v>360000</v>
      </c>
      <c r="X25" s="34">
        <f t="shared" si="2"/>
        <v>0</v>
      </c>
      <c r="Y25" s="34">
        <f t="shared" si="2"/>
        <v>1140806</v>
      </c>
      <c r="Z25" s="34">
        <f t="shared" si="2"/>
        <v>470585</v>
      </c>
      <c r="AA25" s="34">
        <f t="shared" si="2"/>
        <v>1975506</v>
      </c>
      <c r="AB25" s="34">
        <f t="shared" si="2"/>
        <v>757012</v>
      </c>
      <c r="AC25" s="34">
        <f t="shared" si="2"/>
        <v>0</v>
      </c>
      <c r="AD25" s="34">
        <f t="shared" si="2"/>
        <v>0</v>
      </c>
      <c r="AE25" s="34">
        <f t="shared" si="2"/>
        <v>356700</v>
      </c>
      <c r="AF25" s="34">
        <f t="shared" si="2"/>
        <v>356700</v>
      </c>
      <c r="AG25" s="34">
        <f t="shared" si="2"/>
        <v>356700</v>
      </c>
      <c r="AH25" s="34">
        <f t="shared" si="2"/>
        <v>356700</v>
      </c>
      <c r="AI25" s="34">
        <f t="shared" si="2"/>
        <v>928099.89060000004</v>
      </c>
      <c r="AJ25" s="34">
        <f t="shared" si="2"/>
        <v>0</v>
      </c>
      <c r="AK25" s="34">
        <f t="shared" si="2"/>
        <v>0</v>
      </c>
      <c r="AL25" s="34">
        <f t="shared" si="2"/>
        <v>356700</v>
      </c>
      <c r="AM25" s="34">
        <f t="shared" si="2"/>
        <v>356700</v>
      </c>
      <c r="AN25" s="34">
        <f t="shared" si="2"/>
        <v>356700</v>
      </c>
      <c r="AO25" s="34">
        <f t="shared" si="2"/>
        <v>0</v>
      </c>
      <c r="AP25" s="34">
        <f t="shared" si="2"/>
        <v>691000</v>
      </c>
      <c r="AQ25" s="34">
        <f t="shared" si="2"/>
        <v>0</v>
      </c>
      <c r="AR25" s="34">
        <f t="shared" si="2"/>
        <v>0</v>
      </c>
    </row>
    <row r="26" spans="1:44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</row>
    <row r="27" spans="1:44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</row>
    <row r="28" spans="1:44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</row>
    <row r="29" spans="1:44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</row>
    <row r="30" spans="1:44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90">
        <v>2000000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</row>
    <row r="31" spans="1:44" s="1" customFormat="1" x14ac:dyDescent="0.2">
      <c r="A31" s="36" t="s">
        <v>7</v>
      </c>
      <c r="B31" s="23" t="s">
        <v>8</v>
      </c>
      <c r="C31" s="60"/>
      <c r="D31" s="24"/>
      <c r="E31" s="24"/>
      <c r="F31" s="24">
        <f>850000+560000</f>
        <v>1410000</v>
      </c>
      <c r="G31" s="24">
        <f>643714.22/2</f>
        <v>321857.11</v>
      </c>
      <c r="I31" s="24"/>
      <c r="J31" s="24"/>
      <c r="K31" s="24"/>
      <c r="L31" s="24"/>
      <c r="M31" s="24"/>
      <c r="N31" s="24"/>
      <c r="O31" s="24"/>
      <c r="P31" s="24"/>
      <c r="Q31" s="24">
        <v>560000</v>
      </c>
      <c r="R31" s="24"/>
      <c r="S31" s="24"/>
      <c r="T31" s="24"/>
      <c r="U31" s="24"/>
      <c r="V31" s="24"/>
      <c r="W31" s="24">
        <v>360000</v>
      </c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</row>
    <row r="32" spans="1:44" s="1" customFormat="1" x14ac:dyDescent="0.2">
      <c r="A32" s="36" t="s">
        <v>118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>
        <v>271506</v>
      </c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</row>
    <row r="33" spans="1:44" s="1" customFormat="1" x14ac:dyDescent="0.2">
      <c r="A33" s="36" t="s">
        <v>54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</row>
    <row r="34" spans="1:44" s="1" customFormat="1" x14ac:dyDescent="0.2">
      <c r="A34" s="36" t="s">
        <v>71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>
        <v>200113.9</v>
      </c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</row>
    <row r="35" spans="1:44" s="1" customFormat="1" x14ac:dyDescent="0.2">
      <c r="A35" s="36" t="s">
        <v>53</v>
      </c>
      <c r="B35" s="23"/>
      <c r="C35" s="60"/>
      <c r="D35" s="24"/>
      <c r="E35" s="24"/>
      <c r="F35" s="24"/>
      <c r="G35" s="24"/>
      <c r="H35" s="24"/>
      <c r="I35" s="24"/>
      <c r="J35" s="24"/>
      <c r="K35" s="24"/>
      <c r="L35" s="24"/>
      <c r="M35" s="24"/>
      <c r="O35" s="24"/>
      <c r="P35" s="24"/>
      <c r="R35" s="24"/>
      <c r="S35" s="24"/>
      <c r="T35" s="24"/>
      <c r="U35" s="24">
        <v>545949</v>
      </c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</row>
    <row r="36" spans="1:44" s="1" customFormat="1" ht="11.25" customHeight="1" x14ac:dyDescent="0.2">
      <c r="A36" s="47"/>
      <c r="B36" s="48"/>
      <c r="C36" s="67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</row>
    <row r="37" spans="1:44" s="71" customFormat="1" x14ac:dyDescent="0.2">
      <c r="A37" s="69" t="s">
        <v>14</v>
      </c>
      <c r="B37" s="25" t="s">
        <v>30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O37" s="24"/>
      <c r="P37" s="24"/>
      <c r="Q37" s="24"/>
      <c r="R37" s="24"/>
      <c r="T37" s="24"/>
      <c r="U37" s="24"/>
      <c r="V37" s="24"/>
      <c r="W37" s="24"/>
      <c r="X37" s="24"/>
      <c r="Y37" s="24"/>
      <c r="Z37" s="100">
        <v>341779</v>
      </c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</row>
    <row r="38" spans="1:44" s="71" customFormat="1" x14ac:dyDescent="0.2">
      <c r="A38" s="69" t="s">
        <v>115</v>
      </c>
      <c r="B38" s="25" t="s">
        <v>116</v>
      </c>
      <c r="C38" s="70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00">
        <v>156160</v>
      </c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</row>
    <row r="39" spans="1:44" s="71" customFormat="1" x14ac:dyDescent="0.2">
      <c r="A39" s="69" t="s">
        <v>117</v>
      </c>
      <c r="B39" s="25" t="s">
        <v>119</v>
      </c>
      <c r="C39" s="70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8"/>
      <c r="U39" s="24"/>
      <c r="V39" s="24"/>
      <c r="W39" s="24"/>
      <c r="X39" s="24"/>
      <c r="Y39" s="24"/>
      <c r="Z39" s="24"/>
      <c r="AA39" s="24"/>
      <c r="AB39" s="28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100">
        <v>691000</v>
      </c>
      <c r="AQ39" s="24"/>
      <c r="AR39" s="24"/>
    </row>
    <row r="40" spans="1:44" s="71" customFormat="1" x14ac:dyDescent="0.2">
      <c r="A40" s="69" t="s">
        <v>97</v>
      </c>
      <c r="B40" s="25" t="s">
        <v>98</v>
      </c>
      <c r="C40" s="70"/>
      <c r="D40" s="24"/>
      <c r="E40" s="100">
        <v>311400</v>
      </c>
      <c r="F40" s="24"/>
      <c r="G40" s="24"/>
      <c r="H40" s="24"/>
      <c r="I40" s="24"/>
      <c r="J40" s="24"/>
      <c r="K40" s="24"/>
      <c r="L40" s="100">
        <v>311400</v>
      </c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</row>
    <row r="41" spans="1:44" s="71" customFormat="1" x14ac:dyDescent="0.2">
      <c r="A41" s="69" t="s">
        <v>17</v>
      </c>
      <c r="B41" s="25" t="s">
        <v>41</v>
      </c>
      <c r="C41" s="70">
        <f>1375000-500000-175000</f>
        <v>700000</v>
      </c>
      <c r="D41" s="24"/>
      <c r="F41" s="24"/>
      <c r="H41" s="24"/>
      <c r="I41" s="24"/>
      <c r="J41" s="129">
        <v>175000</v>
      </c>
      <c r="L41" s="129">
        <v>175000</v>
      </c>
      <c r="O41" s="24"/>
      <c r="P41" s="24"/>
      <c r="Q41" s="24"/>
      <c r="R41" s="129">
        <v>175000</v>
      </c>
      <c r="S41" s="24"/>
      <c r="T41" s="129">
        <v>175000</v>
      </c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</row>
    <row r="42" spans="1:44" s="71" customFormat="1" x14ac:dyDescent="0.2">
      <c r="A42" s="69" t="s">
        <v>15</v>
      </c>
      <c r="B42" s="25" t="s">
        <v>31</v>
      </c>
      <c r="C42" s="70">
        <f>1289912-50000-50000-75000-124688</f>
        <v>990224</v>
      </c>
      <c r="D42" s="24"/>
      <c r="E42" s="100">
        <v>100000</v>
      </c>
      <c r="F42" s="108">
        <v>100000</v>
      </c>
      <c r="G42" s="108">
        <v>100000</v>
      </c>
      <c r="H42" s="24"/>
      <c r="I42" s="24"/>
      <c r="J42" s="108">
        <v>104464</v>
      </c>
      <c r="K42" s="108">
        <f>150000-60000</f>
        <v>90000</v>
      </c>
      <c r="L42" s="108">
        <v>100000</v>
      </c>
      <c r="M42" s="108">
        <v>100000</v>
      </c>
      <c r="N42" s="28"/>
      <c r="O42" s="28"/>
      <c r="P42" s="24"/>
      <c r="Q42" s="108">
        <v>65224</v>
      </c>
      <c r="R42" s="108">
        <v>90224</v>
      </c>
      <c r="S42" s="108">
        <v>115224</v>
      </c>
      <c r="T42" s="108">
        <v>25000</v>
      </c>
      <c r="U42" s="24"/>
      <c r="V42" s="24"/>
      <c r="W42" s="24"/>
      <c r="Y42" s="98">
        <f>515224/4</f>
        <v>128806</v>
      </c>
      <c r="Z42" s="98">
        <f>515224/4</f>
        <v>128806</v>
      </c>
      <c r="AA42" s="98">
        <f>515224/4</f>
        <v>128806</v>
      </c>
      <c r="AB42" s="98">
        <f>515224/4</f>
        <v>128806</v>
      </c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</row>
    <row r="43" spans="1:44" s="71" customFormat="1" x14ac:dyDescent="0.2">
      <c r="A43" s="69" t="s">
        <v>19</v>
      </c>
      <c r="B43" s="25" t="s">
        <v>46</v>
      </c>
      <c r="C43" s="70">
        <f>3350*A3</f>
        <v>294015.76500000001</v>
      </c>
      <c r="D43" s="24"/>
      <c r="E43" s="100">
        <f>500*$A$3</f>
        <v>43882.950000000004</v>
      </c>
      <c r="F43" s="129">
        <f>2000*$A$3</f>
        <v>175531.80000000002</v>
      </c>
      <c r="G43" s="129">
        <f>500*$A$3</f>
        <v>43882.950000000004</v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</row>
    <row r="44" spans="1:44" s="71" customFormat="1" x14ac:dyDescent="0.2">
      <c r="A44" s="69" t="s">
        <v>16</v>
      </c>
      <c r="B44" s="25" t="s">
        <v>32</v>
      </c>
      <c r="C44" s="70">
        <f>722080-56200-49941-90880</f>
        <v>525059</v>
      </c>
      <c r="D44" s="24"/>
      <c r="E44" s="100">
        <v>100000</v>
      </c>
      <c r="G44" s="108">
        <f>66588+33294</f>
        <v>99882</v>
      </c>
      <c r="H44" s="24"/>
      <c r="I44" s="24"/>
      <c r="J44" s="108">
        <f>66588+33294+99882</f>
        <v>199764</v>
      </c>
      <c r="K44" s="108">
        <f>(66588+33294)/2</f>
        <v>49941</v>
      </c>
      <c r="L44" s="95">
        <v>332940</v>
      </c>
      <c r="M44" s="108">
        <f>66588+33294+35506</f>
        <v>135388</v>
      </c>
      <c r="N44" s="24"/>
      <c r="O44" s="24"/>
      <c r="P44" s="24"/>
      <c r="Q44" s="108">
        <f>499410/4</f>
        <v>124852.5</v>
      </c>
      <c r="R44" s="108">
        <f>499410/4</f>
        <v>124852.5</v>
      </c>
      <c r="S44" s="108">
        <f>499410/4</f>
        <v>124852.5</v>
      </c>
      <c r="T44" s="108">
        <f>499410/4</f>
        <v>124852.5</v>
      </c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</row>
    <row r="45" spans="1:44" s="71" customFormat="1" x14ac:dyDescent="0.2">
      <c r="A45" s="69" t="s">
        <v>85</v>
      </c>
      <c r="B45" s="25" t="s">
        <v>47</v>
      </c>
      <c r="C45" s="70">
        <f>2580*A6</f>
        <v>192441.42599999998</v>
      </c>
      <c r="D45" s="24"/>
      <c r="E45" s="24"/>
      <c r="F45" s="24"/>
      <c r="G45" s="24"/>
      <c r="H45" s="24"/>
      <c r="I45" s="24"/>
      <c r="J45" s="108">
        <f>645*$A$6</f>
        <v>48110.356499999994</v>
      </c>
      <c r="K45" s="108">
        <f>645*$A$6</f>
        <v>48110.356499999994</v>
      </c>
      <c r="L45" s="108">
        <f>645*$A$6</f>
        <v>48110.356499999994</v>
      </c>
      <c r="M45" s="108">
        <f>645*$A$6</f>
        <v>48110.356499999994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</row>
    <row r="46" spans="1:44" s="73" customFormat="1" x14ac:dyDescent="0.2">
      <c r="A46" s="69" t="s">
        <v>22</v>
      </c>
      <c r="B46" s="25" t="s">
        <v>48</v>
      </c>
      <c r="C46" s="137">
        <f>5000*A9</f>
        <v>54725.5</v>
      </c>
      <c r="D46" s="72"/>
      <c r="E46" s="100">
        <f>5000*$A$9</f>
        <v>54725.5</v>
      </c>
      <c r="F46" s="24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138">
        <f>52206*A9</f>
        <v>571399.89060000004</v>
      </c>
      <c r="AJ46" s="72"/>
      <c r="AK46" s="72"/>
      <c r="AL46" s="72"/>
      <c r="AM46" s="72"/>
      <c r="AN46" s="72"/>
      <c r="AO46" s="72"/>
      <c r="AP46" s="72"/>
      <c r="AQ46" s="72"/>
      <c r="AR46" s="72"/>
    </row>
    <row r="47" spans="1:44" s="73" customFormat="1" x14ac:dyDescent="0.2">
      <c r="A47" s="69" t="s">
        <v>108</v>
      </c>
      <c r="B47" s="25" t="s">
        <v>109</v>
      </c>
      <c r="C47" s="120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</row>
    <row r="48" spans="1:44" s="71" customFormat="1" x14ac:dyDescent="0.2">
      <c r="A48" s="69" t="s">
        <v>36</v>
      </c>
      <c r="B48" s="25" t="s">
        <v>37</v>
      </c>
      <c r="C48" s="130"/>
      <c r="D48" s="24"/>
      <c r="E48" s="24"/>
      <c r="F48" s="24"/>
      <c r="G48" s="24"/>
      <c r="H48" s="24"/>
      <c r="I48" s="24"/>
      <c r="J48" s="100">
        <f>2662*A6</f>
        <v>198557.78139999998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</row>
    <row r="49" spans="1:44" s="71" customFormat="1" x14ac:dyDescent="0.2">
      <c r="A49" s="69" t="s">
        <v>86</v>
      </c>
      <c r="B49" s="25" t="s">
        <v>35</v>
      </c>
      <c r="C49" s="70">
        <f>1600*$A$6+2400*A6+4050*A6-500*A6</f>
        <v>563152.23499999999</v>
      </c>
      <c r="D49" s="77"/>
      <c r="E49" s="100">
        <f>500*$A$6</f>
        <v>37294.85</v>
      </c>
      <c r="F49" s="24"/>
      <c r="G49" s="95">
        <f>600*$A$6</f>
        <v>44753.819999999992</v>
      </c>
      <c r="H49" s="24"/>
      <c r="I49" s="24"/>
      <c r="J49" s="108">
        <f>600*$A$6</f>
        <v>44753.819999999992</v>
      </c>
      <c r="K49" s="108">
        <f>600*$A$6</f>
        <v>44753.819999999992</v>
      </c>
      <c r="L49" s="108">
        <f>600*$A$6</f>
        <v>44753.819999999992</v>
      </c>
      <c r="M49" s="108">
        <f>600*$A$6</f>
        <v>44753.819999999992</v>
      </c>
      <c r="N49" s="24"/>
      <c r="O49" s="24"/>
      <c r="P49" s="24"/>
      <c r="Q49" s="108">
        <f>1050*$A$6</f>
        <v>78319.184999999998</v>
      </c>
      <c r="R49" s="108">
        <f>1000*$A$6</f>
        <v>74589.7</v>
      </c>
      <c r="S49" s="108">
        <f>1000*$A$6</f>
        <v>74589.7</v>
      </c>
      <c r="T49" s="108">
        <f>1000*$A$6</f>
        <v>74589.7</v>
      </c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</row>
    <row r="50" spans="1:44" s="71" customFormat="1" x14ac:dyDescent="0.2">
      <c r="A50" s="69" t="s">
        <v>111</v>
      </c>
      <c r="B50" s="25" t="s">
        <v>112</v>
      </c>
      <c r="C50" s="70"/>
      <c r="D50" s="77"/>
      <c r="E50" s="100">
        <v>27173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</row>
    <row r="51" spans="1:44" s="71" customFormat="1" x14ac:dyDescent="0.2">
      <c r="A51" s="69" t="s">
        <v>29</v>
      </c>
      <c r="B51" s="25" t="s">
        <v>42</v>
      </c>
      <c r="C51" s="70">
        <v>20000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</row>
    <row r="52" spans="1:44" s="71" customFormat="1" x14ac:dyDescent="0.2">
      <c r="A52" s="69" t="s">
        <v>29</v>
      </c>
      <c r="B52" s="25" t="s">
        <v>43</v>
      </c>
      <c r="C52" s="70">
        <v>439750</v>
      </c>
      <c r="D52" s="24"/>
      <c r="E52" s="24"/>
      <c r="F52" s="24"/>
      <c r="H52" s="24"/>
      <c r="I52" s="24"/>
      <c r="J52" s="95">
        <v>100000</v>
      </c>
      <c r="K52" s="24"/>
      <c r="L52" s="95">
        <v>100000</v>
      </c>
      <c r="M52" s="95">
        <v>139750</v>
      </c>
      <c r="O52" s="24"/>
      <c r="P52" s="24"/>
      <c r="Q52" s="95">
        <v>100000</v>
      </c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</row>
    <row r="53" spans="1:44" s="71" customFormat="1" x14ac:dyDescent="0.2">
      <c r="A53" s="69" t="s">
        <v>104</v>
      </c>
      <c r="B53" s="25" t="s">
        <v>105</v>
      </c>
      <c r="C53" s="70"/>
      <c r="D53" s="77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</row>
    <row r="54" spans="1:44" s="71" customFormat="1" x14ac:dyDescent="0.2">
      <c r="A54" s="69" t="s">
        <v>99</v>
      </c>
      <c r="B54" s="25" t="s">
        <v>100</v>
      </c>
      <c r="C54" s="70"/>
      <c r="D54" s="77"/>
      <c r="E54" s="24"/>
      <c r="F54" s="100">
        <f>(581.75/2)*$A$3</f>
        <v>25528.906162499999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</row>
    <row r="55" spans="1:44" s="71" customFormat="1" x14ac:dyDescent="0.2">
      <c r="A55" s="69" t="s">
        <v>29</v>
      </c>
      <c r="B55" s="25" t="s">
        <v>55</v>
      </c>
      <c r="C55" s="70">
        <f>2500*A6</f>
        <v>186474.24999999997</v>
      </c>
      <c r="D55" s="24"/>
      <c r="E55" s="24"/>
      <c r="F55" s="95">
        <f>1000*$A$6</f>
        <v>74589.7</v>
      </c>
      <c r="G55" s="28"/>
      <c r="H55" s="24"/>
      <c r="I55" s="24"/>
      <c r="J55" s="95">
        <f>500*$A$6</f>
        <v>37294.85</v>
      </c>
      <c r="K55" s="24"/>
      <c r="L55" s="95">
        <f>500*$A$6</f>
        <v>37294.85</v>
      </c>
      <c r="M55" s="95">
        <f>500*$A$6</f>
        <v>37294.85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</row>
    <row r="56" spans="1:44" s="71" customFormat="1" x14ac:dyDescent="0.2">
      <c r="A56" s="69" t="s">
        <v>40</v>
      </c>
      <c r="B56" s="25" t="s">
        <v>44</v>
      </c>
      <c r="C56" s="70"/>
      <c r="D56" s="24"/>
      <c r="E56" s="24"/>
      <c r="F56" s="24"/>
      <c r="G56" s="24"/>
      <c r="H56" s="24"/>
      <c r="I56" s="24"/>
      <c r="J56" s="100">
        <v>1878</v>
      </c>
      <c r="K56" s="24"/>
      <c r="L56" s="24"/>
      <c r="M56" s="24"/>
      <c r="N56" s="24"/>
      <c r="O56" s="24"/>
      <c r="P56" s="24"/>
      <c r="Q56" s="24"/>
      <c r="R56" s="24"/>
      <c r="S56" s="100">
        <v>2090</v>
      </c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</row>
    <row r="57" spans="1:44" s="71" customFormat="1" x14ac:dyDescent="0.2">
      <c r="A57" s="69" t="s">
        <v>90</v>
      </c>
      <c r="B57" s="25" t="s">
        <v>91</v>
      </c>
      <c r="C57" s="70"/>
      <c r="D57" s="77"/>
      <c r="E57" s="24"/>
      <c r="F57" s="24"/>
      <c r="G57" s="24"/>
      <c r="H57" s="24"/>
      <c r="I57" s="24"/>
      <c r="K57" s="24"/>
      <c r="L57" s="24"/>
      <c r="M57" s="24"/>
      <c r="N57" s="24"/>
      <c r="P57" s="24"/>
      <c r="Q57" s="100">
        <f>1012000/4</f>
        <v>253000</v>
      </c>
      <c r="R57" s="100">
        <f>1012000/4</f>
        <v>253000</v>
      </c>
      <c r="S57" s="100">
        <f>1012000/4</f>
        <v>253000</v>
      </c>
      <c r="T57" s="100">
        <f>1012000/4</f>
        <v>253000</v>
      </c>
      <c r="U57" s="24"/>
      <c r="V57" s="24"/>
      <c r="W57" s="24"/>
      <c r="X57" s="24"/>
      <c r="Y57" s="100">
        <v>1012000</v>
      </c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</row>
    <row r="58" spans="1:44" s="71" customFormat="1" x14ac:dyDescent="0.2">
      <c r="A58" s="69" t="s">
        <v>106</v>
      </c>
      <c r="B58" s="25" t="s">
        <v>107</v>
      </c>
      <c r="C58" s="70"/>
      <c r="D58" s="77"/>
      <c r="E58" s="24"/>
      <c r="F58" s="24"/>
      <c r="G58" s="100">
        <v>10000</v>
      </c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</row>
    <row r="59" spans="1:44" s="71" customFormat="1" x14ac:dyDescent="0.2">
      <c r="A59" s="69" t="s">
        <v>102</v>
      </c>
      <c r="B59" s="25" t="s">
        <v>103</v>
      </c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</row>
    <row r="60" spans="1:44" s="71" customFormat="1" x14ac:dyDescent="0.2">
      <c r="A60" s="132" t="s">
        <v>113</v>
      </c>
      <c r="B60" s="133" t="s">
        <v>114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</row>
    <row r="61" spans="1:44" s="71" customFormat="1" x14ac:dyDescent="0.2">
      <c r="A61" s="69" t="s">
        <v>34</v>
      </c>
      <c r="B61" s="25" t="s">
        <v>45</v>
      </c>
      <c r="C61" s="70">
        <f>1014000-100000</f>
        <v>914000</v>
      </c>
      <c r="D61" s="77"/>
      <c r="E61" s="124">
        <v>100000</v>
      </c>
      <c r="F61" s="106">
        <v>50000</v>
      </c>
      <c r="G61" s="106">
        <v>75000</v>
      </c>
      <c r="H61" s="24"/>
      <c r="I61" s="24"/>
      <c r="J61" s="108">
        <v>114400</v>
      </c>
      <c r="K61" s="24"/>
      <c r="L61" s="106">
        <v>175000</v>
      </c>
      <c r="M61" s="24"/>
      <c r="O61" s="24"/>
      <c r="P61" s="24"/>
      <c r="Q61" s="106">
        <v>75000</v>
      </c>
      <c r="S61" s="24"/>
      <c r="T61" s="108">
        <v>325000</v>
      </c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</row>
    <row r="62" spans="1:44" s="71" customFormat="1" x14ac:dyDescent="0.2">
      <c r="A62" s="69" t="s">
        <v>101</v>
      </c>
      <c r="B62" s="25"/>
      <c r="C62" s="70"/>
      <c r="D62" s="77"/>
      <c r="E62" s="100">
        <v>60000</v>
      </c>
      <c r="F62" s="24"/>
      <c r="G62" s="108">
        <v>50000</v>
      </c>
      <c r="H62" s="24"/>
      <c r="I62" s="24"/>
      <c r="J62" s="108">
        <v>120000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</row>
    <row r="63" spans="1:44" s="71" customFormat="1" x14ac:dyDescent="0.2">
      <c r="A63" s="69" t="s">
        <v>38</v>
      </c>
      <c r="B63" s="25" t="s">
        <v>39</v>
      </c>
      <c r="C63" s="70"/>
      <c r="D63" s="24"/>
      <c r="E63" s="100">
        <v>26400</v>
      </c>
      <c r="G63" s="100">
        <v>24000</v>
      </c>
      <c r="H63" s="24"/>
      <c r="I63" s="24"/>
      <c r="J63" s="100">
        <v>27000</v>
      </c>
      <c r="K63" s="100">
        <v>34850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</row>
    <row r="64" spans="1:44" s="71" customFormat="1" x14ac:dyDescent="0.2">
      <c r="A64" s="69" t="s">
        <v>74</v>
      </c>
      <c r="B64" s="25" t="s">
        <v>83</v>
      </c>
      <c r="C64" s="70"/>
      <c r="D64" s="24"/>
      <c r="E64" s="24"/>
      <c r="F64" s="24"/>
      <c r="G64" s="98">
        <f>104492.6-69560</f>
        <v>34932.600000000006</v>
      </c>
      <c r="H64" s="24"/>
      <c r="I64" s="24"/>
      <c r="J64" s="24"/>
      <c r="K64" s="24"/>
      <c r="L64" s="24"/>
      <c r="M64" s="24"/>
      <c r="N64" s="24"/>
      <c r="O64" s="24"/>
      <c r="P64" s="24"/>
      <c r="R64" s="24"/>
      <c r="S64" s="24"/>
      <c r="T64" s="24"/>
      <c r="U64" s="24"/>
      <c r="V64" s="24"/>
      <c r="W64" s="24"/>
      <c r="X64" s="24"/>
      <c r="Y64" s="24"/>
      <c r="Z64" s="24"/>
      <c r="AA64" s="108">
        <f>3567000/10</f>
        <v>356700</v>
      </c>
      <c r="AB64" s="108">
        <f>3567000/10</f>
        <v>356700</v>
      </c>
      <c r="AC64" s="28"/>
      <c r="AD64" s="28"/>
      <c r="AE64" s="108">
        <f>3567000/10</f>
        <v>356700</v>
      </c>
      <c r="AF64" s="108">
        <f>3567000/10</f>
        <v>356700</v>
      </c>
      <c r="AG64" s="108">
        <f>3567000/10</f>
        <v>356700</v>
      </c>
      <c r="AH64" s="108">
        <f>3567000/10</f>
        <v>356700</v>
      </c>
      <c r="AI64" s="108">
        <f>3567000/10</f>
        <v>356700</v>
      </c>
      <c r="AJ64" s="28"/>
      <c r="AK64" s="28"/>
      <c r="AL64" s="108">
        <f>3567000/10</f>
        <v>356700</v>
      </c>
      <c r="AM64" s="108">
        <f>3567000/10</f>
        <v>356700</v>
      </c>
      <c r="AN64" s="108">
        <f>3567000/10</f>
        <v>356700</v>
      </c>
      <c r="AO64" s="24"/>
      <c r="AP64" s="24"/>
      <c r="AQ64" s="24"/>
      <c r="AR64" s="24"/>
    </row>
    <row r="65" spans="1:44" s="73" customFormat="1" ht="2.25" customHeight="1" x14ac:dyDescent="0.2">
      <c r="A65" s="78"/>
      <c r="B65" s="79"/>
      <c r="C65" s="75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 t="s">
        <v>89</v>
      </c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</row>
    <row r="66" spans="1:44" s="94" customFormat="1" ht="33.75" x14ac:dyDescent="0.2">
      <c r="A66" s="91" t="s">
        <v>60</v>
      </c>
      <c r="B66" s="92" t="s">
        <v>58</v>
      </c>
      <c r="C66" s="93">
        <v>248639.70012000017</v>
      </c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</row>
    <row r="67" spans="1:44" s="94" customFormat="1" ht="33.75" x14ac:dyDescent="0.2">
      <c r="A67" s="91" t="s">
        <v>60</v>
      </c>
      <c r="B67" s="92" t="s">
        <v>59</v>
      </c>
      <c r="C67" s="93">
        <v>0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</row>
    <row r="68" spans="1:44" s="5" customFormat="1" ht="2.25" customHeight="1" x14ac:dyDescent="0.2">
      <c r="A68" s="42"/>
      <c r="B68" s="12"/>
      <c r="C68" s="68"/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</row>
    <row r="69" spans="1:44" s="5" customFormat="1" x14ac:dyDescent="0.2">
      <c r="A69" s="36" t="s">
        <v>49</v>
      </c>
      <c r="B69" s="12"/>
      <c r="C69" s="13"/>
      <c r="D69" s="26"/>
      <c r="F69" s="13"/>
      <c r="G69" s="126">
        <v>1369064.01</v>
      </c>
      <c r="H69" s="13"/>
      <c r="I69" s="13"/>
      <c r="J69" s="13">
        <v>1200614.75</v>
      </c>
      <c r="K69" s="13"/>
      <c r="L69" s="13"/>
      <c r="M69" s="13"/>
      <c r="N69" s="13"/>
      <c r="P69" s="13"/>
      <c r="Q69" s="13"/>
      <c r="R69" s="13">
        <v>1490000</v>
      </c>
      <c r="S69" s="13"/>
      <c r="T69" s="13"/>
      <c r="U69" s="13"/>
      <c r="V69" s="13"/>
      <c r="W69" s="13"/>
      <c r="X69" s="13"/>
      <c r="Y69" s="13"/>
      <c r="Z69" s="13"/>
      <c r="AA69" s="13">
        <v>1490000</v>
      </c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</row>
    <row r="70" spans="1:44" s="5" customFormat="1" x14ac:dyDescent="0.2">
      <c r="A70" s="36" t="s">
        <v>57</v>
      </c>
      <c r="B70" s="12"/>
      <c r="C70" s="68"/>
      <c r="D70" s="26"/>
      <c r="E70" s="13"/>
      <c r="F70" s="13"/>
      <c r="G70" s="13">
        <v>1300000</v>
      </c>
      <c r="H70" s="13"/>
      <c r="I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</row>
    <row r="71" spans="1:44" s="5" customFormat="1" x14ac:dyDescent="0.2">
      <c r="A71" s="36" t="s">
        <v>61</v>
      </c>
      <c r="B71" s="12"/>
      <c r="C71" s="68"/>
      <c r="D71" s="26"/>
      <c r="E71" s="13"/>
      <c r="F71" s="13"/>
      <c r="G71" s="13"/>
      <c r="H71" s="13"/>
      <c r="I71" s="13"/>
      <c r="J71" s="13">
        <v>390000</v>
      </c>
      <c r="K71" s="13"/>
      <c r="L71" s="13"/>
      <c r="M71" s="13"/>
      <c r="N71" s="13">
        <v>112000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</row>
    <row r="72" spans="1:44" s="5" customFormat="1" ht="2.25" customHeigh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</row>
    <row r="73" spans="1:44" s="5" customFormat="1" x14ac:dyDescent="0.2">
      <c r="A73" s="36" t="s">
        <v>72</v>
      </c>
      <c r="B73" s="27" t="s">
        <v>73</v>
      </c>
      <c r="C73" s="62">
        <v>3637079.2460000003</v>
      </c>
      <c r="D73" s="35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</row>
    <row r="74" spans="1:44" s="5" customFormat="1" ht="2.25" customHeight="1" x14ac:dyDescent="0.2">
      <c r="A74" s="42"/>
      <c r="B74" s="12"/>
      <c r="C74" s="61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 spans="1:44" s="84" customFormat="1" x14ac:dyDescent="0.2">
      <c r="A75" s="81" t="s">
        <v>66</v>
      </c>
      <c r="B75" s="82"/>
      <c r="C75" s="63"/>
      <c r="D75" s="83"/>
      <c r="E75" s="83">
        <f>$C$5+E16-E25</f>
        <v>7558061.8600000003</v>
      </c>
      <c r="F75" s="83">
        <f t="shared" ref="F75:AR75" si="3">E75+F16-F25</f>
        <v>5722411.4538375009</v>
      </c>
      <c r="G75" s="83">
        <f t="shared" si="3"/>
        <v>2749038.9638375007</v>
      </c>
      <c r="H75" s="83">
        <f t="shared" si="3"/>
        <v>2749038.9638375007</v>
      </c>
      <c r="I75" s="83">
        <f t="shared" si="3"/>
        <v>2749038.9638375007</v>
      </c>
      <c r="J75" s="83">
        <f t="shared" si="3"/>
        <v>-12798.594062499236</v>
      </c>
      <c r="K75" s="83">
        <f t="shared" si="3"/>
        <v>-2280453.7705624988</v>
      </c>
      <c r="L75" s="83">
        <f t="shared" si="3"/>
        <v>-3604952.797062499</v>
      </c>
      <c r="M75" s="83">
        <f t="shared" si="3"/>
        <v>-4110249.8235624991</v>
      </c>
      <c r="N75" s="83">
        <f t="shared" si="3"/>
        <v>-4222249.8235624991</v>
      </c>
      <c r="O75" s="83">
        <f t="shared" si="3"/>
        <v>2815250.1764375009</v>
      </c>
      <c r="P75" s="83">
        <f t="shared" si="3"/>
        <v>2815250.1764375009</v>
      </c>
      <c r="Q75" s="83">
        <f t="shared" si="3"/>
        <v>1358740.5914375009</v>
      </c>
      <c r="R75" s="83">
        <f t="shared" si="3"/>
        <v>-848925.60856249928</v>
      </c>
      <c r="S75" s="83">
        <f t="shared" si="3"/>
        <v>-1418681.8085624992</v>
      </c>
      <c r="T75" s="83">
        <f t="shared" si="3"/>
        <v>-2552284.0085624992</v>
      </c>
      <c r="U75" s="83">
        <f t="shared" si="3"/>
        <v>-3098233.0085624992</v>
      </c>
      <c r="V75" s="83">
        <f t="shared" si="3"/>
        <v>-3098233.0085624992</v>
      </c>
      <c r="W75" s="83">
        <f t="shared" si="3"/>
        <v>-3458233.0085624992</v>
      </c>
      <c r="X75" s="83">
        <f t="shared" si="3"/>
        <v>-386426.50856249919</v>
      </c>
      <c r="Y75" s="83">
        <f t="shared" si="3"/>
        <v>-1527232.5085624992</v>
      </c>
      <c r="Z75" s="83">
        <f t="shared" si="3"/>
        <v>-1997817.5085624992</v>
      </c>
      <c r="AA75" s="83">
        <f t="shared" si="3"/>
        <v>3909176.4914375003</v>
      </c>
      <c r="AB75" s="83">
        <f t="shared" si="3"/>
        <v>3152164.4914375003</v>
      </c>
      <c r="AC75" s="83">
        <f t="shared" si="3"/>
        <v>3152164.4914375003</v>
      </c>
      <c r="AD75" s="83">
        <f t="shared" si="3"/>
        <v>3152164.4914375003</v>
      </c>
      <c r="AE75" s="83">
        <f t="shared" si="3"/>
        <v>2795464.4914375003</v>
      </c>
      <c r="AF75" s="83">
        <f t="shared" si="3"/>
        <v>2438764.4914375003</v>
      </c>
      <c r="AG75" s="83">
        <f t="shared" si="3"/>
        <v>2082064.4914375003</v>
      </c>
      <c r="AH75" s="83">
        <f t="shared" si="3"/>
        <v>1725364.4914375003</v>
      </c>
      <c r="AI75" s="83">
        <f t="shared" si="3"/>
        <v>797264.6008375003</v>
      </c>
      <c r="AJ75" s="83">
        <f t="shared" si="3"/>
        <v>797264.6008375003</v>
      </c>
      <c r="AK75" s="83">
        <f t="shared" si="3"/>
        <v>797264.6008375003</v>
      </c>
      <c r="AL75" s="83">
        <f t="shared" si="3"/>
        <v>440564.6008375003</v>
      </c>
      <c r="AM75" s="83">
        <f t="shared" si="3"/>
        <v>83864.6008375003</v>
      </c>
      <c r="AN75" s="83">
        <f t="shared" si="3"/>
        <v>-272835.3991624997</v>
      </c>
      <c r="AO75" s="83">
        <f t="shared" si="3"/>
        <v>-272835.3991624997</v>
      </c>
      <c r="AP75" s="83">
        <f t="shared" si="3"/>
        <v>-963835.3991624997</v>
      </c>
      <c r="AQ75" s="83">
        <f t="shared" si="3"/>
        <v>-963835.3991624997</v>
      </c>
      <c r="AR75" s="83">
        <f t="shared" si="3"/>
        <v>-963835.3991624997</v>
      </c>
    </row>
    <row r="77" spans="1:44" s="5" customFormat="1" ht="2.25" customHeight="1" x14ac:dyDescent="0.2">
      <c r="A77" s="42"/>
      <c r="B77" s="12"/>
      <c r="C77" s="68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 spans="1:44" s="89" customFormat="1" ht="11.25" customHeight="1" x14ac:dyDescent="0.2">
      <c r="A78" s="85" t="s">
        <v>65</v>
      </c>
      <c r="B78" s="86"/>
      <c r="C78" s="87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</row>
    <row r="79" spans="1:44" s="5" customFormat="1" ht="22.5" x14ac:dyDescent="0.2">
      <c r="A79" s="36" t="s">
        <v>67</v>
      </c>
      <c r="B79" s="27" t="s">
        <v>68</v>
      </c>
      <c r="C79" s="68">
        <v>3221210.79</v>
      </c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 spans="1:44" s="5" customFormat="1" x14ac:dyDescent="0.2">
      <c r="A80" s="36" t="s">
        <v>69</v>
      </c>
      <c r="B80" s="27" t="s">
        <v>70</v>
      </c>
      <c r="C80" s="68">
        <v>9814338.4000000004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 spans="1:44" s="5" customFormat="1" x14ac:dyDescent="0.2">
      <c r="A81" s="36"/>
      <c r="B81" s="27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 spans="1:44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4" spans="1:44" x14ac:dyDescent="0.25">
      <c r="B84" s="14"/>
    </row>
  </sheetData>
  <pageMargins left="0.7" right="0.7" top="0.75" bottom="0.75" header="0.3" footer="0.3"/>
  <pageSetup paperSize="9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84"/>
  <sheetViews>
    <sheetView topLeftCell="A34" workbookViewId="0">
      <selection activeCell="C62" sqref="C62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27" width="10.85546875" style="3" bestFit="1" customWidth="1"/>
    <col min="28" max="28" width="11.7109375" style="3" bestFit="1" customWidth="1"/>
    <col min="29" max="45" width="10.85546875" style="3" bestFit="1" customWidth="1"/>
    <col min="46" max="16384" width="9" style="3"/>
  </cols>
  <sheetData>
    <row r="1" spans="1:45" ht="12" thickBot="1" x14ac:dyDescent="0.3"/>
    <row r="2" spans="1:45" s="1" customFormat="1" x14ac:dyDescent="0.2">
      <c r="A2" s="43" t="s">
        <v>50</v>
      </c>
      <c r="B2" s="15" t="s">
        <v>27</v>
      </c>
      <c r="C2" s="50">
        <v>6607879.3499999996</v>
      </c>
    </row>
    <row r="3" spans="1:45" s="1" customFormat="1" ht="12" thickBot="1" x14ac:dyDescent="0.25">
      <c r="A3" s="44">
        <v>88.376900000000006</v>
      </c>
      <c r="B3" s="15" t="s">
        <v>28</v>
      </c>
      <c r="C3" s="50">
        <v>10778.95</v>
      </c>
    </row>
    <row r="4" spans="1:45" s="8" customFormat="1" ht="12" thickBot="1" x14ac:dyDescent="0.25">
      <c r="A4" s="45"/>
      <c r="B4" s="15" t="s">
        <v>25</v>
      </c>
      <c r="C4" s="51">
        <v>0</v>
      </c>
    </row>
    <row r="5" spans="1:45" s="6" customFormat="1" x14ac:dyDescent="0.2">
      <c r="A5" s="43" t="s">
        <v>51</v>
      </c>
      <c r="B5" s="49" t="s">
        <v>26</v>
      </c>
      <c r="C5" s="52">
        <f>SUM(C2:C4)</f>
        <v>6618658.2999999998</v>
      </c>
    </row>
    <row r="6" spans="1:45" s="6" customFormat="1" ht="12" thickBot="1" x14ac:dyDescent="0.25">
      <c r="A6" s="44">
        <v>75.236999999999995</v>
      </c>
      <c r="B6" s="16"/>
      <c r="C6" s="53"/>
      <c r="D6" s="17"/>
    </row>
    <row r="7" spans="1:45" s="6" customFormat="1" ht="12" thickBot="1" x14ac:dyDescent="0.25">
      <c r="A7" s="105" t="s">
        <v>51</v>
      </c>
      <c r="B7" s="18" t="s">
        <v>110</v>
      </c>
      <c r="C7" s="54">
        <f>SUM(E16:AS16)</f>
        <v>21177295.475120001</v>
      </c>
    </row>
    <row r="8" spans="1:45" x14ac:dyDescent="0.25">
      <c r="A8" s="43" t="s">
        <v>52</v>
      </c>
      <c r="B8" s="18" t="s">
        <v>84</v>
      </c>
      <c r="C8" s="54">
        <f>SUM(E24:AS25)</f>
        <v>28892927.5863875</v>
      </c>
    </row>
    <row r="9" spans="1:45" ht="12" thickBot="1" x14ac:dyDescent="0.3">
      <c r="A9" s="44">
        <v>11.0418</v>
      </c>
      <c r="B9" s="19" t="s">
        <v>64</v>
      </c>
      <c r="C9" s="55">
        <f>C5+C7-C8-C11</f>
        <v>-10307513.8531875</v>
      </c>
    </row>
    <row r="10" spans="1:45" x14ac:dyDescent="0.25">
      <c r="A10" s="99" t="s">
        <v>80</v>
      </c>
      <c r="B10" s="18" t="s">
        <v>23</v>
      </c>
      <c r="C10" s="56">
        <f>C16</f>
        <v>0</v>
      </c>
    </row>
    <row r="11" spans="1:45" x14ac:dyDescent="0.25">
      <c r="A11" s="101" t="s">
        <v>87</v>
      </c>
      <c r="B11" s="18" t="s">
        <v>24</v>
      </c>
      <c r="C11" s="54">
        <f>C25</f>
        <v>9210540.0419200007</v>
      </c>
    </row>
    <row r="12" spans="1:45" x14ac:dyDescent="0.25">
      <c r="A12" s="107" t="s">
        <v>88</v>
      </c>
    </row>
    <row r="13" spans="1:45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</row>
    <row r="14" spans="1:45" s="2" customFormat="1" x14ac:dyDescent="0.25">
      <c r="A14" s="64"/>
      <c r="B14" s="65"/>
      <c r="C14" s="58" t="s">
        <v>56</v>
      </c>
      <c r="D14" s="66"/>
      <c r="E14" s="66">
        <v>46133</v>
      </c>
      <c r="F14" s="66">
        <v>46134</v>
      </c>
      <c r="G14" s="66">
        <v>46135</v>
      </c>
      <c r="H14" s="66">
        <v>46136</v>
      </c>
      <c r="I14" s="66">
        <v>46137</v>
      </c>
      <c r="J14" s="66">
        <v>46138</v>
      </c>
      <c r="K14" s="66">
        <v>46139</v>
      </c>
      <c r="L14" s="66">
        <v>46140</v>
      </c>
      <c r="M14" s="66">
        <v>46141</v>
      </c>
      <c r="N14" s="66">
        <v>46142</v>
      </c>
      <c r="O14" s="66">
        <v>46143</v>
      </c>
      <c r="P14" s="66">
        <v>46144</v>
      </c>
      <c r="Q14" s="66">
        <v>46145</v>
      </c>
      <c r="R14" s="66">
        <v>46146</v>
      </c>
      <c r="S14" s="66">
        <v>46147</v>
      </c>
      <c r="T14" s="66">
        <v>46148</v>
      </c>
      <c r="U14" s="66">
        <v>46149</v>
      </c>
      <c r="V14" s="66">
        <v>46150</v>
      </c>
      <c r="W14" s="66">
        <v>46151</v>
      </c>
      <c r="X14" s="66">
        <v>46152</v>
      </c>
      <c r="Y14" s="66">
        <v>46153</v>
      </c>
      <c r="Z14" s="66">
        <v>46154</v>
      </c>
      <c r="AA14" s="66">
        <v>46155</v>
      </c>
      <c r="AB14" s="66">
        <v>46156</v>
      </c>
      <c r="AC14" s="66">
        <v>46157</v>
      </c>
      <c r="AD14" s="66">
        <v>46158</v>
      </c>
      <c r="AE14" s="66">
        <v>46159</v>
      </c>
      <c r="AF14" s="66">
        <v>46160</v>
      </c>
      <c r="AG14" s="66">
        <v>46161</v>
      </c>
      <c r="AH14" s="66">
        <v>46162</v>
      </c>
      <c r="AI14" s="66">
        <v>46163</v>
      </c>
      <c r="AJ14" s="66">
        <v>46164</v>
      </c>
      <c r="AK14" s="66">
        <v>46165</v>
      </c>
      <c r="AL14" s="66">
        <v>46166</v>
      </c>
      <c r="AM14" s="66">
        <v>46167</v>
      </c>
      <c r="AN14" s="66">
        <v>46168</v>
      </c>
      <c r="AO14" s="66">
        <v>46169</v>
      </c>
      <c r="AP14" s="66">
        <v>46170</v>
      </c>
      <c r="AQ14" s="66">
        <v>46171</v>
      </c>
      <c r="AR14" s="66">
        <v>46172</v>
      </c>
      <c r="AS14" s="66">
        <v>46173</v>
      </c>
    </row>
    <row r="15" spans="1:45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</row>
    <row r="16" spans="1:45" s="2" customFormat="1" x14ac:dyDescent="0.25">
      <c r="A16" s="39" t="s">
        <v>0</v>
      </c>
      <c r="B16" s="20"/>
      <c r="C16" s="29">
        <f>SUM(C18:C23)</f>
        <v>0</v>
      </c>
      <c r="D16" s="29"/>
      <c r="E16" s="29">
        <f t="shared" ref="E16:W16" si="0">SUM(E17:E24)</f>
        <v>0</v>
      </c>
      <c r="F16" s="29">
        <f t="shared" si="0"/>
        <v>2664103.9751200005</v>
      </c>
      <c r="G16" s="29">
        <f t="shared" si="0"/>
        <v>0</v>
      </c>
      <c r="H16" s="29">
        <f t="shared" si="0"/>
        <v>500000</v>
      </c>
      <c r="I16" s="135">
        <f t="shared" si="0"/>
        <v>0</v>
      </c>
      <c r="J16" s="135">
        <f t="shared" si="0"/>
        <v>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135">
        <f t="shared" si="0"/>
        <v>0</v>
      </c>
      <c r="P16" s="135">
        <f t="shared" si="0"/>
        <v>7037500</v>
      </c>
      <c r="Q16" s="135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135">
        <f t="shared" si="0"/>
        <v>0</v>
      </c>
      <c r="X16" s="135">
        <f>SUM(X17:X24)</f>
        <v>0</v>
      </c>
      <c r="Y16" s="135">
        <f t="shared" ref="Y16:AS16" si="1">SUM(Y17:Y24)</f>
        <v>3093191.5</v>
      </c>
      <c r="Z16" s="29">
        <f t="shared" si="1"/>
        <v>0</v>
      </c>
      <c r="AA16" s="29">
        <f t="shared" si="1"/>
        <v>0</v>
      </c>
      <c r="AB16" s="29">
        <f t="shared" si="1"/>
        <v>7882500</v>
      </c>
      <c r="AC16" s="29">
        <f t="shared" si="1"/>
        <v>0</v>
      </c>
      <c r="AD16" s="135">
        <f t="shared" si="1"/>
        <v>0</v>
      </c>
      <c r="AE16" s="135">
        <f t="shared" si="1"/>
        <v>0</v>
      </c>
      <c r="AF16" s="29">
        <f t="shared" si="1"/>
        <v>0</v>
      </c>
      <c r="AG16" s="29">
        <f t="shared" si="1"/>
        <v>0</v>
      </c>
      <c r="AH16" s="29">
        <f t="shared" si="1"/>
        <v>0</v>
      </c>
      <c r="AI16" s="29">
        <f t="shared" si="1"/>
        <v>0</v>
      </c>
      <c r="AJ16" s="29">
        <f t="shared" si="1"/>
        <v>0</v>
      </c>
      <c r="AK16" s="135">
        <f t="shared" si="1"/>
        <v>0</v>
      </c>
      <c r="AL16" s="135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29">
        <f t="shared" si="1"/>
        <v>0</v>
      </c>
      <c r="AR16" s="135">
        <f t="shared" si="1"/>
        <v>0</v>
      </c>
      <c r="AS16" s="135">
        <f t="shared" si="1"/>
        <v>0</v>
      </c>
    </row>
    <row r="17" spans="1:45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</row>
    <row r="18" spans="1:45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>
        <v>500000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</row>
    <row r="19" spans="1:45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</row>
    <row r="20" spans="1:45" s="80" customFormat="1" ht="13.5" customHeigh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>
        <v>7037500</v>
      </c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>
        <v>7882500</v>
      </c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</row>
    <row r="21" spans="1:45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</row>
    <row r="22" spans="1:45" s="80" customFormat="1" ht="12" customHeight="1" x14ac:dyDescent="0.25">
      <c r="A22" s="40" t="s">
        <v>11</v>
      </c>
      <c r="B22" s="21"/>
      <c r="C22" s="59"/>
      <c r="D22" s="30"/>
      <c r="F22" s="33">
        <f>45144.8*A3-15000*A3</f>
        <v>2664103.9751200005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</row>
    <row r="23" spans="1:45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>
        <f>35000*A3</f>
        <v>3093191.5</v>
      </c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</row>
    <row r="24" spans="1:45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</row>
    <row r="25" spans="1:45" s="4" customFormat="1" x14ac:dyDescent="0.2">
      <c r="A25" s="41" t="s">
        <v>1</v>
      </c>
      <c r="B25" s="22"/>
      <c r="C25" s="34">
        <f>SUM(C27:C73)</f>
        <v>9210540.0419200007</v>
      </c>
      <c r="D25" s="34"/>
      <c r="E25" s="34">
        <f t="shared" ref="E25:AS25" si="2">SUM(E26:E74)</f>
        <v>2143418.2208000002</v>
      </c>
      <c r="F25" s="34">
        <f t="shared" si="2"/>
        <v>3704860.0907875001</v>
      </c>
      <c r="G25" s="34">
        <f t="shared" si="2"/>
        <v>326753.80000000005</v>
      </c>
      <c r="H25" s="34">
        <f t="shared" si="2"/>
        <v>2142620.86</v>
      </c>
      <c r="I25" s="34">
        <f t="shared" si="2"/>
        <v>0</v>
      </c>
      <c r="J25" s="34">
        <f t="shared" si="2"/>
        <v>0</v>
      </c>
      <c r="K25" s="34">
        <f t="shared" si="2"/>
        <v>1181925.4589999998</v>
      </c>
      <c r="L25" s="34">
        <f t="shared" si="2"/>
        <v>2320011.0650000004</v>
      </c>
      <c r="M25" s="34">
        <f t="shared" si="2"/>
        <v>1325628.5649999999</v>
      </c>
      <c r="N25" s="34">
        <f t="shared" si="2"/>
        <v>506426.565</v>
      </c>
      <c r="O25" s="34">
        <f t="shared" si="2"/>
        <v>112000</v>
      </c>
      <c r="P25" s="34">
        <f t="shared" si="2"/>
        <v>0</v>
      </c>
      <c r="Q25" s="34">
        <f t="shared" si="2"/>
        <v>0</v>
      </c>
      <c r="R25" s="34">
        <f t="shared" si="2"/>
        <v>1457189.25</v>
      </c>
      <c r="S25" s="34">
        <f t="shared" si="2"/>
        <v>2208313.5</v>
      </c>
      <c r="T25" s="34">
        <f t="shared" si="2"/>
        <v>570403.5</v>
      </c>
      <c r="U25" s="34">
        <f t="shared" si="2"/>
        <v>1134249.5</v>
      </c>
      <c r="V25" s="34">
        <f t="shared" si="2"/>
        <v>545949</v>
      </c>
      <c r="W25" s="34">
        <f t="shared" si="2"/>
        <v>0</v>
      </c>
      <c r="X25" s="34">
        <f t="shared" si="2"/>
        <v>360000</v>
      </c>
      <c r="Y25" s="34">
        <f t="shared" si="2"/>
        <v>0</v>
      </c>
      <c r="Z25" s="34">
        <f t="shared" si="2"/>
        <v>1870806</v>
      </c>
      <c r="AA25" s="34">
        <f t="shared" si="2"/>
        <v>128806</v>
      </c>
      <c r="AB25" s="34">
        <f t="shared" si="2"/>
        <v>1975506</v>
      </c>
      <c r="AC25" s="34">
        <f t="shared" si="2"/>
        <v>757012</v>
      </c>
      <c r="AD25" s="34">
        <f t="shared" si="2"/>
        <v>0</v>
      </c>
      <c r="AE25" s="34">
        <f t="shared" si="2"/>
        <v>0</v>
      </c>
      <c r="AF25" s="34">
        <f t="shared" si="2"/>
        <v>356700</v>
      </c>
      <c r="AG25" s="34">
        <f t="shared" si="2"/>
        <v>356700</v>
      </c>
      <c r="AH25" s="34">
        <f t="shared" si="2"/>
        <v>356700</v>
      </c>
      <c r="AI25" s="34">
        <f t="shared" si="2"/>
        <v>356700</v>
      </c>
      <c r="AJ25" s="34">
        <f t="shared" si="2"/>
        <v>933148.2108</v>
      </c>
      <c r="AK25" s="34">
        <f t="shared" si="2"/>
        <v>0</v>
      </c>
      <c r="AL25" s="34">
        <f t="shared" si="2"/>
        <v>0</v>
      </c>
      <c r="AM25" s="34">
        <f t="shared" si="2"/>
        <v>356700</v>
      </c>
      <c r="AN25" s="34">
        <f t="shared" si="2"/>
        <v>356700</v>
      </c>
      <c r="AO25" s="34">
        <f t="shared" si="2"/>
        <v>356700</v>
      </c>
      <c r="AP25" s="34">
        <f t="shared" si="2"/>
        <v>0</v>
      </c>
      <c r="AQ25" s="34">
        <f t="shared" si="2"/>
        <v>691000</v>
      </c>
      <c r="AR25" s="34">
        <f t="shared" si="2"/>
        <v>0</v>
      </c>
      <c r="AS25" s="34">
        <f t="shared" si="2"/>
        <v>0</v>
      </c>
    </row>
    <row r="26" spans="1:45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</row>
    <row r="27" spans="1:45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</row>
    <row r="28" spans="1:45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</row>
    <row r="29" spans="1:45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</row>
    <row r="30" spans="1:45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90">
        <v>2000000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</row>
    <row r="31" spans="1:45" s="1" customFormat="1" x14ac:dyDescent="0.2">
      <c r="A31" s="36" t="s">
        <v>7</v>
      </c>
      <c r="B31" s="23" t="s">
        <v>8</v>
      </c>
      <c r="C31" s="60"/>
      <c r="D31" s="24"/>
      <c r="F31" s="24">
        <f>850000+560000</f>
        <v>1410000</v>
      </c>
      <c r="G31" s="24"/>
      <c r="H31" s="24">
        <f>643714.22/2</f>
        <v>321857.11</v>
      </c>
      <c r="J31" s="24"/>
      <c r="K31" s="24"/>
      <c r="L31" s="24"/>
      <c r="M31" s="24"/>
      <c r="N31" s="24"/>
      <c r="O31" s="24"/>
      <c r="P31" s="24"/>
      <c r="Q31" s="24"/>
      <c r="R31" s="24">
        <v>560000</v>
      </c>
      <c r="S31" s="24"/>
      <c r="T31" s="24"/>
      <c r="U31" s="24"/>
      <c r="V31" s="24"/>
      <c r="W31" s="24"/>
      <c r="X31" s="24">
        <v>360000</v>
      </c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</row>
    <row r="32" spans="1:45" s="1" customFormat="1" x14ac:dyDescent="0.2">
      <c r="A32" s="36" t="s">
        <v>118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>
        <v>271506</v>
      </c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</row>
    <row r="33" spans="1:45" s="1" customFormat="1" x14ac:dyDescent="0.2">
      <c r="A33" s="36" t="s">
        <v>54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</row>
    <row r="34" spans="1:45" s="1" customFormat="1" x14ac:dyDescent="0.2">
      <c r="A34" s="36" t="s">
        <v>71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>
        <v>200113.9</v>
      </c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</row>
    <row r="35" spans="1:45" s="1" customFormat="1" x14ac:dyDescent="0.2">
      <c r="A35" s="36" t="s">
        <v>53</v>
      </c>
      <c r="B35" s="23"/>
      <c r="C35" s="60"/>
      <c r="D35" s="24"/>
      <c r="E35" s="100">
        <v>83218.3</v>
      </c>
      <c r="F35" s="24"/>
      <c r="G35" s="24"/>
      <c r="H35" s="24"/>
      <c r="I35" s="24"/>
      <c r="J35" s="24"/>
      <c r="K35" s="24"/>
      <c r="L35" s="24"/>
      <c r="M35" s="24"/>
      <c r="N35" s="24"/>
      <c r="P35" s="24"/>
      <c r="Q35" s="24"/>
      <c r="S35" s="24"/>
      <c r="T35" s="24"/>
      <c r="U35" s="24"/>
      <c r="V35" s="24">
        <v>545949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</row>
    <row r="36" spans="1:45" s="1" customFormat="1" ht="11.25" customHeight="1" x14ac:dyDescent="0.2">
      <c r="A36" s="47"/>
      <c r="B36" s="48"/>
      <c r="C36" s="67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</row>
    <row r="37" spans="1:45" s="71" customFormat="1" x14ac:dyDescent="0.2">
      <c r="A37" s="69" t="s">
        <v>14</v>
      </c>
      <c r="B37" s="25" t="s">
        <v>30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P37" s="24"/>
      <c r="Q37" s="24"/>
      <c r="R37" s="24"/>
      <c r="S37" s="24"/>
      <c r="U37" s="24"/>
      <c r="V37" s="24"/>
      <c r="W37" s="24"/>
      <c r="X37" s="24"/>
      <c r="Y37" s="24"/>
      <c r="Z37" s="24">
        <v>730000</v>
      </c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</row>
    <row r="38" spans="1:45" s="71" customFormat="1" x14ac:dyDescent="0.2">
      <c r="A38" s="69" t="s">
        <v>115</v>
      </c>
      <c r="B38" s="25" t="s">
        <v>116</v>
      </c>
      <c r="C38" s="70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100">
        <v>156160</v>
      </c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</row>
    <row r="39" spans="1:45" s="71" customFormat="1" x14ac:dyDescent="0.2">
      <c r="A39" s="69" t="s">
        <v>117</v>
      </c>
      <c r="B39" s="25" t="s">
        <v>119</v>
      </c>
      <c r="C39" s="70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8"/>
      <c r="V39" s="24"/>
      <c r="W39" s="24"/>
      <c r="X39" s="24"/>
      <c r="Y39" s="24"/>
      <c r="Z39" s="24"/>
      <c r="AA39" s="24"/>
      <c r="AB39" s="24"/>
      <c r="AC39" s="28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100">
        <v>691000</v>
      </c>
      <c r="AR39" s="24"/>
      <c r="AS39" s="24"/>
    </row>
    <row r="40" spans="1:45" s="71" customFormat="1" x14ac:dyDescent="0.2">
      <c r="A40" s="69" t="s">
        <v>97</v>
      </c>
      <c r="B40" s="25" t="s">
        <v>98</v>
      </c>
      <c r="C40" s="70"/>
      <c r="D40" s="24"/>
      <c r="E40" s="24"/>
      <c r="F40" s="100">
        <v>311400</v>
      </c>
      <c r="G40" s="24"/>
      <c r="H40" s="24"/>
      <c r="I40" s="24"/>
      <c r="J40" s="24"/>
      <c r="K40" s="24"/>
      <c r="L40" s="24"/>
      <c r="M40" s="100">
        <v>311400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</row>
    <row r="41" spans="1:45" s="71" customFormat="1" x14ac:dyDescent="0.2">
      <c r="A41" s="69" t="s">
        <v>17</v>
      </c>
      <c r="B41" s="25" t="s">
        <v>41</v>
      </c>
      <c r="C41" s="70">
        <f>1375000-500000-175000</f>
        <v>700000</v>
      </c>
      <c r="D41" s="24"/>
      <c r="E41" s="24"/>
      <c r="G41" s="24"/>
      <c r="I41" s="24"/>
      <c r="J41" s="24"/>
      <c r="K41" s="129">
        <v>175000</v>
      </c>
      <c r="M41" s="129">
        <v>175000</v>
      </c>
      <c r="P41" s="24"/>
      <c r="Q41" s="24"/>
      <c r="R41" s="24"/>
      <c r="S41" s="129">
        <v>175000</v>
      </c>
      <c r="T41" s="24"/>
      <c r="U41" s="129">
        <v>175000</v>
      </c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</row>
    <row r="42" spans="1:45" s="71" customFormat="1" x14ac:dyDescent="0.2">
      <c r="A42" s="69" t="s">
        <v>15</v>
      </c>
      <c r="B42" s="25" t="s">
        <v>31</v>
      </c>
      <c r="C42" s="70">
        <f>1289912-50000-50000-75000</f>
        <v>1114912</v>
      </c>
      <c r="D42" s="24"/>
      <c r="E42" s="100">
        <v>125000</v>
      </c>
      <c r="F42" s="108">
        <v>100000</v>
      </c>
      <c r="G42" s="108">
        <v>100000</v>
      </c>
      <c r="H42" s="108">
        <v>100000</v>
      </c>
      <c r="I42" s="24"/>
      <c r="J42" s="24"/>
      <c r="K42" s="108">
        <v>104464</v>
      </c>
      <c r="L42" s="108">
        <v>150000</v>
      </c>
      <c r="M42" s="108">
        <v>100000</v>
      </c>
      <c r="N42" s="108">
        <v>100000</v>
      </c>
      <c r="O42" s="28"/>
      <c r="P42" s="28"/>
      <c r="Q42" s="24"/>
      <c r="R42" s="108">
        <v>65224</v>
      </c>
      <c r="S42" s="108">
        <v>90224</v>
      </c>
      <c r="T42" s="108">
        <v>115224</v>
      </c>
      <c r="U42" s="108">
        <v>25000</v>
      </c>
      <c r="V42" s="24"/>
      <c r="W42" s="24"/>
      <c r="X42" s="24"/>
      <c r="Z42" s="98">
        <f>515224/4</f>
        <v>128806</v>
      </c>
      <c r="AA42" s="98">
        <f>515224/4</f>
        <v>128806</v>
      </c>
      <c r="AB42" s="98">
        <f>515224/4</f>
        <v>128806</v>
      </c>
      <c r="AC42" s="98">
        <f>515224/4</f>
        <v>128806</v>
      </c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</row>
    <row r="43" spans="1:45" s="71" customFormat="1" x14ac:dyDescent="0.2">
      <c r="A43" s="69" t="s">
        <v>19</v>
      </c>
      <c r="B43" s="25" t="s">
        <v>46</v>
      </c>
      <c r="C43" s="70">
        <f>5350*A3</f>
        <v>472816.41500000004</v>
      </c>
      <c r="D43" s="24"/>
      <c r="E43" s="100">
        <f>2000*$A$3</f>
        <v>176753.80000000002</v>
      </c>
      <c r="F43" s="129">
        <f>500*$A$3</f>
        <v>44188.450000000004</v>
      </c>
      <c r="G43" s="129">
        <f>2000*$A$3</f>
        <v>176753.80000000002</v>
      </c>
      <c r="H43" s="129">
        <f>500*$A$3</f>
        <v>44188.450000000004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</row>
    <row r="44" spans="1:45" s="71" customFormat="1" x14ac:dyDescent="0.2">
      <c r="A44" s="69" t="s">
        <v>16</v>
      </c>
      <c r="B44" s="25" t="s">
        <v>32</v>
      </c>
      <c r="C44" s="70">
        <f>722080-56200-49941-90880</f>
        <v>525059</v>
      </c>
      <c r="D44" s="24"/>
      <c r="E44" s="24"/>
      <c r="F44" s="108">
        <f>66588+33294</f>
        <v>99882</v>
      </c>
      <c r="H44" s="108">
        <f>66588+33294</f>
        <v>99882</v>
      </c>
      <c r="I44" s="24"/>
      <c r="J44" s="24"/>
      <c r="K44" s="108">
        <f>66588+33294+99882</f>
        <v>199764</v>
      </c>
      <c r="L44" s="108">
        <f>(66588+33294)/2</f>
        <v>49941</v>
      </c>
      <c r="M44" s="95">
        <v>332940</v>
      </c>
      <c r="N44" s="108">
        <f>66588+33294+35506</f>
        <v>135388</v>
      </c>
      <c r="O44" s="24"/>
      <c r="P44" s="24"/>
      <c r="Q44" s="24"/>
      <c r="R44" s="108">
        <f>499410/4</f>
        <v>124852.5</v>
      </c>
      <c r="S44" s="108">
        <f>499410/4</f>
        <v>124852.5</v>
      </c>
      <c r="T44" s="108">
        <f>499410/4</f>
        <v>124852.5</v>
      </c>
      <c r="U44" s="108">
        <f>499410/4</f>
        <v>124852.5</v>
      </c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</row>
    <row r="45" spans="1:45" s="71" customFormat="1" x14ac:dyDescent="0.2">
      <c r="A45" s="69" t="s">
        <v>85</v>
      </c>
      <c r="B45" s="25" t="s">
        <v>47</v>
      </c>
      <c r="C45" s="70">
        <f>2580*A6</f>
        <v>194111.46</v>
      </c>
      <c r="D45" s="24"/>
      <c r="E45" s="24"/>
      <c r="F45" s="24"/>
      <c r="G45" s="24"/>
      <c r="H45" s="24"/>
      <c r="I45" s="24"/>
      <c r="J45" s="24"/>
      <c r="K45" s="108">
        <f>645*$A$6</f>
        <v>48527.864999999998</v>
      </c>
      <c r="L45" s="108">
        <f>645*$A$6</f>
        <v>48527.864999999998</v>
      </c>
      <c r="M45" s="108">
        <f>645*$A$6</f>
        <v>48527.864999999998</v>
      </c>
      <c r="N45" s="108">
        <f>645*$A$6</f>
        <v>48527.864999999998</v>
      </c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</row>
    <row r="46" spans="1:45" s="73" customFormat="1" x14ac:dyDescent="0.2">
      <c r="A46" s="69" t="s">
        <v>22</v>
      </c>
      <c r="B46" s="25" t="s">
        <v>48</v>
      </c>
      <c r="C46" s="137">
        <f>10906*A9</f>
        <v>120421.8708</v>
      </c>
      <c r="D46" s="72"/>
      <c r="E46" s="100">
        <f>5906*$A$9</f>
        <v>65212.870800000004</v>
      </c>
      <c r="F46" s="129">
        <f>5000*$A$9</f>
        <v>55209</v>
      </c>
      <c r="G46" s="24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138">
        <f>52206*A9</f>
        <v>576448.2108</v>
      </c>
      <c r="AK46" s="72"/>
      <c r="AL46" s="72"/>
      <c r="AM46" s="72"/>
      <c r="AN46" s="72"/>
      <c r="AO46" s="72"/>
      <c r="AP46" s="72"/>
      <c r="AQ46" s="72"/>
      <c r="AR46" s="72"/>
      <c r="AS46" s="72"/>
    </row>
    <row r="47" spans="1:45" s="73" customFormat="1" x14ac:dyDescent="0.2">
      <c r="A47" s="69" t="s">
        <v>108</v>
      </c>
      <c r="B47" s="25" t="s">
        <v>109</v>
      </c>
      <c r="C47" s="120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</row>
    <row r="48" spans="1:45" s="71" customFormat="1" x14ac:dyDescent="0.2">
      <c r="A48" s="69" t="s">
        <v>36</v>
      </c>
      <c r="B48" s="25" t="s">
        <v>37</v>
      </c>
      <c r="C48" s="130"/>
      <c r="D48" s="24"/>
      <c r="E48" s="24"/>
      <c r="F48" s="24"/>
      <c r="G48" s="24"/>
      <c r="H48" s="24"/>
      <c r="I48" s="24"/>
      <c r="J48" s="24"/>
      <c r="K48" s="100">
        <f>2662*A6</f>
        <v>200280.894</v>
      </c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</row>
    <row r="49" spans="1:45" s="71" customFormat="1" x14ac:dyDescent="0.2">
      <c r="A49" s="69" t="s">
        <v>86</v>
      </c>
      <c r="B49" s="25" t="s">
        <v>35</v>
      </c>
      <c r="C49" s="70">
        <f>1600*$A$6+2400*A6+4050*A6</f>
        <v>605657.85</v>
      </c>
      <c r="D49" s="77"/>
      <c r="E49" s="100">
        <f>500*$A$6</f>
        <v>37618.5</v>
      </c>
      <c r="F49" s="95">
        <f>500*$A$6</f>
        <v>37618.5</v>
      </c>
      <c r="G49" s="24"/>
      <c r="H49" s="95">
        <f>600*$A$6</f>
        <v>45142.2</v>
      </c>
      <c r="I49" s="24"/>
      <c r="J49" s="24"/>
      <c r="K49" s="108">
        <f>600*$A$6</f>
        <v>45142.2</v>
      </c>
      <c r="L49" s="108">
        <f>600*$A$6</f>
        <v>45142.2</v>
      </c>
      <c r="M49" s="108">
        <f>600*$A$6</f>
        <v>45142.2</v>
      </c>
      <c r="N49" s="108">
        <f>600*$A$6</f>
        <v>45142.2</v>
      </c>
      <c r="O49" s="24"/>
      <c r="P49" s="24"/>
      <c r="Q49" s="24"/>
      <c r="R49" s="108">
        <f>1050*$A$6</f>
        <v>78998.849999999991</v>
      </c>
      <c r="S49" s="108">
        <f>1000*$A$6</f>
        <v>75237</v>
      </c>
      <c r="T49" s="108">
        <f>1000*$A$6</f>
        <v>75237</v>
      </c>
      <c r="U49" s="108">
        <f>1000*$A$6</f>
        <v>75237</v>
      </c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</row>
    <row r="50" spans="1:45" s="71" customFormat="1" x14ac:dyDescent="0.2">
      <c r="A50" s="69" t="s">
        <v>111</v>
      </c>
      <c r="B50" s="25" t="s">
        <v>112</v>
      </c>
      <c r="C50" s="70"/>
      <c r="D50" s="77"/>
      <c r="E50" s="100">
        <v>25000</v>
      </c>
      <c r="F50" s="100">
        <v>27173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</row>
    <row r="51" spans="1:45" s="71" customFormat="1" x14ac:dyDescent="0.2">
      <c r="A51" s="69" t="s">
        <v>29</v>
      </c>
      <c r="B51" s="25" t="s">
        <v>42</v>
      </c>
      <c r="C51" s="70">
        <v>20000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</row>
    <row r="52" spans="1:45" s="71" customFormat="1" x14ac:dyDescent="0.2">
      <c r="A52" s="69" t="s">
        <v>29</v>
      </c>
      <c r="B52" s="25" t="s">
        <v>43</v>
      </c>
      <c r="C52" s="70">
        <v>439750</v>
      </c>
      <c r="D52" s="24"/>
      <c r="E52" s="24"/>
      <c r="F52" s="24"/>
      <c r="G52" s="24"/>
      <c r="I52" s="24"/>
      <c r="J52" s="24"/>
      <c r="K52" s="95">
        <v>100000</v>
      </c>
      <c r="L52" s="24"/>
      <c r="M52" s="95">
        <v>100000</v>
      </c>
      <c r="N52" s="95">
        <v>139750</v>
      </c>
      <c r="P52" s="24"/>
      <c r="Q52" s="24"/>
      <c r="R52" s="95">
        <v>100000</v>
      </c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</row>
    <row r="53" spans="1:45" s="71" customFormat="1" x14ac:dyDescent="0.2">
      <c r="A53" s="69" t="s">
        <v>104</v>
      </c>
      <c r="B53" s="25" t="s">
        <v>105</v>
      </c>
      <c r="C53" s="70"/>
      <c r="D53" s="77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</row>
    <row r="54" spans="1:45" s="71" customFormat="1" x14ac:dyDescent="0.2">
      <c r="A54" s="69" t="s">
        <v>99</v>
      </c>
      <c r="B54" s="25" t="s">
        <v>100</v>
      </c>
      <c r="C54" s="70"/>
      <c r="D54" s="77"/>
      <c r="E54" s="24"/>
      <c r="F54" s="100">
        <f>(581.75/2)*$A$3</f>
        <v>25706.630787500002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</row>
    <row r="55" spans="1:45" s="71" customFormat="1" x14ac:dyDescent="0.2">
      <c r="A55" s="69" t="s">
        <v>29</v>
      </c>
      <c r="B55" s="25" t="s">
        <v>55</v>
      </c>
      <c r="C55" s="70">
        <f>2500*A6</f>
        <v>188092.5</v>
      </c>
      <c r="D55" s="24"/>
      <c r="F55" s="95">
        <f>500*$A$6</f>
        <v>37618.5</v>
      </c>
      <c r="H55" s="95">
        <f>500*$A$6</f>
        <v>37618.5</v>
      </c>
      <c r="I55" s="24"/>
      <c r="J55" s="24"/>
      <c r="K55" s="95">
        <f>500*$A$6</f>
        <v>37618.5</v>
      </c>
      <c r="L55" s="24"/>
      <c r="M55" s="95">
        <f>500*$A$6</f>
        <v>37618.5</v>
      </c>
      <c r="N55" s="95">
        <f>500*$A$6</f>
        <v>37618.5</v>
      </c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</row>
    <row r="56" spans="1:45" s="71" customFormat="1" x14ac:dyDescent="0.2">
      <c r="A56" s="69" t="s">
        <v>40</v>
      </c>
      <c r="B56" s="25" t="s">
        <v>44</v>
      </c>
      <c r="C56" s="70"/>
      <c r="D56" s="24"/>
      <c r="E56" s="24"/>
      <c r="F56" s="24"/>
      <c r="G56" s="24"/>
      <c r="H56" s="24"/>
      <c r="I56" s="24"/>
      <c r="J56" s="24"/>
      <c r="K56" s="100">
        <v>1878</v>
      </c>
      <c r="L56" s="24"/>
      <c r="M56" s="24"/>
      <c r="N56" s="24"/>
      <c r="O56" s="24"/>
      <c r="P56" s="24"/>
      <c r="Q56" s="24"/>
      <c r="R56" s="24"/>
      <c r="S56" s="24"/>
      <c r="T56" s="100">
        <v>2090</v>
      </c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</row>
    <row r="57" spans="1:45" s="71" customFormat="1" x14ac:dyDescent="0.2">
      <c r="A57" s="69" t="s">
        <v>90</v>
      </c>
      <c r="B57" s="25" t="s">
        <v>91</v>
      </c>
      <c r="C57" s="70"/>
      <c r="D57" s="77"/>
      <c r="E57" s="24"/>
      <c r="F57" s="24"/>
      <c r="G57" s="24"/>
      <c r="H57" s="24"/>
      <c r="I57" s="24"/>
      <c r="J57" s="24"/>
      <c r="L57" s="24"/>
      <c r="M57" s="24"/>
      <c r="N57" s="24"/>
      <c r="O57" s="24"/>
      <c r="Q57" s="24"/>
      <c r="R57" s="100">
        <f>1012000/4</f>
        <v>253000</v>
      </c>
      <c r="S57" s="100">
        <f>1012000/4</f>
        <v>253000</v>
      </c>
      <c r="T57" s="100">
        <f>1012000/4</f>
        <v>253000</v>
      </c>
      <c r="U57" s="100">
        <f>1012000/4</f>
        <v>253000</v>
      </c>
      <c r="V57" s="24"/>
      <c r="W57" s="24"/>
      <c r="X57" s="24"/>
      <c r="Y57" s="24"/>
      <c r="Z57" s="100">
        <v>1012000</v>
      </c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</row>
    <row r="58" spans="1:45" s="71" customFormat="1" x14ac:dyDescent="0.2">
      <c r="A58" s="69" t="s">
        <v>106</v>
      </c>
      <c r="B58" s="25" t="s">
        <v>107</v>
      </c>
      <c r="C58" s="70"/>
      <c r="D58" s="77"/>
      <c r="E58" s="100">
        <v>10000</v>
      </c>
      <c r="F58" s="24"/>
      <c r="G58" s="24"/>
      <c r="H58" s="100">
        <v>10000</v>
      </c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</row>
    <row r="59" spans="1:45" s="71" customFormat="1" x14ac:dyDescent="0.2">
      <c r="A59" s="69" t="s">
        <v>102</v>
      </c>
      <c r="B59" s="25" t="s">
        <v>103</v>
      </c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</row>
    <row r="60" spans="1:45" s="71" customFormat="1" x14ac:dyDescent="0.2">
      <c r="A60" s="132" t="s">
        <v>113</v>
      </c>
      <c r="B60" s="133" t="s">
        <v>114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</row>
    <row r="61" spans="1:45" s="71" customFormat="1" x14ac:dyDescent="0.2">
      <c r="A61" s="69" t="s">
        <v>34</v>
      </c>
      <c r="B61" s="25" t="s">
        <v>45</v>
      </c>
      <c r="C61" s="70">
        <f>1014000-100000</f>
        <v>914000</v>
      </c>
      <c r="D61" s="77"/>
      <c r="F61" s="106">
        <v>100000</v>
      </c>
      <c r="G61" s="106">
        <v>50000</v>
      </c>
      <c r="H61" s="106">
        <v>75000</v>
      </c>
      <c r="I61" s="24"/>
      <c r="J61" s="24"/>
      <c r="K61" s="108">
        <v>114400</v>
      </c>
      <c r="L61" s="24"/>
      <c r="M61" s="106">
        <v>175000</v>
      </c>
      <c r="N61" s="24"/>
      <c r="P61" s="24"/>
      <c r="Q61" s="24"/>
      <c r="R61" s="106">
        <v>75000</v>
      </c>
      <c r="T61" s="24"/>
      <c r="U61" s="108">
        <v>325000</v>
      </c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</row>
    <row r="62" spans="1:45" s="71" customFormat="1" x14ac:dyDescent="0.2">
      <c r="A62" s="69" t="s">
        <v>101</v>
      </c>
      <c r="B62" s="25"/>
      <c r="C62" s="70"/>
      <c r="D62" s="77"/>
      <c r="E62" s="24"/>
      <c r="F62" s="108">
        <v>60000</v>
      </c>
      <c r="G62" s="24"/>
      <c r="H62" s="108">
        <v>50000</v>
      </c>
      <c r="I62" s="24"/>
      <c r="J62" s="24"/>
      <c r="K62" s="108">
        <v>120000</v>
      </c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</row>
    <row r="63" spans="1:45" s="71" customFormat="1" x14ac:dyDescent="0.2">
      <c r="A63" s="69" t="s">
        <v>38</v>
      </c>
      <c r="B63" s="25" t="s">
        <v>39</v>
      </c>
      <c r="C63" s="70">
        <f>61500-31500</f>
        <v>30000</v>
      </c>
      <c r="D63" s="24"/>
      <c r="E63" s="100">
        <v>30000</v>
      </c>
      <c r="F63" s="100">
        <v>27000</v>
      </c>
      <c r="H63" s="100">
        <v>24000</v>
      </c>
      <c r="I63" s="24"/>
      <c r="J63" s="24"/>
      <c r="K63" s="100">
        <v>34850</v>
      </c>
      <c r="L63" s="100">
        <v>26400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</row>
    <row r="64" spans="1:45" s="71" customFormat="1" x14ac:dyDescent="0.2">
      <c r="A64" s="69" t="s">
        <v>74</v>
      </c>
      <c r="B64" s="25" t="s">
        <v>83</v>
      </c>
      <c r="C64" s="70"/>
      <c r="D64" s="24"/>
      <c r="E64" s="24"/>
      <c r="F64" s="24"/>
      <c r="G64" s="24"/>
      <c r="H64" s="98">
        <f>104492.6-69560</f>
        <v>34932.600000000006</v>
      </c>
      <c r="I64" s="24"/>
      <c r="J64" s="24"/>
      <c r="K64" s="24"/>
      <c r="L64" s="24"/>
      <c r="M64" s="24"/>
      <c r="N64" s="24"/>
      <c r="O64" s="24"/>
      <c r="P64" s="24"/>
      <c r="Q64" s="24"/>
      <c r="S64" s="24"/>
      <c r="T64" s="24"/>
      <c r="U64" s="24"/>
      <c r="V64" s="24"/>
      <c r="W64" s="24"/>
      <c r="X64" s="24"/>
      <c r="Y64" s="24"/>
      <c r="Z64" s="24"/>
      <c r="AA64" s="24"/>
      <c r="AB64" s="108">
        <f>3567000/10</f>
        <v>356700</v>
      </c>
      <c r="AC64" s="108">
        <f>3567000/10</f>
        <v>356700</v>
      </c>
      <c r="AD64" s="28"/>
      <c r="AE64" s="28"/>
      <c r="AF64" s="108">
        <f>3567000/10</f>
        <v>356700</v>
      </c>
      <c r="AG64" s="108">
        <f>3567000/10</f>
        <v>356700</v>
      </c>
      <c r="AH64" s="108">
        <f>3567000/10</f>
        <v>356700</v>
      </c>
      <c r="AI64" s="108">
        <f>3567000/10</f>
        <v>356700</v>
      </c>
      <c r="AJ64" s="108">
        <f>3567000/10</f>
        <v>356700</v>
      </c>
      <c r="AK64" s="28"/>
      <c r="AL64" s="28"/>
      <c r="AM64" s="108">
        <f>3567000/10</f>
        <v>356700</v>
      </c>
      <c r="AN64" s="108">
        <f>3567000/10</f>
        <v>356700</v>
      </c>
      <c r="AO64" s="108">
        <f>3567000/10</f>
        <v>356700</v>
      </c>
      <c r="AP64" s="24"/>
      <c r="AQ64" s="24"/>
      <c r="AR64" s="24"/>
      <c r="AS64" s="24"/>
    </row>
    <row r="65" spans="1:45" s="73" customFormat="1" ht="2.25" customHeight="1" x14ac:dyDescent="0.2">
      <c r="A65" s="78"/>
      <c r="B65" s="79"/>
      <c r="C65" s="75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 t="s">
        <v>89</v>
      </c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</row>
    <row r="66" spans="1:45" s="94" customFormat="1" ht="33.75" x14ac:dyDescent="0.2">
      <c r="A66" s="91" t="s">
        <v>60</v>
      </c>
      <c r="B66" s="92" t="s">
        <v>58</v>
      </c>
      <c r="C66" s="93">
        <v>248639.70012000017</v>
      </c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</row>
    <row r="67" spans="1:45" s="94" customFormat="1" ht="33.75" x14ac:dyDescent="0.2">
      <c r="A67" s="91" t="s">
        <v>60</v>
      </c>
      <c r="B67" s="92" t="s">
        <v>59</v>
      </c>
      <c r="C67" s="93">
        <v>0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</row>
    <row r="68" spans="1:45" s="5" customFormat="1" ht="2.25" customHeight="1" x14ac:dyDescent="0.2">
      <c r="A68" s="42"/>
      <c r="B68" s="12"/>
      <c r="C68" s="68"/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</row>
    <row r="69" spans="1:45" s="5" customFormat="1" x14ac:dyDescent="0.2">
      <c r="A69" s="36" t="s">
        <v>49</v>
      </c>
      <c r="B69" s="12"/>
      <c r="C69" s="13"/>
      <c r="D69" s="26"/>
      <c r="E69" s="13">
        <v>1200614.75</v>
      </c>
      <c r="F69" s="126">
        <v>1369064.01</v>
      </c>
      <c r="G69" s="13"/>
      <c r="H69" s="13"/>
      <c r="I69" s="13"/>
      <c r="J69" s="13"/>
      <c r="K69" s="13"/>
      <c r="L69" s="13"/>
      <c r="M69" s="13"/>
      <c r="N69" s="13"/>
      <c r="O69" s="13"/>
      <c r="Q69" s="13"/>
      <c r="R69" s="13"/>
      <c r="S69" s="13">
        <v>1490000</v>
      </c>
      <c r="T69" s="13"/>
      <c r="U69" s="13"/>
      <c r="V69" s="13"/>
      <c r="W69" s="13"/>
      <c r="X69" s="13"/>
      <c r="Y69" s="13"/>
      <c r="Z69" s="13"/>
      <c r="AA69" s="13"/>
      <c r="AB69" s="13">
        <v>1490000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</row>
    <row r="70" spans="1:45" s="5" customFormat="1" x14ac:dyDescent="0.2">
      <c r="A70" s="36" t="s">
        <v>57</v>
      </c>
      <c r="B70" s="12"/>
      <c r="C70" s="68"/>
      <c r="D70" s="26"/>
      <c r="F70" s="13"/>
      <c r="G70" s="13"/>
      <c r="H70" s="13">
        <v>1300000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</row>
    <row r="71" spans="1:45" s="5" customFormat="1" x14ac:dyDescent="0.2">
      <c r="A71" s="36" t="s">
        <v>61</v>
      </c>
      <c r="B71" s="12"/>
      <c r="C71" s="68"/>
      <c r="D71" s="26"/>
      <c r="E71" s="13">
        <v>390000</v>
      </c>
      <c r="F71" s="13"/>
      <c r="G71" s="13"/>
      <c r="H71" s="13"/>
      <c r="I71" s="13"/>
      <c r="J71" s="13"/>
      <c r="K71" s="13"/>
      <c r="L71" s="13"/>
      <c r="M71" s="13"/>
      <c r="N71" s="13"/>
      <c r="O71" s="13">
        <v>112000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</row>
    <row r="72" spans="1:45" s="5" customFormat="1" ht="2.25" customHeigh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</row>
    <row r="73" spans="1:45" s="5" customFormat="1" x14ac:dyDescent="0.2">
      <c r="A73" s="36" t="s">
        <v>72</v>
      </c>
      <c r="B73" s="27" t="s">
        <v>73</v>
      </c>
      <c r="C73" s="62">
        <v>3637079.2460000003</v>
      </c>
      <c r="D73" s="35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</row>
    <row r="74" spans="1:45" s="5" customFormat="1" ht="2.25" customHeight="1" x14ac:dyDescent="0.2">
      <c r="A74" s="42"/>
      <c r="B74" s="12"/>
      <c r="C74" s="61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</row>
    <row r="75" spans="1:45" s="84" customFormat="1" x14ac:dyDescent="0.2">
      <c r="A75" s="81" t="s">
        <v>66</v>
      </c>
      <c r="B75" s="82"/>
      <c r="C75" s="63"/>
      <c r="D75" s="83"/>
      <c r="E75" s="83">
        <f>$C$5+E16-E25</f>
        <v>4475240.0791999996</v>
      </c>
      <c r="F75" s="83">
        <f t="shared" ref="F75:AS75" si="3">E75+F16-F25</f>
        <v>3434483.9635325</v>
      </c>
      <c r="G75" s="83">
        <f t="shared" si="3"/>
        <v>3107730.1635325002</v>
      </c>
      <c r="H75" s="83">
        <f t="shared" si="3"/>
        <v>1465109.3035325003</v>
      </c>
      <c r="I75" s="83">
        <f t="shared" si="3"/>
        <v>1465109.3035325003</v>
      </c>
      <c r="J75" s="83">
        <f t="shared" si="3"/>
        <v>1465109.3035325003</v>
      </c>
      <c r="K75" s="83">
        <f t="shared" si="3"/>
        <v>283183.84453250049</v>
      </c>
      <c r="L75" s="83">
        <f t="shared" si="3"/>
        <v>-2036827.2204674999</v>
      </c>
      <c r="M75" s="83">
        <f t="shared" si="3"/>
        <v>-3362455.7854674999</v>
      </c>
      <c r="N75" s="83">
        <f t="shared" si="3"/>
        <v>-3868882.3504674998</v>
      </c>
      <c r="O75" s="83">
        <f t="shared" si="3"/>
        <v>-3980882.3504674998</v>
      </c>
      <c r="P75" s="83">
        <f t="shared" si="3"/>
        <v>3056617.6495325002</v>
      </c>
      <c r="Q75" s="83">
        <f t="shared" si="3"/>
        <v>3056617.6495325002</v>
      </c>
      <c r="R75" s="83">
        <f t="shared" si="3"/>
        <v>1599428.3995325002</v>
      </c>
      <c r="S75" s="83">
        <f t="shared" si="3"/>
        <v>-608885.10046749981</v>
      </c>
      <c r="T75" s="83">
        <f t="shared" si="3"/>
        <v>-1179288.6004674998</v>
      </c>
      <c r="U75" s="83">
        <f t="shared" si="3"/>
        <v>-2313538.1004674998</v>
      </c>
      <c r="V75" s="83">
        <f t="shared" si="3"/>
        <v>-2859487.1004674998</v>
      </c>
      <c r="W75" s="83">
        <f t="shared" si="3"/>
        <v>-2859487.1004674998</v>
      </c>
      <c r="X75" s="83">
        <f t="shared" si="3"/>
        <v>-3219487.1004674998</v>
      </c>
      <c r="Y75" s="83">
        <f t="shared" si="3"/>
        <v>-126295.60046749981</v>
      </c>
      <c r="Z75" s="83">
        <f t="shared" si="3"/>
        <v>-1997101.6004674998</v>
      </c>
      <c r="AA75" s="83">
        <f t="shared" si="3"/>
        <v>-2125907.6004674998</v>
      </c>
      <c r="AB75" s="83">
        <f t="shared" si="3"/>
        <v>3781086.3995325007</v>
      </c>
      <c r="AC75" s="83">
        <f t="shared" si="3"/>
        <v>3024074.3995325007</v>
      </c>
      <c r="AD75" s="83">
        <f t="shared" si="3"/>
        <v>3024074.3995325007</v>
      </c>
      <c r="AE75" s="83">
        <f t="shared" si="3"/>
        <v>3024074.3995325007</v>
      </c>
      <c r="AF75" s="83">
        <f t="shared" si="3"/>
        <v>2667374.3995325007</v>
      </c>
      <c r="AG75" s="83">
        <f t="shared" si="3"/>
        <v>2310674.3995325007</v>
      </c>
      <c r="AH75" s="83">
        <f t="shared" si="3"/>
        <v>1953974.3995325007</v>
      </c>
      <c r="AI75" s="83">
        <f t="shared" si="3"/>
        <v>1597274.3995325007</v>
      </c>
      <c r="AJ75" s="83">
        <f t="shared" si="3"/>
        <v>664126.18873250065</v>
      </c>
      <c r="AK75" s="83">
        <f t="shared" si="3"/>
        <v>664126.18873250065</v>
      </c>
      <c r="AL75" s="83">
        <f t="shared" si="3"/>
        <v>664126.18873250065</v>
      </c>
      <c r="AM75" s="83">
        <f t="shared" si="3"/>
        <v>307426.18873250065</v>
      </c>
      <c r="AN75" s="83">
        <f t="shared" si="3"/>
        <v>-49273.811267499346</v>
      </c>
      <c r="AO75" s="83">
        <f t="shared" si="3"/>
        <v>-405973.81126749935</v>
      </c>
      <c r="AP75" s="83">
        <f t="shared" si="3"/>
        <v>-405973.81126749935</v>
      </c>
      <c r="AQ75" s="83">
        <f t="shared" si="3"/>
        <v>-1096973.8112674993</v>
      </c>
      <c r="AR75" s="83">
        <f t="shared" si="3"/>
        <v>-1096973.8112674993</v>
      </c>
      <c r="AS75" s="83">
        <f t="shared" si="3"/>
        <v>-1096973.8112674993</v>
      </c>
    </row>
    <row r="77" spans="1:45" s="5" customFormat="1" ht="2.25" customHeight="1" x14ac:dyDescent="0.2">
      <c r="A77" s="42"/>
      <c r="B77" s="12"/>
      <c r="C77" s="68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</row>
    <row r="78" spans="1:45" s="89" customFormat="1" ht="11.25" customHeight="1" x14ac:dyDescent="0.2">
      <c r="A78" s="85" t="s">
        <v>65</v>
      </c>
      <c r="B78" s="86"/>
      <c r="C78" s="87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</row>
    <row r="79" spans="1:45" s="5" customFormat="1" ht="22.5" x14ac:dyDescent="0.2">
      <c r="A79" s="36" t="s">
        <v>67</v>
      </c>
      <c r="B79" s="27" t="s">
        <v>68</v>
      </c>
      <c r="C79" s="68">
        <v>3221210.79</v>
      </c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</row>
    <row r="80" spans="1:45" s="5" customFormat="1" x14ac:dyDescent="0.2">
      <c r="A80" s="36" t="s">
        <v>69</v>
      </c>
      <c r="B80" s="27" t="s">
        <v>70</v>
      </c>
      <c r="C80" s="68">
        <v>9814338.4000000004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</row>
    <row r="81" spans="1:45" s="5" customFormat="1" x14ac:dyDescent="0.2">
      <c r="A81" s="36"/>
      <c r="B81" s="27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</row>
    <row r="82" spans="1:45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</row>
    <row r="84" spans="1:45" x14ac:dyDescent="0.25">
      <c r="B84" s="14"/>
    </row>
  </sheetData>
  <pageMargins left="0.7" right="0.7" top="0.75" bottom="0.75" header="0.3" footer="0.3"/>
  <pageSetup paperSize="9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84"/>
  <sheetViews>
    <sheetView topLeftCell="A31" workbookViewId="0">
      <selection activeCell="A42" sqref="A42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28" width="10.85546875" style="3" bestFit="1" customWidth="1"/>
    <col min="29" max="29" width="11.7109375" style="3" bestFit="1" customWidth="1"/>
    <col min="30" max="46" width="10.85546875" style="3" bestFit="1" customWidth="1"/>
    <col min="47" max="16384" width="9" style="3"/>
  </cols>
  <sheetData>
    <row r="1" spans="1:46" ht="12" thickBot="1" x14ac:dyDescent="0.3"/>
    <row r="2" spans="1:46" s="1" customFormat="1" x14ac:dyDescent="0.2">
      <c r="A2" s="43" t="s">
        <v>50</v>
      </c>
      <c r="B2" s="15" t="s">
        <v>27</v>
      </c>
      <c r="C2" s="50">
        <v>5826574.6600000001</v>
      </c>
    </row>
    <row r="3" spans="1:46" s="1" customFormat="1" ht="12" thickBot="1" x14ac:dyDescent="0.25">
      <c r="A3" s="44">
        <v>89.625600000000006</v>
      </c>
      <c r="B3" s="15" t="s">
        <v>28</v>
      </c>
      <c r="C3" s="50">
        <v>10778.95</v>
      </c>
    </row>
    <row r="4" spans="1:46" s="8" customFormat="1" ht="12" thickBot="1" x14ac:dyDescent="0.25">
      <c r="A4" s="45"/>
      <c r="B4" s="15" t="s">
        <v>25</v>
      </c>
      <c r="C4" s="51">
        <v>0</v>
      </c>
    </row>
    <row r="5" spans="1:46" s="6" customFormat="1" x14ac:dyDescent="0.2">
      <c r="A5" s="43" t="s">
        <v>51</v>
      </c>
      <c r="B5" s="49" t="s">
        <v>26</v>
      </c>
      <c r="C5" s="52">
        <f>SUM(C2:C4)</f>
        <v>5837353.6100000003</v>
      </c>
    </row>
    <row r="6" spans="1:46" s="6" customFormat="1" ht="12" thickBot="1" x14ac:dyDescent="0.25">
      <c r="A6" s="44">
        <v>76.0535</v>
      </c>
      <c r="B6" s="16"/>
      <c r="C6" s="53"/>
      <c r="D6" s="17"/>
    </row>
    <row r="7" spans="1:46" s="6" customFormat="1" ht="12" thickBot="1" x14ac:dyDescent="0.25">
      <c r="A7" s="105" t="s">
        <v>51</v>
      </c>
      <c r="B7" s="18" t="s">
        <v>110</v>
      </c>
      <c r="C7" s="54">
        <f>SUM(E16:AT16)</f>
        <v>22603025.786880001</v>
      </c>
    </row>
    <row r="8" spans="1:46" x14ac:dyDescent="0.25">
      <c r="A8" s="43" t="s">
        <v>52</v>
      </c>
      <c r="B8" s="18" t="s">
        <v>84</v>
      </c>
      <c r="C8" s="54">
        <f>SUM(E24:AT25)</f>
        <v>29071096.592599999</v>
      </c>
    </row>
    <row r="9" spans="1:46" ht="12" thickBot="1" x14ac:dyDescent="0.3">
      <c r="A9" s="44">
        <v>11.1457</v>
      </c>
      <c r="B9" s="19" t="s">
        <v>64</v>
      </c>
      <c r="C9" s="55">
        <f>C5+C7-C8-C11</f>
        <v>-10498858.756039999</v>
      </c>
    </row>
    <row r="10" spans="1:46" x14ac:dyDescent="0.25">
      <c r="A10" s="99" t="s">
        <v>80</v>
      </c>
      <c r="B10" s="18" t="s">
        <v>23</v>
      </c>
      <c r="C10" s="56">
        <f>C16</f>
        <v>0</v>
      </c>
    </row>
    <row r="11" spans="1:46" x14ac:dyDescent="0.25">
      <c r="A11" s="101" t="s">
        <v>87</v>
      </c>
      <c r="B11" s="18" t="s">
        <v>24</v>
      </c>
      <c r="C11" s="54">
        <f>C25</f>
        <v>9868141.5603200011</v>
      </c>
    </row>
    <row r="12" spans="1:46" x14ac:dyDescent="0.25">
      <c r="A12" s="107" t="s">
        <v>88</v>
      </c>
    </row>
    <row r="13" spans="1:46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</row>
    <row r="14" spans="1:46" s="2" customFormat="1" x14ac:dyDescent="0.25">
      <c r="A14" s="64"/>
      <c r="B14" s="65"/>
      <c r="C14" s="58" t="s">
        <v>56</v>
      </c>
      <c r="D14" s="66"/>
      <c r="E14" s="66">
        <v>46132</v>
      </c>
      <c r="F14" s="66">
        <v>46133</v>
      </c>
      <c r="G14" s="66">
        <v>46134</v>
      </c>
      <c r="H14" s="66">
        <v>46135</v>
      </c>
      <c r="I14" s="66">
        <v>46136</v>
      </c>
      <c r="J14" s="66">
        <v>46137</v>
      </c>
      <c r="K14" s="66">
        <v>46138</v>
      </c>
      <c r="L14" s="66">
        <v>46139</v>
      </c>
      <c r="M14" s="66">
        <v>46140</v>
      </c>
      <c r="N14" s="66">
        <v>46141</v>
      </c>
      <c r="O14" s="66">
        <v>46142</v>
      </c>
      <c r="P14" s="66">
        <v>46143</v>
      </c>
      <c r="Q14" s="66">
        <v>46144</v>
      </c>
      <c r="R14" s="66">
        <v>46145</v>
      </c>
      <c r="S14" s="66">
        <v>46146</v>
      </c>
      <c r="T14" s="66">
        <v>46147</v>
      </c>
      <c r="U14" s="66">
        <v>46148</v>
      </c>
      <c r="V14" s="66">
        <v>46149</v>
      </c>
      <c r="W14" s="66">
        <v>46150</v>
      </c>
      <c r="X14" s="66">
        <v>46151</v>
      </c>
      <c r="Y14" s="66">
        <v>46152</v>
      </c>
      <c r="Z14" s="66">
        <v>46153</v>
      </c>
      <c r="AA14" s="66">
        <v>46154</v>
      </c>
      <c r="AB14" s="66">
        <v>46155</v>
      </c>
      <c r="AC14" s="66">
        <v>46156</v>
      </c>
      <c r="AD14" s="66">
        <v>46157</v>
      </c>
      <c r="AE14" s="66">
        <v>46158</v>
      </c>
      <c r="AF14" s="66">
        <v>46159</v>
      </c>
      <c r="AG14" s="66">
        <v>46160</v>
      </c>
      <c r="AH14" s="66">
        <v>46161</v>
      </c>
      <c r="AI14" s="66">
        <v>46162</v>
      </c>
      <c r="AJ14" s="66">
        <v>46163</v>
      </c>
      <c r="AK14" s="66">
        <v>46164</v>
      </c>
      <c r="AL14" s="66">
        <v>46165</v>
      </c>
      <c r="AM14" s="66">
        <v>46166</v>
      </c>
      <c r="AN14" s="66">
        <v>46167</v>
      </c>
      <c r="AO14" s="66">
        <v>46168</v>
      </c>
      <c r="AP14" s="66">
        <v>46169</v>
      </c>
      <c r="AQ14" s="66">
        <v>46170</v>
      </c>
      <c r="AR14" s="66">
        <v>46171</v>
      </c>
      <c r="AS14" s="66">
        <v>46172</v>
      </c>
      <c r="AT14" s="66">
        <v>46173</v>
      </c>
    </row>
    <row r="15" spans="1:46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</row>
    <row r="16" spans="1:46" s="2" customFormat="1" x14ac:dyDescent="0.25">
      <c r="A16" s="39" t="s">
        <v>0</v>
      </c>
      <c r="B16" s="20"/>
      <c r="C16" s="29">
        <f>SUM(C18:C23)</f>
        <v>0</v>
      </c>
      <c r="D16" s="29"/>
      <c r="E16" s="29">
        <f t="shared" ref="E16:X16" si="0">SUM(E17:E24)</f>
        <v>4046129.7868800005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29">
        <f t="shared" si="0"/>
        <v>500000</v>
      </c>
      <c r="J16" s="135">
        <f t="shared" si="0"/>
        <v>0</v>
      </c>
      <c r="K16" s="135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135">
        <f t="shared" si="0"/>
        <v>0</v>
      </c>
      <c r="Q16" s="135">
        <f t="shared" si="0"/>
        <v>7037500</v>
      </c>
      <c r="R16" s="135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135">
        <f t="shared" si="0"/>
        <v>0</v>
      </c>
      <c r="Y16" s="135">
        <f>SUM(Y17:Y24)</f>
        <v>0</v>
      </c>
      <c r="Z16" s="135">
        <f t="shared" ref="Z16:AT16" si="1">SUM(Z17:Z24)</f>
        <v>3136896</v>
      </c>
      <c r="AA16" s="29">
        <f t="shared" si="1"/>
        <v>0</v>
      </c>
      <c r="AB16" s="29">
        <f t="shared" si="1"/>
        <v>0</v>
      </c>
      <c r="AC16" s="29">
        <f t="shared" si="1"/>
        <v>7882500</v>
      </c>
      <c r="AD16" s="29">
        <f t="shared" si="1"/>
        <v>0</v>
      </c>
      <c r="AE16" s="135">
        <f t="shared" si="1"/>
        <v>0</v>
      </c>
      <c r="AF16" s="135">
        <f t="shared" si="1"/>
        <v>0</v>
      </c>
      <c r="AG16" s="29">
        <f t="shared" si="1"/>
        <v>0</v>
      </c>
      <c r="AH16" s="29">
        <f t="shared" si="1"/>
        <v>0</v>
      </c>
      <c r="AI16" s="29">
        <f t="shared" si="1"/>
        <v>0</v>
      </c>
      <c r="AJ16" s="29">
        <f t="shared" si="1"/>
        <v>0</v>
      </c>
      <c r="AK16" s="29">
        <f t="shared" si="1"/>
        <v>0</v>
      </c>
      <c r="AL16" s="135">
        <f t="shared" si="1"/>
        <v>0</v>
      </c>
      <c r="AM16" s="135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29">
        <f t="shared" si="1"/>
        <v>0</v>
      </c>
      <c r="AR16" s="29">
        <f t="shared" si="1"/>
        <v>0</v>
      </c>
      <c r="AS16" s="135">
        <f t="shared" si="1"/>
        <v>0</v>
      </c>
      <c r="AT16" s="135">
        <f t="shared" si="1"/>
        <v>0</v>
      </c>
    </row>
    <row r="17" spans="1:46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</row>
    <row r="18" spans="1:46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>
        <v>500000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</row>
    <row r="19" spans="1:46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</row>
    <row r="20" spans="1:46" s="80" customFormat="1" ht="13.5" customHeigh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>
        <v>7037500</v>
      </c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>
        <v>7882500</v>
      </c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</row>
    <row r="21" spans="1:46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</row>
    <row r="22" spans="1:46" s="80" customFormat="1" ht="12" customHeight="1" x14ac:dyDescent="0.25">
      <c r="A22" s="40" t="s">
        <v>11</v>
      </c>
      <c r="B22" s="21"/>
      <c r="C22" s="59"/>
      <c r="D22" s="30"/>
      <c r="E22" s="33">
        <f>45144.8*A3</f>
        <v>4046129.7868800005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</row>
    <row r="23" spans="1:46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>
        <f>35000*A3</f>
        <v>3136896</v>
      </c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</row>
    <row r="24" spans="1:46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</row>
    <row r="25" spans="1:46" s="4" customFormat="1" x14ac:dyDescent="0.2">
      <c r="A25" s="41" t="s">
        <v>1</v>
      </c>
      <c r="B25" s="22"/>
      <c r="C25" s="34">
        <f>SUM(C27:C73)</f>
        <v>9868141.5603200011</v>
      </c>
      <c r="D25" s="34"/>
      <c r="E25" s="34">
        <f t="shared" ref="E25:AT25" si="2">SUM(E26:E74)</f>
        <v>2129447.21</v>
      </c>
      <c r="F25" s="34">
        <f t="shared" si="2"/>
        <v>3556937.5042000003</v>
      </c>
      <c r="G25" s="34">
        <f t="shared" si="2"/>
        <v>928119.64640000009</v>
      </c>
      <c r="H25" s="34">
        <f t="shared" si="2"/>
        <v>329251.20000000001</v>
      </c>
      <c r="I25" s="34">
        <f t="shared" si="2"/>
        <v>2144143.3599999999</v>
      </c>
      <c r="J25" s="34">
        <f t="shared" si="2"/>
        <v>0</v>
      </c>
      <c r="K25" s="34">
        <f t="shared" si="2"/>
        <v>0</v>
      </c>
      <c r="L25" s="34">
        <f t="shared" si="2"/>
        <v>1185523.7744999998</v>
      </c>
      <c r="M25" s="34">
        <f t="shared" si="2"/>
        <v>2294627.6074999999</v>
      </c>
      <c r="N25" s="34">
        <f t="shared" si="2"/>
        <v>1327053.3574999999</v>
      </c>
      <c r="O25" s="34">
        <f t="shared" si="2"/>
        <v>507851.35749999998</v>
      </c>
      <c r="P25" s="34">
        <f t="shared" si="2"/>
        <v>112000</v>
      </c>
      <c r="Q25" s="34">
        <f t="shared" si="2"/>
        <v>0</v>
      </c>
      <c r="R25" s="34">
        <f t="shared" si="2"/>
        <v>0</v>
      </c>
      <c r="S25" s="34">
        <f t="shared" si="2"/>
        <v>1458046.5750000002</v>
      </c>
      <c r="T25" s="34">
        <f t="shared" si="2"/>
        <v>2209130</v>
      </c>
      <c r="U25" s="34">
        <f t="shared" si="2"/>
        <v>571220</v>
      </c>
      <c r="V25" s="34">
        <f t="shared" si="2"/>
        <v>1135066</v>
      </c>
      <c r="W25" s="34">
        <f t="shared" si="2"/>
        <v>545949</v>
      </c>
      <c r="X25" s="34">
        <f t="shared" si="2"/>
        <v>0</v>
      </c>
      <c r="Y25" s="34">
        <f t="shared" si="2"/>
        <v>360000</v>
      </c>
      <c r="Z25" s="34">
        <f t="shared" si="2"/>
        <v>0</v>
      </c>
      <c r="AA25" s="34">
        <f t="shared" si="2"/>
        <v>1870806</v>
      </c>
      <c r="AB25" s="34">
        <f t="shared" si="2"/>
        <v>128806</v>
      </c>
      <c r="AC25" s="34">
        <f t="shared" si="2"/>
        <v>1975506</v>
      </c>
      <c r="AD25" s="34">
        <f t="shared" si="2"/>
        <v>757012</v>
      </c>
      <c r="AE25" s="34">
        <f t="shared" si="2"/>
        <v>0</v>
      </c>
      <c r="AF25" s="34">
        <f t="shared" si="2"/>
        <v>0</v>
      </c>
      <c r="AG25" s="34">
        <f t="shared" si="2"/>
        <v>356700</v>
      </c>
      <c r="AH25" s="34">
        <f t="shared" si="2"/>
        <v>356700</v>
      </c>
      <c r="AI25" s="34">
        <f t="shared" si="2"/>
        <v>356700</v>
      </c>
      <c r="AJ25" s="34">
        <f t="shared" si="2"/>
        <v>356700</v>
      </c>
      <c r="AK25" s="34">
        <f t="shared" si="2"/>
        <v>356700</v>
      </c>
      <c r="AL25" s="34">
        <f t="shared" si="2"/>
        <v>0</v>
      </c>
      <c r="AM25" s="34">
        <f t="shared" si="2"/>
        <v>0</v>
      </c>
      <c r="AN25" s="34">
        <f t="shared" si="2"/>
        <v>356700</v>
      </c>
      <c r="AO25" s="34">
        <f t="shared" si="2"/>
        <v>356700</v>
      </c>
      <c r="AP25" s="34">
        <f t="shared" si="2"/>
        <v>356700</v>
      </c>
      <c r="AQ25" s="34">
        <f t="shared" si="2"/>
        <v>0</v>
      </c>
      <c r="AR25" s="34">
        <f t="shared" si="2"/>
        <v>691000</v>
      </c>
      <c r="AS25" s="34">
        <f t="shared" si="2"/>
        <v>0</v>
      </c>
      <c r="AT25" s="34">
        <f t="shared" si="2"/>
        <v>0</v>
      </c>
    </row>
    <row r="26" spans="1:46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</row>
    <row r="27" spans="1:46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</row>
    <row r="28" spans="1:46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</row>
    <row r="29" spans="1:46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</row>
    <row r="30" spans="1:46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90">
        <v>2000000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</row>
    <row r="31" spans="1:46" s="1" customFormat="1" x14ac:dyDescent="0.2">
      <c r="A31" s="36" t="s">
        <v>7</v>
      </c>
      <c r="B31" s="23" t="s">
        <v>8</v>
      </c>
      <c r="C31" s="60"/>
      <c r="D31" s="24"/>
      <c r="E31" s="24"/>
      <c r="F31" s="24">
        <f>850000+560000</f>
        <v>1410000</v>
      </c>
      <c r="G31" s="24"/>
      <c r="H31" s="24"/>
      <c r="I31" s="24">
        <f>643714.22/2</f>
        <v>321857.11</v>
      </c>
      <c r="K31" s="24"/>
      <c r="L31" s="24"/>
      <c r="M31" s="24"/>
      <c r="N31" s="24"/>
      <c r="O31" s="24"/>
      <c r="P31" s="24"/>
      <c r="Q31" s="24"/>
      <c r="R31" s="24"/>
      <c r="S31" s="24">
        <v>560000</v>
      </c>
      <c r="T31" s="24"/>
      <c r="U31" s="24"/>
      <c r="V31" s="24"/>
      <c r="W31" s="24"/>
      <c r="X31" s="24"/>
      <c r="Y31" s="24">
        <v>360000</v>
      </c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</row>
    <row r="32" spans="1:46" s="1" customFormat="1" x14ac:dyDescent="0.2">
      <c r="A32" s="36" t="s">
        <v>118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>
        <v>271506</v>
      </c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</row>
    <row r="33" spans="1:46" s="1" customFormat="1" x14ac:dyDescent="0.2">
      <c r="A33" s="36" t="s">
        <v>54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</row>
    <row r="34" spans="1:46" s="1" customFormat="1" x14ac:dyDescent="0.2">
      <c r="A34" s="36" t="s">
        <v>71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>
        <v>200113.9</v>
      </c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</row>
    <row r="35" spans="1:46" s="1" customFormat="1" x14ac:dyDescent="0.2">
      <c r="A35" s="36" t="s">
        <v>53</v>
      </c>
      <c r="B35" s="23"/>
      <c r="C35" s="60"/>
      <c r="D35" s="24"/>
      <c r="E35" s="100">
        <v>80000</v>
      </c>
      <c r="F35" s="24">
        <v>83218.3</v>
      </c>
      <c r="G35" s="24"/>
      <c r="H35" s="24"/>
      <c r="I35" s="24"/>
      <c r="J35" s="24"/>
      <c r="K35" s="24"/>
      <c r="L35" s="24"/>
      <c r="M35" s="24"/>
      <c r="N35" s="24"/>
      <c r="O35" s="24"/>
      <c r="Q35" s="24"/>
      <c r="R35" s="24"/>
      <c r="T35" s="24"/>
      <c r="U35" s="24"/>
      <c r="V35" s="24"/>
      <c r="W35" s="24">
        <v>545949</v>
      </c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</row>
    <row r="36" spans="1:46" s="1" customFormat="1" ht="11.25" customHeight="1" x14ac:dyDescent="0.2">
      <c r="A36" s="47"/>
      <c r="B36" s="48"/>
      <c r="C36" s="67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</row>
    <row r="37" spans="1:46" s="71" customFormat="1" x14ac:dyDescent="0.2">
      <c r="A37" s="69" t="s">
        <v>14</v>
      </c>
      <c r="B37" s="25" t="s">
        <v>30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24"/>
      <c r="R37" s="24"/>
      <c r="S37" s="24"/>
      <c r="T37" s="24"/>
      <c r="V37" s="24"/>
      <c r="W37" s="24"/>
      <c r="X37" s="24"/>
      <c r="Y37" s="24"/>
      <c r="Z37" s="24"/>
      <c r="AA37" s="24">
        <v>730000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</row>
    <row r="38" spans="1:46" s="71" customFormat="1" x14ac:dyDescent="0.2">
      <c r="A38" s="69" t="s">
        <v>115</v>
      </c>
      <c r="B38" s="25" t="s">
        <v>116</v>
      </c>
      <c r="C38" s="70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100">
        <v>156160</v>
      </c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</row>
    <row r="39" spans="1:46" s="71" customFormat="1" x14ac:dyDescent="0.2">
      <c r="A39" s="69" t="s">
        <v>117</v>
      </c>
      <c r="B39" s="25" t="s">
        <v>119</v>
      </c>
      <c r="C39" s="70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8"/>
      <c r="W39" s="24"/>
      <c r="X39" s="24"/>
      <c r="Y39" s="24"/>
      <c r="Z39" s="24"/>
      <c r="AA39" s="24"/>
      <c r="AB39" s="24"/>
      <c r="AC39" s="24"/>
      <c r="AD39" s="28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100">
        <v>691000</v>
      </c>
      <c r="AS39" s="24"/>
      <c r="AT39" s="24"/>
    </row>
    <row r="40" spans="1:46" s="71" customFormat="1" x14ac:dyDescent="0.2">
      <c r="A40" s="69" t="s">
        <v>97</v>
      </c>
      <c r="B40" s="25" t="s">
        <v>98</v>
      </c>
      <c r="C40" s="70"/>
      <c r="D40" s="24"/>
      <c r="E40" s="24"/>
      <c r="F40" s="24"/>
      <c r="G40" s="100">
        <v>311400</v>
      </c>
      <c r="H40" s="24"/>
      <c r="I40" s="24"/>
      <c r="J40" s="24"/>
      <c r="K40" s="24"/>
      <c r="L40" s="24"/>
      <c r="M40" s="24"/>
      <c r="N40" s="100">
        <v>311400</v>
      </c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</row>
    <row r="41" spans="1:46" s="71" customFormat="1" x14ac:dyDescent="0.2">
      <c r="A41" s="69" t="s">
        <v>17</v>
      </c>
      <c r="B41" s="25" t="s">
        <v>41</v>
      </c>
      <c r="C41" s="70">
        <f>1375000-500000</f>
        <v>875000</v>
      </c>
      <c r="D41" s="24"/>
      <c r="E41" s="100">
        <v>175000</v>
      </c>
      <c r="F41" s="24"/>
      <c r="H41" s="24"/>
      <c r="J41" s="24"/>
      <c r="K41" s="24"/>
      <c r="L41" s="95">
        <v>175000</v>
      </c>
      <c r="N41" s="95">
        <v>175000</v>
      </c>
      <c r="Q41" s="24"/>
      <c r="R41" s="24"/>
      <c r="S41" s="24"/>
      <c r="T41" s="95">
        <v>175000</v>
      </c>
      <c r="U41" s="24"/>
      <c r="V41" s="95">
        <v>175000</v>
      </c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</row>
    <row r="42" spans="1:46" s="71" customFormat="1" x14ac:dyDescent="0.2">
      <c r="A42" s="69" t="s">
        <v>15</v>
      </c>
      <c r="B42" s="25" t="s">
        <v>31</v>
      </c>
      <c r="C42" s="70">
        <f>1289912-50000-50000</f>
        <v>1189912</v>
      </c>
      <c r="D42" s="24"/>
      <c r="E42" s="100">
        <v>75000</v>
      </c>
      <c r="F42" s="108">
        <v>125000</v>
      </c>
      <c r="G42" s="108">
        <v>100000</v>
      </c>
      <c r="H42" s="108">
        <v>100000</v>
      </c>
      <c r="I42" s="108">
        <v>100000</v>
      </c>
      <c r="J42" s="24"/>
      <c r="K42" s="24"/>
      <c r="L42" s="108">
        <v>104464</v>
      </c>
      <c r="M42" s="108">
        <v>150000</v>
      </c>
      <c r="N42" s="108">
        <v>100000</v>
      </c>
      <c r="O42" s="108">
        <v>100000</v>
      </c>
      <c r="P42" s="28"/>
      <c r="Q42" s="28"/>
      <c r="R42" s="24"/>
      <c r="S42" s="108">
        <v>65224</v>
      </c>
      <c r="T42" s="108">
        <v>90224</v>
      </c>
      <c r="U42" s="108">
        <v>115224</v>
      </c>
      <c r="V42" s="108">
        <v>25000</v>
      </c>
      <c r="W42" s="24"/>
      <c r="X42" s="24"/>
      <c r="Y42" s="24"/>
      <c r="AA42" s="98">
        <f>515224/4</f>
        <v>128806</v>
      </c>
      <c r="AB42" s="98">
        <f>515224/4</f>
        <v>128806</v>
      </c>
      <c r="AC42" s="98">
        <f>515224/4</f>
        <v>128806</v>
      </c>
      <c r="AD42" s="98">
        <f>515224/4</f>
        <v>128806</v>
      </c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</row>
    <row r="43" spans="1:46" s="71" customFormat="1" x14ac:dyDescent="0.2">
      <c r="A43" s="69" t="s">
        <v>19</v>
      </c>
      <c r="B43" s="25" t="s">
        <v>46</v>
      </c>
      <c r="C43" s="70">
        <f>6350*A3-600*A3</f>
        <v>515347.20000000007</v>
      </c>
      <c r="D43" s="24"/>
      <c r="E43" s="100">
        <f>750*$A$3</f>
        <v>67219.199999999997</v>
      </c>
      <c r="F43" s="129">
        <f>2000*$A$3</f>
        <v>179251.20000000001</v>
      </c>
      <c r="G43" s="129">
        <f>500*$A$3</f>
        <v>44812.800000000003</v>
      </c>
      <c r="H43" s="129">
        <f>2000*$A$3</f>
        <v>179251.20000000001</v>
      </c>
      <c r="I43" s="129">
        <f>500*$A$3</f>
        <v>44812.800000000003</v>
      </c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</row>
    <row r="44" spans="1:46" s="71" customFormat="1" x14ac:dyDescent="0.2">
      <c r="A44" s="69" t="s">
        <v>16</v>
      </c>
      <c r="B44" s="25" t="s">
        <v>32</v>
      </c>
      <c r="C44" s="70">
        <f>722080-56200-49941</f>
        <v>615939</v>
      </c>
      <c r="D44" s="24"/>
      <c r="E44" s="100">
        <f>66588+33294</f>
        <v>99882</v>
      </c>
      <c r="G44" s="108">
        <f>66588+33294</f>
        <v>99882</v>
      </c>
      <c r="I44" s="108">
        <f>66588+33294</f>
        <v>99882</v>
      </c>
      <c r="J44" s="24"/>
      <c r="K44" s="24"/>
      <c r="L44" s="108">
        <f>66588+33294+99882</f>
        <v>199764</v>
      </c>
      <c r="M44" s="108">
        <f>(66588+33294)/2</f>
        <v>49941</v>
      </c>
      <c r="N44" s="95">
        <v>332940</v>
      </c>
      <c r="O44" s="108">
        <f>66588+33294+35506</f>
        <v>135388</v>
      </c>
      <c r="P44" s="24"/>
      <c r="Q44" s="24"/>
      <c r="R44" s="24"/>
      <c r="S44" s="108">
        <f>499410/4</f>
        <v>124852.5</v>
      </c>
      <c r="T44" s="108">
        <f>499410/4</f>
        <v>124852.5</v>
      </c>
      <c r="U44" s="108">
        <f>499410/4</f>
        <v>124852.5</v>
      </c>
      <c r="V44" s="108">
        <f>499410/4</f>
        <v>124852.5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</row>
    <row r="45" spans="1:46" s="71" customFormat="1" x14ac:dyDescent="0.2">
      <c r="A45" s="69" t="s">
        <v>85</v>
      </c>
      <c r="B45" s="25" t="s">
        <v>47</v>
      </c>
      <c r="C45" s="70">
        <f>2580*A6</f>
        <v>196218.03</v>
      </c>
      <c r="D45" s="24"/>
      <c r="E45" s="24"/>
      <c r="G45" s="24"/>
      <c r="H45" s="24"/>
      <c r="I45" s="24"/>
      <c r="J45" s="24"/>
      <c r="K45" s="24"/>
      <c r="L45" s="108">
        <f>645*$A$6</f>
        <v>49054.5075</v>
      </c>
      <c r="M45" s="108">
        <f>645*$A$6</f>
        <v>49054.5075</v>
      </c>
      <c r="N45" s="108">
        <f>645*$A$6</f>
        <v>49054.5075</v>
      </c>
      <c r="O45" s="108">
        <f>645*$A$6</f>
        <v>49054.5075</v>
      </c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</row>
    <row r="46" spans="1:46" s="73" customFormat="1" x14ac:dyDescent="0.2">
      <c r="A46" s="69" t="s">
        <v>22</v>
      </c>
      <c r="B46" s="25" t="s">
        <v>48</v>
      </c>
      <c r="C46" s="137">
        <f>15906*A9</f>
        <v>177283.5042</v>
      </c>
      <c r="D46" s="72"/>
      <c r="E46" s="100">
        <f>5000*$A$9</f>
        <v>55728.5</v>
      </c>
      <c r="F46" s="129">
        <f>5906*$A$9</f>
        <v>65826.504199999996</v>
      </c>
      <c r="G46" s="129">
        <f>5000*$A$9</f>
        <v>55728.5</v>
      </c>
      <c r="H46" s="24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</row>
    <row r="47" spans="1:46" s="73" customFormat="1" x14ac:dyDescent="0.2">
      <c r="A47" s="69" t="s">
        <v>108</v>
      </c>
      <c r="B47" s="25" t="s">
        <v>109</v>
      </c>
      <c r="C47" s="120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</row>
    <row r="48" spans="1:46" s="71" customFormat="1" x14ac:dyDescent="0.2">
      <c r="A48" s="69" t="s">
        <v>36</v>
      </c>
      <c r="B48" s="25" t="s">
        <v>37</v>
      </c>
      <c r="C48" s="130"/>
      <c r="D48" s="24"/>
      <c r="E48" s="24"/>
      <c r="F48" s="24"/>
      <c r="G48" s="24"/>
      <c r="H48" s="24"/>
      <c r="I48" s="24"/>
      <c r="J48" s="24"/>
      <c r="K48" s="24"/>
      <c r="L48" s="100">
        <f>2662*A6</f>
        <v>202454.41699999999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</row>
    <row r="49" spans="1:46" s="71" customFormat="1" x14ac:dyDescent="0.2">
      <c r="A49" s="69" t="s">
        <v>86</v>
      </c>
      <c r="B49" s="25" t="s">
        <v>35</v>
      </c>
      <c r="C49" s="70">
        <f>2100*$A$6+2400*A6+4050*A6</f>
        <v>650257.42500000005</v>
      </c>
      <c r="D49" s="77"/>
      <c r="E49" s="100">
        <f>500*$A$6</f>
        <v>38026.75</v>
      </c>
      <c r="F49" s="95">
        <f>500*$A$6</f>
        <v>38026.75</v>
      </c>
      <c r="G49" s="95">
        <f>500*$A$6</f>
        <v>38026.75</v>
      </c>
      <c r="H49" s="24"/>
      <c r="I49" s="95">
        <f>600*$A$6</f>
        <v>45632.1</v>
      </c>
      <c r="J49" s="24"/>
      <c r="K49" s="24"/>
      <c r="L49" s="108">
        <f>600*$A$6</f>
        <v>45632.1</v>
      </c>
      <c r="M49" s="108">
        <f>600*$A$6</f>
        <v>45632.1</v>
      </c>
      <c r="N49" s="108">
        <f>600*$A$6</f>
        <v>45632.1</v>
      </c>
      <c r="O49" s="108">
        <f>600*$A$6</f>
        <v>45632.1</v>
      </c>
      <c r="P49" s="24"/>
      <c r="Q49" s="24"/>
      <c r="R49" s="24"/>
      <c r="S49" s="108">
        <f>1050*$A$6</f>
        <v>79856.175000000003</v>
      </c>
      <c r="T49" s="108">
        <f>1000*$A$6</f>
        <v>76053.5</v>
      </c>
      <c r="U49" s="108">
        <f>1000*$A$6</f>
        <v>76053.5</v>
      </c>
      <c r="V49" s="108">
        <f>1000*$A$6</f>
        <v>76053.5</v>
      </c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</row>
    <row r="50" spans="1:46" s="71" customFormat="1" x14ac:dyDescent="0.2">
      <c r="A50" s="69" t="s">
        <v>111</v>
      </c>
      <c r="B50" s="25" t="s">
        <v>112</v>
      </c>
      <c r="C50" s="70"/>
      <c r="D50" s="77"/>
      <c r="E50" s="24"/>
      <c r="F50" s="100">
        <v>25000</v>
      </c>
      <c r="G50" s="100">
        <v>27173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</row>
    <row r="51" spans="1:46" s="71" customFormat="1" x14ac:dyDescent="0.2">
      <c r="A51" s="69" t="s">
        <v>29</v>
      </c>
      <c r="B51" s="25" t="s">
        <v>42</v>
      </c>
      <c r="C51" s="70">
        <v>20000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</row>
    <row r="52" spans="1:46" s="71" customFormat="1" x14ac:dyDescent="0.2">
      <c r="A52" s="69" t="s">
        <v>29</v>
      </c>
      <c r="B52" s="25" t="s">
        <v>43</v>
      </c>
      <c r="C52" s="70">
        <v>439750</v>
      </c>
      <c r="D52" s="24"/>
      <c r="E52" s="24"/>
      <c r="F52" s="24"/>
      <c r="G52" s="24"/>
      <c r="H52" s="24"/>
      <c r="J52" s="24"/>
      <c r="K52" s="24"/>
      <c r="L52" s="95">
        <v>100000</v>
      </c>
      <c r="M52" s="24"/>
      <c r="N52" s="95">
        <v>100000</v>
      </c>
      <c r="O52" s="95">
        <v>139750</v>
      </c>
      <c r="Q52" s="24"/>
      <c r="R52" s="24"/>
      <c r="S52" s="95">
        <v>100000</v>
      </c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</row>
    <row r="53" spans="1:46" s="71" customFormat="1" x14ac:dyDescent="0.2">
      <c r="A53" s="69" t="s">
        <v>104</v>
      </c>
      <c r="B53" s="25" t="s">
        <v>105</v>
      </c>
      <c r="C53" s="70"/>
      <c r="D53" s="77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</row>
    <row r="54" spans="1:46" s="71" customFormat="1" x14ac:dyDescent="0.2">
      <c r="A54" s="69" t="s">
        <v>99</v>
      </c>
      <c r="B54" s="25" t="s">
        <v>100</v>
      </c>
      <c r="C54" s="70"/>
      <c r="D54" s="77"/>
      <c r="E54" s="24"/>
      <c r="F54" s="24"/>
      <c r="G54" s="100">
        <f>(581.75/2)*$A$3</f>
        <v>26069.846400000002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</row>
    <row r="55" spans="1:46" s="71" customFormat="1" x14ac:dyDescent="0.2">
      <c r="A55" s="69" t="s">
        <v>29</v>
      </c>
      <c r="B55" s="25" t="s">
        <v>55</v>
      </c>
      <c r="C55" s="70">
        <f>3530*A6-41253.4</f>
        <v>227215.45499999999</v>
      </c>
      <c r="D55" s="24"/>
      <c r="E55" s="100">
        <f>500*$A$6</f>
        <v>38026.75</v>
      </c>
      <c r="G55" s="95">
        <f>500*$A$6</f>
        <v>38026.75</v>
      </c>
      <c r="I55" s="95">
        <f>500*$A$6</f>
        <v>38026.75</v>
      </c>
      <c r="J55" s="24"/>
      <c r="K55" s="24"/>
      <c r="L55" s="95">
        <f>500*$A$6</f>
        <v>38026.75</v>
      </c>
      <c r="M55" s="24"/>
      <c r="N55" s="95">
        <f>500*$A$6</f>
        <v>38026.75</v>
      </c>
      <c r="O55" s="95">
        <f>500*$A$6</f>
        <v>38026.75</v>
      </c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</row>
    <row r="56" spans="1:46" s="71" customFormat="1" x14ac:dyDescent="0.2">
      <c r="A56" s="69" t="s">
        <v>40</v>
      </c>
      <c r="B56" s="25" t="s">
        <v>44</v>
      </c>
      <c r="C56" s="70"/>
      <c r="D56" s="24"/>
      <c r="E56" s="24"/>
      <c r="F56" s="24"/>
      <c r="G56" s="24"/>
      <c r="H56" s="24"/>
      <c r="I56" s="24"/>
      <c r="J56" s="24"/>
      <c r="K56" s="24"/>
      <c r="L56" s="100">
        <v>1878</v>
      </c>
      <c r="M56" s="24"/>
      <c r="N56" s="24"/>
      <c r="O56" s="24"/>
      <c r="P56" s="24"/>
      <c r="Q56" s="24"/>
      <c r="R56" s="24"/>
      <c r="S56" s="24"/>
      <c r="T56" s="24"/>
      <c r="U56" s="100">
        <v>2090</v>
      </c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</row>
    <row r="57" spans="1:46" s="71" customFormat="1" x14ac:dyDescent="0.2">
      <c r="A57" s="69" t="s">
        <v>90</v>
      </c>
      <c r="B57" s="25" t="s">
        <v>91</v>
      </c>
      <c r="C57" s="70"/>
      <c r="D57" s="77"/>
      <c r="E57" s="24"/>
      <c r="F57" s="24"/>
      <c r="G57" s="24"/>
      <c r="H57" s="24"/>
      <c r="I57" s="24"/>
      <c r="J57" s="24"/>
      <c r="K57" s="24"/>
      <c r="M57" s="24"/>
      <c r="N57" s="24"/>
      <c r="O57" s="24"/>
      <c r="P57" s="24"/>
      <c r="R57" s="24"/>
      <c r="S57" s="100">
        <f>1012000/4</f>
        <v>253000</v>
      </c>
      <c r="T57" s="100">
        <f>1012000/4</f>
        <v>253000</v>
      </c>
      <c r="U57" s="100">
        <f>1012000/4</f>
        <v>253000</v>
      </c>
      <c r="V57" s="100">
        <f>1012000/4</f>
        <v>253000</v>
      </c>
      <c r="W57" s="24"/>
      <c r="X57" s="24"/>
      <c r="Y57" s="24"/>
      <c r="Z57" s="24"/>
      <c r="AA57" s="100">
        <v>1012000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</row>
    <row r="58" spans="1:46" s="71" customFormat="1" x14ac:dyDescent="0.2">
      <c r="A58" s="69" t="s">
        <v>106</v>
      </c>
      <c r="B58" s="25" t="s">
        <v>107</v>
      </c>
      <c r="C58" s="70"/>
      <c r="D58" s="77"/>
      <c r="E58" s="24"/>
      <c r="F58" s="100">
        <v>10000</v>
      </c>
      <c r="G58" s="24"/>
      <c r="H58" s="24"/>
      <c r="I58" s="100">
        <v>10000</v>
      </c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</row>
    <row r="59" spans="1:46" s="71" customFormat="1" x14ac:dyDescent="0.2">
      <c r="A59" s="69" t="s">
        <v>102</v>
      </c>
      <c r="B59" s="25" t="s">
        <v>103</v>
      </c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</row>
    <row r="60" spans="1:46" s="71" customFormat="1" x14ac:dyDescent="0.2">
      <c r="A60" s="132" t="s">
        <v>113</v>
      </c>
      <c r="B60" s="133" t="s">
        <v>114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</row>
    <row r="61" spans="1:46" s="71" customFormat="1" x14ac:dyDescent="0.2">
      <c r="A61" s="69" t="s">
        <v>34</v>
      </c>
      <c r="B61" s="25" t="s">
        <v>45</v>
      </c>
      <c r="C61" s="70">
        <v>1014000</v>
      </c>
      <c r="D61" s="77"/>
      <c r="E61" s="124">
        <v>100000</v>
      </c>
      <c r="G61" s="106">
        <v>100000</v>
      </c>
      <c r="H61" s="106">
        <v>50000</v>
      </c>
      <c r="I61" s="106">
        <v>75000</v>
      </c>
      <c r="J61" s="24"/>
      <c r="K61" s="24"/>
      <c r="L61" s="108">
        <v>114400</v>
      </c>
      <c r="M61" s="24"/>
      <c r="N61" s="106">
        <v>175000</v>
      </c>
      <c r="O61" s="24"/>
      <c r="Q61" s="24"/>
      <c r="R61" s="24"/>
      <c r="S61" s="106">
        <v>75000</v>
      </c>
      <c r="U61" s="24"/>
      <c r="V61" s="108">
        <v>325000</v>
      </c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</row>
    <row r="62" spans="1:46" s="71" customFormat="1" x14ac:dyDescent="0.2">
      <c r="A62" s="69" t="s">
        <v>101</v>
      </c>
      <c r="B62" s="25"/>
      <c r="C62" s="70"/>
      <c r="D62" s="77"/>
      <c r="E62" s="24"/>
      <c r="F62" s="24"/>
      <c r="G62" s="108">
        <v>60000</v>
      </c>
      <c r="H62" s="24"/>
      <c r="I62" s="108">
        <v>50000</v>
      </c>
      <c r="J62" s="24"/>
      <c r="K62" s="24"/>
      <c r="L62" s="108">
        <v>120000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</row>
    <row r="63" spans="1:46" s="71" customFormat="1" x14ac:dyDescent="0.2">
      <c r="A63" s="69" t="s">
        <v>38</v>
      </c>
      <c r="B63" s="25" t="s">
        <v>39</v>
      </c>
      <c r="C63" s="70">
        <v>61500</v>
      </c>
      <c r="D63" s="24"/>
      <c r="E63" s="100">
        <v>31500</v>
      </c>
      <c r="F63" s="108">
        <v>30000</v>
      </c>
      <c r="G63" s="100">
        <v>27000</v>
      </c>
      <c r="I63" s="100">
        <v>24000</v>
      </c>
      <c r="J63" s="24"/>
      <c r="K63" s="24"/>
      <c r="L63" s="100">
        <v>34850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</row>
    <row r="64" spans="1:46" s="71" customFormat="1" x14ac:dyDescent="0.2">
      <c r="A64" s="69" t="s">
        <v>74</v>
      </c>
      <c r="B64" s="25" t="s">
        <v>83</v>
      </c>
      <c r="C64" s="70"/>
      <c r="D64" s="24"/>
      <c r="F64" s="24"/>
      <c r="G64" s="24"/>
      <c r="H64" s="24"/>
      <c r="I64" s="98">
        <f>104492.6-69560</f>
        <v>34932.600000000006</v>
      </c>
      <c r="J64" s="24"/>
      <c r="K64" s="24"/>
      <c r="L64" s="24"/>
      <c r="M64" s="24"/>
      <c r="N64" s="24"/>
      <c r="O64" s="24"/>
      <c r="P64" s="24"/>
      <c r="Q64" s="24"/>
      <c r="R64" s="24"/>
      <c r="T64" s="24"/>
      <c r="U64" s="24"/>
      <c r="V64" s="24"/>
      <c r="W64" s="24"/>
      <c r="X64" s="24"/>
      <c r="Y64" s="24"/>
      <c r="Z64" s="24"/>
      <c r="AA64" s="24"/>
      <c r="AB64" s="24"/>
      <c r="AC64" s="108">
        <f>3567000/10</f>
        <v>356700</v>
      </c>
      <c r="AD64" s="108">
        <f>3567000/10</f>
        <v>356700</v>
      </c>
      <c r="AE64" s="28"/>
      <c r="AF64" s="28"/>
      <c r="AG64" s="108">
        <f>3567000/10</f>
        <v>356700</v>
      </c>
      <c r="AH64" s="108">
        <f>3567000/10</f>
        <v>356700</v>
      </c>
      <c r="AI64" s="108">
        <f>3567000/10</f>
        <v>356700</v>
      </c>
      <c r="AJ64" s="108">
        <f>3567000/10</f>
        <v>356700</v>
      </c>
      <c r="AK64" s="108">
        <f>3567000/10</f>
        <v>356700</v>
      </c>
      <c r="AL64" s="28"/>
      <c r="AM64" s="28"/>
      <c r="AN64" s="108">
        <f>3567000/10</f>
        <v>356700</v>
      </c>
      <c r="AO64" s="108">
        <f>3567000/10</f>
        <v>356700</v>
      </c>
      <c r="AP64" s="108">
        <f>3567000/10</f>
        <v>356700</v>
      </c>
      <c r="AQ64" s="24"/>
      <c r="AR64" s="24"/>
      <c r="AS64" s="24"/>
      <c r="AT64" s="24"/>
    </row>
    <row r="65" spans="1:46" s="73" customFormat="1" ht="2.25" customHeight="1" x14ac:dyDescent="0.2">
      <c r="A65" s="78"/>
      <c r="B65" s="79"/>
      <c r="C65" s="75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 t="s">
        <v>89</v>
      </c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</row>
    <row r="66" spans="1:46" s="94" customFormat="1" ht="33.75" x14ac:dyDescent="0.2">
      <c r="A66" s="91" t="s">
        <v>60</v>
      </c>
      <c r="B66" s="92" t="s">
        <v>58</v>
      </c>
      <c r="C66" s="93">
        <v>248639.70012000017</v>
      </c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</row>
    <row r="67" spans="1:46" s="94" customFormat="1" ht="33.75" x14ac:dyDescent="0.2">
      <c r="A67" s="91" t="s">
        <v>60</v>
      </c>
      <c r="B67" s="92" t="s">
        <v>59</v>
      </c>
      <c r="C67" s="93">
        <v>0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</row>
    <row r="68" spans="1:46" s="5" customFormat="1" ht="2.25" customHeight="1" x14ac:dyDescent="0.2">
      <c r="A68" s="42"/>
      <c r="B68" s="12"/>
      <c r="C68" s="68"/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</row>
    <row r="69" spans="1:46" s="5" customFormat="1" x14ac:dyDescent="0.2">
      <c r="A69" s="36" t="s">
        <v>49</v>
      </c>
      <c r="B69" s="12"/>
      <c r="C69" s="13"/>
      <c r="D69" s="26"/>
      <c r="E69" s="126">
        <v>1369064.01</v>
      </c>
      <c r="F69" s="13">
        <v>1200614.75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R69" s="13"/>
      <c r="S69" s="13"/>
      <c r="T69" s="13">
        <v>1490000</v>
      </c>
      <c r="U69" s="13"/>
      <c r="V69" s="13"/>
      <c r="W69" s="13"/>
      <c r="X69" s="13"/>
      <c r="Y69" s="13"/>
      <c r="Z69" s="13"/>
      <c r="AA69" s="13"/>
      <c r="AB69" s="13"/>
      <c r="AC69" s="13">
        <v>1490000</v>
      </c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</row>
    <row r="70" spans="1:46" s="5" customFormat="1" x14ac:dyDescent="0.2">
      <c r="A70" s="36" t="s">
        <v>57</v>
      </c>
      <c r="B70" s="12"/>
      <c r="C70" s="68"/>
      <c r="D70" s="26"/>
      <c r="E70" s="13"/>
      <c r="G70" s="13"/>
      <c r="H70" s="13"/>
      <c r="I70" s="13">
        <v>1300000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</row>
    <row r="71" spans="1:46" s="5" customFormat="1" x14ac:dyDescent="0.2">
      <c r="A71" s="36" t="s">
        <v>61</v>
      </c>
      <c r="B71" s="12"/>
      <c r="C71" s="68"/>
      <c r="D71" s="26"/>
      <c r="E71" s="13"/>
      <c r="F71" s="13">
        <v>390000</v>
      </c>
      <c r="G71" s="13"/>
      <c r="H71" s="13"/>
      <c r="I71" s="13"/>
      <c r="J71" s="13"/>
      <c r="K71" s="13"/>
      <c r="L71" s="13"/>
      <c r="M71" s="13"/>
      <c r="N71" s="13"/>
      <c r="O71" s="13"/>
      <c r="P71" s="13">
        <v>112000</v>
      </c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</row>
    <row r="72" spans="1:46" s="5" customFormat="1" ht="2.25" customHeigh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</row>
    <row r="73" spans="1:46" s="5" customFormat="1" x14ac:dyDescent="0.2">
      <c r="A73" s="36" t="s">
        <v>72</v>
      </c>
      <c r="B73" s="27" t="s">
        <v>73</v>
      </c>
      <c r="C73" s="62">
        <v>3637079.2460000003</v>
      </c>
      <c r="D73" s="35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</row>
    <row r="74" spans="1:46" s="5" customFormat="1" ht="2.25" customHeight="1" x14ac:dyDescent="0.2">
      <c r="A74" s="42"/>
      <c r="B74" s="12"/>
      <c r="C74" s="61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</row>
    <row r="75" spans="1:46" s="84" customFormat="1" x14ac:dyDescent="0.2">
      <c r="A75" s="81" t="s">
        <v>66</v>
      </c>
      <c r="B75" s="82"/>
      <c r="C75" s="63"/>
      <c r="D75" s="83"/>
      <c r="E75" s="83">
        <f>$C$5+E16-E25</f>
        <v>7754036.1868800009</v>
      </c>
      <c r="F75" s="83">
        <f t="shared" ref="F75:AT75" si="3">E75+F16-F25</f>
        <v>4197098.6826800006</v>
      </c>
      <c r="G75" s="83">
        <f t="shared" si="3"/>
        <v>3268979.0362800006</v>
      </c>
      <c r="H75" s="83">
        <f t="shared" si="3"/>
        <v>2939727.8362800004</v>
      </c>
      <c r="I75" s="83">
        <f t="shared" si="3"/>
        <v>1295584.4762800005</v>
      </c>
      <c r="J75" s="83">
        <f t="shared" si="3"/>
        <v>1295584.4762800005</v>
      </c>
      <c r="K75" s="83">
        <f t="shared" si="3"/>
        <v>1295584.4762800005</v>
      </c>
      <c r="L75" s="83">
        <f t="shared" si="3"/>
        <v>110060.7017800007</v>
      </c>
      <c r="M75" s="83">
        <f t="shared" si="3"/>
        <v>-2184566.9057199992</v>
      </c>
      <c r="N75" s="83">
        <f t="shared" si="3"/>
        <v>-3511620.2632199991</v>
      </c>
      <c r="O75" s="83">
        <f t="shared" si="3"/>
        <v>-4019471.6207199991</v>
      </c>
      <c r="P75" s="83">
        <f t="shared" si="3"/>
        <v>-4131471.6207199991</v>
      </c>
      <c r="Q75" s="83">
        <f t="shared" si="3"/>
        <v>2906028.3792800009</v>
      </c>
      <c r="R75" s="83">
        <f t="shared" si="3"/>
        <v>2906028.3792800009</v>
      </c>
      <c r="S75" s="83">
        <f t="shared" si="3"/>
        <v>1447981.8042800007</v>
      </c>
      <c r="T75" s="83">
        <f t="shared" si="3"/>
        <v>-761148.19571999926</v>
      </c>
      <c r="U75" s="83">
        <f t="shared" si="3"/>
        <v>-1332368.1957199993</v>
      </c>
      <c r="V75" s="83">
        <f t="shared" si="3"/>
        <v>-2467434.1957199993</v>
      </c>
      <c r="W75" s="83">
        <f t="shared" si="3"/>
        <v>-3013383.1957199993</v>
      </c>
      <c r="X75" s="83">
        <f t="shared" si="3"/>
        <v>-3013383.1957199993</v>
      </c>
      <c r="Y75" s="83">
        <f t="shared" si="3"/>
        <v>-3373383.1957199993</v>
      </c>
      <c r="Z75" s="83">
        <f t="shared" si="3"/>
        <v>-236487.19571999926</v>
      </c>
      <c r="AA75" s="83">
        <f t="shared" si="3"/>
        <v>-2107293.1957199993</v>
      </c>
      <c r="AB75" s="83">
        <f t="shared" si="3"/>
        <v>-2236099.1957199993</v>
      </c>
      <c r="AC75" s="83">
        <f t="shared" si="3"/>
        <v>3670894.8042800007</v>
      </c>
      <c r="AD75" s="83">
        <f t="shared" si="3"/>
        <v>2913882.8042800007</v>
      </c>
      <c r="AE75" s="83">
        <f t="shared" si="3"/>
        <v>2913882.8042800007</v>
      </c>
      <c r="AF75" s="83">
        <f t="shared" si="3"/>
        <v>2913882.8042800007</v>
      </c>
      <c r="AG75" s="83">
        <f t="shared" si="3"/>
        <v>2557182.8042800007</v>
      </c>
      <c r="AH75" s="83">
        <f t="shared" si="3"/>
        <v>2200482.8042800007</v>
      </c>
      <c r="AI75" s="83">
        <f t="shared" si="3"/>
        <v>1843782.8042800007</v>
      </c>
      <c r="AJ75" s="83">
        <f t="shared" si="3"/>
        <v>1487082.8042800007</v>
      </c>
      <c r="AK75" s="83">
        <f t="shared" si="3"/>
        <v>1130382.8042800007</v>
      </c>
      <c r="AL75" s="83">
        <f t="shared" si="3"/>
        <v>1130382.8042800007</v>
      </c>
      <c r="AM75" s="83">
        <f t="shared" si="3"/>
        <v>1130382.8042800007</v>
      </c>
      <c r="AN75" s="83">
        <f t="shared" si="3"/>
        <v>773682.80428000074</v>
      </c>
      <c r="AO75" s="83">
        <f t="shared" si="3"/>
        <v>416982.80428000074</v>
      </c>
      <c r="AP75" s="83">
        <f t="shared" si="3"/>
        <v>60282.804280000739</v>
      </c>
      <c r="AQ75" s="83">
        <f t="shared" si="3"/>
        <v>60282.804280000739</v>
      </c>
      <c r="AR75" s="83">
        <f t="shared" si="3"/>
        <v>-630717.19571999926</v>
      </c>
      <c r="AS75" s="83">
        <f t="shared" si="3"/>
        <v>-630717.19571999926</v>
      </c>
      <c r="AT75" s="83">
        <f t="shared" si="3"/>
        <v>-630717.19571999926</v>
      </c>
    </row>
    <row r="77" spans="1:46" s="5" customFormat="1" ht="2.25" customHeight="1" x14ac:dyDescent="0.2">
      <c r="A77" s="42"/>
      <c r="B77" s="12"/>
      <c r="C77" s="68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</row>
    <row r="78" spans="1:46" s="89" customFormat="1" ht="11.25" customHeight="1" x14ac:dyDescent="0.2">
      <c r="A78" s="85" t="s">
        <v>65</v>
      </c>
      <c r="B78" s="86"/>
      <c r="C78" s="87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</row>
    <row r="79" spans="1:46" s="5" customFormat="1" ht="22.5" x14ac:dyDescent="0.2">
      <c r="A79" s="36" t="s">
        <v>67</v>
      </c>
      <c r="B79" s="27" t="s">
        <v>68</v>
      </c>
      <c r="C79" s="68">
        <v>3221210.79</v>
      </c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</row>
    <row r="80" spans="1:46" s="5" customFormat="1" x14ac:dyDescent="0.2">
      <c r="A80" s="36" t="s">
        <v>69</v>
      </c>
      <c r="B80" s="27" t="s">
        <v>70</v>
      </c>
      <c r="C80" s="68">
        <v>9814338.4000000004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 spans="1:46" s="5" customFormat="1" x14ac:dyDescent="0.2">
      <c r="A81" s="36"/>
      <c r="B81" s="27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</row>
    <row r="82" spans="1:46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</row>
    <row r="84" spans="1:46" x14ac:dyDescent="0.25">
      <c r="B84" s="14"/>
    </row>
  </sheetData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86"/>
  <sheetViews>
    <sheetView topLeftCell="A13" workbookViewId="0">
      <selection activeCell="A43" sqref="A43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6" width="11.7109375" style="3" bestFit="1" customWidth="1"/>
    <col min="7" max="31" width="10.85546875" style="3" bestFit="1" customWidth="1"/>
    <col min="32" max="32" width="11.7109375" style="3" bestFit="1" customWidth="1"/>
    <col min="33" max="49" width="10.85546875" style="3" bestFit="1" customWidth="1"/>
    <col min="50" max="16384" width="9" style="3"/>
  </cols>
  <sheetData>
    <row r="1" spans="1:49" ht="12" thickBot="1" x14ac:dyDescent="0.3"/>
    <row r="2" spans="1:49" s="1" customFormat="1" x14ac:dyDescent="0.2">
      <c r="A2" s="43" t="s">
        <v>50</v>
      </c>
      <c r="B2" s="15" t="s">
        <v>27</v>
      </c>
      <c r="C2" s="50">
        <v>2290307.98</v>
      </c>
    </row>
    <row r="3" spans="1:49" s="1" customFormat="1" ht="12" thickBot="1" x14ac:dyDescent="0.25">
      <c r="A3" s="44">
        <v>89.411299999999997</v>
      </c>
      <c r="B3" s="15" t="s">
        <v>28</v>
      </c>
      <c r="C3" s="50">
        <v>10778.95</v>
      </c>
    </row>
    <row r="4" spans="1:49" s="8" customFormat="1" ht="12" thickBot="1" x14ac:dyDescent="0.25">
      <c r="A4" s="45"/>
      <c r="B4" s="15" t="s">
        <v>25</v>
      </c>
      <c r="C4" s="51">
        <v>0</v>
      </c>
    </row>
    <row r="5" spans="1:49" s="6" customFormat="1" x14ac:dyDescent="0.2">
      <c r="A5" s="43" t="s">
        <v>51</v>
      </c>
      <c r="B5" s="49" t="s">
        <v>26</v>
      </c>
      <c r="C5" s="52">
        <f>SUM(C2:C4)</f>
        <v>2301086.9300000002</v>
      </c>
    </row>
    <row r="6" spans="1:49" s="6" customFormat="1" ht="12" thickBot="1" x14ac:dyDescent="0.25">
      <c r="A6" s="44">
        <v>76.086100000000002</v>
      </c>
      <c r="B6" s="16"/>
      <c r="C6" s="53"/>
      <c r="D6" s="17"/>
    </row>
    <row r="7" spans="1:49" s="6" customFormat="1" ht="12" thickBot="1" x14ac:dyDescent="0.25">
      <c r="A7" s="105" t="s">
        <v>51</v>
      </c>
      <c r="B7" s="18" t="s">
        <v>110</v>
      </c>
      <c r="C7" s="54">
        <f>SUM(E16:AW16)</f>
        <v>26609359.256239999</v>
      </c>
    </row>
    <row r="8" spans="1:49" x14ac:dyDescent="0.25">
      <c r="A8" s="43" t="s">
        <v>52</v>
      </c>
      <c r="B8" s="18" t="s">
        <v>84</v>
      </c>
      <c r="C8" s="54">
        <f>SUM(E24:AW25)</f>
        <v>29571571.959975004</v>
      </c>
    </row>
    <row r="9" spans="1:49" ht="12" thickBot="1" x14ac:dyDescent="0.3">
      <c r="A9" s="44">
        <v>11.17</v>
      </c>
      <c r="B9" s="19" t="s">
        <v>64</v>
      </c>
      <c r="C9" s="55">
        <f>C5+C7-C8-C11</f>
        <v>-9260679.8378550056</v>
      </c>
    </row>
    <row r="10" spans="1:49" x14ac:dyDescent="0.25">
      <c r="A10" s="99" t="s">
        <v>80</v>
      </c>
      <c r="B10" s="18" t="s">
        <v>23</v>
      </c>
      <c r="C10" s="56">
        <f>C16</f>
        <v>0</v>
      </c>
    </row>
    <row r="11" spans="1:49" x14ac:dyDescent="0.25">
      <c r="A11" s="101" t="s">
        <v>87</v>
      </c>
      <c r="B11" s="18" t="s">
        <v>24</v>
      </c>
      <c r="C11" s="54">
        <f>C25</f>
        <v>8599554.0641200002</v>
      </c>
    </row>
    <row r="12" spans="1:49" x14ac:dyDescent="0.25">
      <c r="A12" s="107" t="s">
        <v>88</v>
      </c>
    </row>
    <row r="13" spans="1:49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</row>
    <row r="14" spans="1:49" s="2" customFormat="1" x14ac:dyDescent="0.25">
      <c r="A14" s="64"/>
      <c r="B14" s="65"/>
      <c r="C14" s="58" t="s">
        <v>56</v>
      </c>
      <c r="D14" s="66"/>
      <c r="E14" s="66">
        <v>46129</v>
      </c>
      <c r="F14" s="66">
        <v>46130</v>
      </c>
      <c r="G14" s="66">
        <v>46131</v>
      </c>
      <c r="H14" s="66">
        <v>46132</v>
      </c>
      <c r="I14" s="66">
        <v>46133</v>
      </c>
      <c r="J14" s="66">
        <v>46134</v>
      </c>
      <c r="K14" s="66">
        <v>46135</v>
      </c>
      <c r="L14" s="66">
        <v>46136</v>
      </c>
      <c r="M14" s="66">
        <v>46137</v>
      </c>
      <c r="N14" s="66">
        <v>46138</v>
      </c>
      <c r="O14" s="66">
        <v>46139</v>
      </c>
      <c r="P14" s="66">
        <v>46140</v>
      </c>
      <c r="Q14" s="66">
        <v>46141</v>
      </c>
      <c r="R14" s="66">
        <v>46142</v>
      </c>
      <c r="S14" s="66">
        <v>46143</v>
      </c>
      <c r="T14" s="66">
        <v>46144</v>
      </c>
      <c r="U14" s="66">
        <v>46145</v>
      </c>
      <c r="V14" s="66">
        <v>46146</v>
      </c>
      <c r="W14" s="66">
        <v>46147</v>
      </c>
      <c r="X14" s="66">
        <v>46148</v>
      </c>
      <c r="Y14" s="66">
        <v>46149</v>
      </c>
      <c r="Z14" s="66">
        <v>46150</v>
      </c>
      <c r="AA14" s="66">
        <v>46151</v>
      </c>
      <c r="AB14" s="66">
        <v>46152</v>
      </c>
      <c r="AC14" s="66">
        <v>46153</v>
      </c>
      <c r="AD14" s="66">
        <v>46154</v>
      </c>
      <c r="AE14" s="66">
        <v>46155</v>
      </c>
      <c r="AF14" s="66">
        <v>46156</v>
      </c>
      <c r="AG14" s="66">
        <v>46157</v>
      </c>
      <c r="AH14" s="66">
        <v>46158</v>
      </c>
      <c r="AI14" s="66">
        <v>46159</v>
      </c>
      <c r="AJ14" s="66">
        <v>46160</v>
      </c>
      <c r="AK14" s="66">
        <v>46161</v>
      </c>
      <c r="AL14" s="66">
        <v>46162</v>
      </c>
      <c r="AM14" s="66">
        <v>46163</v>
      </c>
      <c r="AN14" s="66">
        <v>46164</v>
      </c>
      <c r="AO14" s="66">
        <v>46165</v>
      </c>
      <c r="AP14" s="66">
        <v>46166</v>
      </c>
      <c r="AQ14" s="66">
        <v>46167</v>
      </c>
      <c r="AR14" s="66">
        <v>46168</v>
      </c>
      <c r="AS14" s="66">
        <v>46169</v>
      </c>
      <c r="AT14" s="66">
        <v>46170</v>
      </c>
      <c r="AU14" s="66">
        <v>46171</v>
      </c>
      <c r="AV14" s="66">
        <v>46172</v>
      </c>
      <c r="AW14" s="66">
        <v>46173</v>
      </c>
    </row>
    <row r="15" spans="1:49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</row>
    <row r="16" spans="1:49" s="2" customFormat="1" x14ac:dyDescent="0.25">
      <c r="A16" s="39" t="s">
        <v>0</v>
      </c>
      <c r="B16" s="20"/>
      <c r="C16" s="29">
        <f>SUM(C18:C23)</f>
        <v>0</v>
      </c>
      <c r="D16" s="29"/>
      <c r="E16" s="29">
        <f t="shared" ref="E16:AA16" si="0">SUM(E17:E24)</f>
        <v>0</v>
      </c>
      <c r="F16" s="135">
        <f t="shared" si="0"/>
        <v>0</v>
      </c>
      <c r="G16" s="135">
        <f t="shared" si="0"/>
        <v>0</v>
      </c>
      <c r="H16" s="29">
        <f t="shared" si="0"/>
        <v>8059963.75624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500000</v>
      </c>
      <c r="M16" s="135">
        <f t="shared" si="0"/>
        <v>0</v>
      </c>
      <c r="N16" s="135">
        <f t="shared" si="0"/>
        <v>0</v>
      </c>
      <c r="O16" s="29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135">
        <f t="shared" si="0"/>
        <v>0</v>
      </c>
      <c r="T16" s="135">
        <f t="shared" si="0"/>
        <v>7037500</v>
      </c>
      <c r="U16" s="135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135">
        <f t="shared" si="0"/>
        <v>0</v>
      </c>
      <c r="AB16" s="135">
        <f>SUM(AB17:AB24)</f>
        <v>0</v>
      </c>
      <c r="AC16" s="135">
        <f t="shared" ref="AC16:AW16" si="1">SUM(AC17:AC24)</f>
        <v>3129395.5</v>
      </c>
      <c r="AD16" s="29">
        <f t="shared" si="1"/>
        <v>0</v>
      </c>
      <c r="AE16" s="29">
        <f t="shared" si="1"/>
        <v>0</v>
      </c>
      <c r="AF16" s="29">
        <f t="shared" si="1"/>
        <v>7882500</v>
      </c>
      <c r="AG16" s="29">
        <f t="shared" si="1"/>
        <v>0</v>
      </c>
      <c r="AH16" s="135">
        <f t="shared" si="1"/>
        <v>0</v>
      </c>
      <c r="AI16" s="135">
        <f t="shared" si="1"/>
        <v>0</v>
      </c>
      <c r="AJ16" s="29">
        <f t="shared" si="1"/>
        <v>0</v>
      </c>
      <c r="AK16" s="29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135">
        <f t="shared" si="1"/>
        <v>0</v>
      </c>
      <c r="AP16" s="135">
        <f t="shared" si="1"/>
        <v>0</v>
      </c>
      <c r="AQ16" s="29">
        <f t="shared" si="1"/>
        <v>0</v>
      </c>
      <c r="AR16" s="29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135">
        <f t="shared" si="1"/>
        <v>0</v>
      </c>
      <c r="AW16" s="135">
        <f t="shared" si="1"/>
        <v>0</v>
      </c>
    </row>
    <row r="17" spans="1:49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</row>
    <row r="18" spans="1:49" s="80" customFormat="1" x14ac:dyDescent="0.25">
      <c r="A18" s="40" t="s">
        <v>9</v>
      </c>
      <c r="B18" s="21"/>
      <c r="C18" s="59"/>
      <c r="D18" s="30"/>
      <c r="F18" s="30"/>
      <c r="G18" s="30"/>
      <c r="H18" s="30"/>
      <c r="I18" s="30"/>
      <c r="J18" s="30"/>
      <c r="K18" s="30"/>
      <c r="L18" s="30">
        <v>500000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</row>
    <row r="19" spans="1:49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</row>
    <row r="20" spans="1:49" s="80" customFormat="1" ht="13.5" customHeigh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>
        <v>7037500</v>
      </c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>
        <v>7882500</v>
      </c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</row>
    <row r="21" spans="1:49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</row>
    <row r="22" spans="1:49" s="80" customFormat="1" ht="12" customHeight="1" x14ac:dyDescent="0.25">
      <c r="A22" s="40" t="s">
        <v>11</v>
      </c>
      <c r="B22" s="21"/>
      <c r="C22" s="59"/>
      <c r="D22" s="30"/>
      <c r="E22" s="30"/>
      <c r="F22" s="30"/>
      <c r="H22" s="33">
        <f>90144.8*A3</f>
        <v>8059963.75624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</row>
    <row r="23" spans="1:49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>
        <f>35000*A3</f>
        <v>3129395.5</v>
      </c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</row>
    <row r="24" spans="1:49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</row>
    <row r="25" spans="1:49" s="4" customFormat="1" x14ac:dyDescent="0.2">
      <c r="A25" s="41" t="s">
        <v>1</v>
      </c>
      <c r="B25" s="22"/>
      <c r="C25" s="34">
        <f>SUM(C27:C75)</f>
        <v>8599554.0641200002</v>
      </c>
      <c r="D25" s="34"/>
      <c r="E25" s="34">
        <f t="shared" ref="E25:AW25" si="2">SUM(E26:E76)</f>
        <v>488904.29188750003</v>
      </c>
      <c r="F25" s="34">
        <f t="shared" si="2"/>
        <v>0</v>
      </c>
      <c r="G25" s="34">
        <f t="shared" si="2"/>
        <v>0</v>
      </c>
      <c r="H25" s="34">
        <f t="shared" si="2"/>
        <v>2724373.1850000005</v>
      </c>
      <c r="I25" s="34">
        <f t="shared" si="2"/>
        <v>2993450.42</v>
      </c>
      <c r="J25" s="34">
        <f t="shared" si="2"/>
        <v>978104.26188750006</v>
      </c>
      <c r="K25" s="34">
        <f t="shared" si="2"/>
        <v>328822.59999999998</v>
      </c>
      <c r="L25" s="34">
        <f t="shared" si="2"/>
        <v>2109139.4700000002</v>
      </c>
      <c r="M25" s="34">
        <f t="shared" si="2"/>
        <v>0</v>
      </c>
      <c r="N25" s="34">
        <f t="shared" si="2"/>
        <v>0</v>
      </c>
      <c r="O25" s="34">
        <f t="shared" si="2"/>
        <v>1150817.4427</v>
      </c>
      <c r="P25" s="34">
        <f t="shared" si="2"/>
        <v>2294668.1945000002</v>
      </c>
      <c r="Q25" s="34">
        <f t="shared" si="2"/>
        <v>1327110.2445</v>
      </c>
      <c r="R25" s="34">
        <f t="shared" si="2"/>
        <v>507908.24449999997</v>
      </c>
      <c r="S25" s="34">
        <f t="shared" si="2"/>
        <v>112000</v>
      </c>
      <c r="T25" s="34">
        <f t="shared" si="2"/>
        <v>0</v>
      </c>
      <c r="U25" s="34">
        <f t="shared" si="2"/>
        <v>0</v>
      </c>
      <c r="V25" s="34">
        <f t="shared" si="2"/>
        <v>1458080.8050000002</v>
      </c>
      <c r="W25" s="34">
        <f t="shared" si="2"/>
        <v>2209162.6</v>
      </c>
      <c r="X25" s="34">
        <f t="shared" si="2"/>
        <v>571252.6</v>
      </c>
      <c r="Y25" s="34">
        <f t="shared" si="2"/>
        <v>1135098.6000000001</v>
      </c>
      <c r="Z25" s="34">
        <f t="shared" si="2"/>
        <v>545949</v>
      </c>
      <c r="AA25" s="34">
        <f t="shared" si="2"/>
        <v>0</v>
      </c>
      <c r="AB25" s="34">
        <f t="shared" si="2"/>
        <v>360000</v>
      </c>
      <c r="AC25" s="34">
        <f t="shared" si="2"/>
        <v>0</v>
      </c>
      <c r="AD25" s="34">
        <f t="shared" si="2"/>
        <v>1870806</v>
      </c>
      <c r="AE25" s="34">
        <f t="shared" si="2"/>
        <v>128806</v>
      </c>
      <c r="AF25" s="34">
        <f t="shared" si="2"/>
        <v>1975506</v>
      </c>
      <c r="AG25" s="34">
        <f t="shared" si="2"/>
        <v>757012</v>
      </c>
      <c r="AH25" s="34">
        <f t="shared" si="2"/>
        <v>0</v>
      </c>
      <c r="AI25" s="34">
        <f t="shared" si="2"/>
        <v>0</v>
      </c>
      <c r="AJ25" s="34">
        <f t="shared" si="2"/>
        <v>356700</v>
      </c>
      <c r="AK25" s="34">
        <f t="shared" si="2"/>
        <v>356700</v>
      </c>
      <c r="AL25" s="34">
        <f t="shared" si="2"/>
        <v>356700</v>
      </c>
      <c r="AM25" s="34">
        <f t="shared" si="2"/>
        <v>356700</v>
      </c>
      <c r="AN25" s="34">
        <f t="shared" si="2"/>
        <v>356700</v>
      </c>
      <c r="AO25" s="34">
        <f t="shared" si="2"/>
        <v>0</v>
      </c>
      <c r="AP25" s="34">
        <f t="shared" si="2"/>
        <v>0</v>
      </c>
      <c r="AQ25" s="34">
        <f t="shared" si="2"/>
        <v>356700</v>
      </c>
      <c r="AR25" s="34">
        <f t="shared" si="2"/>
        <v>356700</v>
      </c>
      <c r="AS25" s="34">
        <f t="shared" si="2"/>
        <v>356700</v>
      </c>
      <c r="AT25" s="34">
        <f t="shared" si="2"/>
        <v>0</v>
      </c>
      <c r="AU25" s="34">
        <f t="shared" si="2"/>
        <v>691000</v>
      </c>
      <c r="AV25" s="34">
        <f t="shared" si="2"/>
        <v>0</v>
      </c>
      <c r="AW25" s="34">
        <f t="shared" si="2"/>
        <v>0</v>
      </c>
    </row>
    <row r="26" spans="1:49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</row>
    <row r="27" spans="1:49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</row>
    <row r="28" spans="1:49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</row>
    <row r="29" spans="1:49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</row>
    <row r="30" spans="1:49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90">
        <v>2000000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</row>
    <row r="31" spans="1:49" s="1" customFormat="1" x14ac:dyDescent="0.2">
      <c r="A31" s="36" t="s">
        <v>7</v>
      </c>
      <c r="B31" s="23" t="s">
        <v>8</v>
      </c>
      <c r="C31" s="60"/>
      <c r="D31" s="24"/>
      <c r="F31" s="24"/>
      <c r="G31" s="24"/>
      <c r="H31" s="24">
        <v>560000</v>
      </c>
      <c r="I31" s="24">
        <v>850000</v>
      </c>
      <c r="J31" s="24"/>
      <c r="K31" s="24"/>
      <c r="L31" s="24">
        <f>643714.22/2</f>
        <v>321857.11</v>
      </c>
      <c r="N31" s="24"/>
      <c r="O31" s="24"/>
      <c r="P31" s="24"/>
      <c r="Q31" s="24"/>
      <c r="R31" s="24"/>
      <c r="S31" s="24"/>
      <c r="T31" s="24"/>
      <c r="U31" s="24"/>
      <c r="V31" s="24">
        <v>560000</v>
      </c>
      <c r="W31" s="24"/>
      <c r="X31" s="24"/>
      <c r="Y31" s="24"/>
      <c r="Z31" s="24"/>
      <c r="AA31" s="24"/>
      <c r="AB31" s="24">
        <v>360000</v>
      </c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</row>
    <row r="32" spans="1:49" s="1" customFormat="1" x14ac:dyDescent="0.2">
      <c r="A32" s="36" t="s">
        <v>118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>
        <v>271506</v>
      </c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</row>
    <row r="33" spans="1:49" s="1" customFormat="1" x14ac:dyDescent="0.2">
      <c r="A33" s="36" t="s">
        <v>54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</row>
    <row r="34" spans="1:49" s="1" customFormat="1" x14ac:dyDescent="0.2">
      <c r="A34" s="36" t="s">
        <v>71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>
        <v>200113.9</v>
      </c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</row>
    <row r="35" spans="1:49" s="1" customFormat="1" x14ac:dyDescent="0.2">
      <c r="A35" s="36" t="s">
        <v>53</v>
      </c>
      <c r="B35" s="23"/>
      <c r="C35" s="60"/>
      <c r="D35" s="24"/>
      <c r="E35" s="111"/>
      <c r="F35" s="24"/>
      <c r="G35" s="24"/>
      <c r="H35" s="24">
        <v>80000</v>
      </c>
      <c r="I35" s="24">
        <v>80000</v>
      </c>
      <c r="J35" s="24">
        <v>50000</v>
      </c>
      <c r="K35" s="24"/>
      <c r="L35" s="24"/>
      <c r="M35" s="24"/>
      <c r="N35" s="24"/>
      <c r="O35" s="24"/>
      <c r="P35" s="24"/>
      <c r="Q35" s="24"/>
      <c r="R35" s="24"/>
      <c r="T35" s="24"/>
      <c r="U35" s="24"/>
      <c r="W35" s="24"/>
      <c r="X35" s="24"/>
      <c r="Y35" s="24"/>
      <c r="Z35" s="24">
        <v>545949</v>
      </c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</row>
    <row r="36" spans="1:49" s="1" customFormat="1" ht="11.25" customHeight="1" x14ac:dyDescent="0.2">
      <c r="A36" s="47"/>
      <c r="B36" s="48"/>
      <c r="C36" s="67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</row>
    <row r="37" spans="1:49" s="71" customFormat="1" x14ac:dyDescent="0.2">
      <c r="A37" s="69" t="s">
        <v>14</v>
      </c>
      <c r="B37" s="25" t="s">
        <v>30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T37" s="24"/>
      <c r="U37" s="24"/>
      <c r="V37" s="24"/>
      <c r="W37" s="24"/>
      <c r="Y37" s="24"/>
      <c r="Z37" s="24"/>
      <c r="AA37" s="24"/>
      <c r="AB37" s="24"/>
      <c r="AC37" s="24"/>
      <c r="AD37" s="24">
        <v>730000</v>
      </c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</row>
    <row r="38" spans="1:49" s="71" customFormat="1" x14ac:dyDescent="0.2">
      <c r="A38" s="69" t="s">
        <v>115</v>
      </c>
      <c r="B38" s="25" t="s">
        <v>116</v>
      </c>
      <c r="C38" s="70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100">
        <v>156160</v>
      </c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</row>
    <row r="39" spans="1:49" s="71" customFormat="1" x14ac:dyDescent="0.2">
      <c r="A39" s="69" t="s">
        <v>117</v>
      </c>
      <c r="B39" s="25"/>
      <c r="C39" s="70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8"/>
      <c r="Z39" s="24"/>
      <c r="AA39" s="24"/>
      <c r="AB39" s="24"/>
      <c r="AC39" s="24"/>
      <c r="AD39" s="24"/>
      <c r="AE39" s="24"/>
      <c r="AF39" s="24"/>
      <c r="AG39" s="28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100">
        <v>691000</v>
      </c>
      <c r="AV39" s="24"/>
      <c r="AW39" s="24"/>
    </row>
    <row r="40" spans="1:49" s="71" customFormat="1" x14ac:dyDescent="0.2">
      <c r="A40" s="69" t="s">
        <v>97</v>
      </c>
      <c r="B40" s="25" t="s">
        <v>98</v>
      </c>
      <c r="C40" s="70"/>
      <c r="D40" s="24"/>
      <c r="E40" s="24"/>
      <c r="F40" s="131"/>
      <c r="G40" s="24"/>
      <c r="H40" s="24"/>
      <c r="I40" s="24"/>
      <c r="J40" s="100">
        <v>311400</v>
      </c>
      <c r="K40" s="24"/>
      <c r="L40" s="24"/>
      <c r="M40" s="24"/>
      <c r="N40" s="24"/>
      <c r="O40" s="24"/>
      <c r="P40" s="24"/>
      <c r="Q40" s="100">
        <v>311400</v>
      </c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</row>
    <row r="41" spans="1:49" s="71" customFormat="1" x14ac:dyDescent="0.2">
      <c r="A41" s="69" t="s">
        <v>17</v>
      </c>
      <c r="B41" s="25" t="s">
        <v>41</v>
      </c>
      <c r="C41" s="70">
        <f>1375000-500000</f>
        <v>875000</v>
      </c>
      <c r="D41" s="24"/>
      <c r="F41" s="24"/>
      <c r="G41" s="24"/>
      <c r="H41" s="95">
        <v>175000</v>
      </c>
      <c r="I41" s="24"/>
      <c r="K41" s="24"/>
      <c r="M41" s="24"/>
      <c r="N41" s="24"/>
      <c r="O41" s="95">
        <v>175000</v>
      </c>
      <c r="Q41" s="95">
        <v>175000</v>
      </c>
      <c r="T41" s="24"/>
      <c r="U41" s="24"/>
      <c r="V41" s="24"/>
      <c r="W41" s="95">
        <v>175000</v>
      </c>
      <c r="X41" s="24"/>
      <c r="Y41" s="95">
        <v>175000</v>
      </c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</row>
    <row r="42" spans="1:49" s="71" customFormat="1" x14ac:dyDescent="0.2">
      <c r="A42" s="69" t="s">
        <v>15</v>
      </c>
      <c r="B42" s="25" t="s">
        <v>31</v>
      </c>
      <c r="C42" s="70">
        <f>1289912-50000</f>
        <v>1239912</v>
      </c>
      <c r="D42" s="24"/>
      <c r="E42" s="100">
        <f>115224-65224</f>
        <v>50000</v>
      </c>
      <c r="F42" s="24"/>
      <c r="G42" s="24"/>
      <c r="H42" s="108">
        <v>75000</v>
      </c>
      <c r="I42" s="108">
        <v>125000</v>
      </c>
      <c r="J42" s="108">
        <v>100000</v>
      </c>
      <c r="K42" s="108">
        <v>100000</v>
      </c>
      <c r="L42" s="108">
        <v>100000</v>
      </c>
      <c r="M42" s="24"/>
      <c r="N42" s="24"/>
      <c r="O42" s="108">
        <v>104464</v>
      </c>
      <c r="P42" s="108">
        <v>150000</v>
      </c>
      <c r="Q42" s="108">
        <v>100000</v>
      </c>
      <c r="R42" s="108">
        <v>100000</v>
      </c>
      <c r="S42" s="28"/>
      <c r="T42" s="28"/>
      <c r="U42" s="24"/>
      <c r="V42" s="108">
        <v>65224</v>
      </c>
      <c r="W42" s="108">
        <v>90224</v>
      </c>
      <c r="X42" s="108">
        <v>115224</v>
      </c>
      <c r="Y42" s="108">
        <v>25000</v>
      </c>
      <c r="Z42" s="24"/>
      <c r="AA42" s="24"/>
      <c r="AB42" s="24"/>
      <c r="AD42" s="98">
        <f>515224/4</f>
        <v>128806</v>
      </c>
      <c r="AE42" s="98">
        <f>515224/4</f>
        <v>128806</v>
      </c>
      <c r="AF42" s="98">
        <f>515224/4</f>
        <v>128806</v>
      </c>
      <c r="AG42" s="98">
        <f>515224/4</f>
        <v>128806</v>
      </c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</row>
    <row r="43" spans="1:49" s="71" customFormat="1" x14ac:dyDescent="0.2">
      <c r="A43" s="69" t="s">
        <v>18</v>
      </c>
      <c r="B43" s="25" t="s">
        <v>32</v>
      </c>
      <c r="C43" s="70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</row>
    <row r="44" spans="1:49" s="73" customFormat="1" x14ac:dyDescent="0.2">
      <c r="A44" s="69" t="s">
        <v>21</v>
      </c>
      <c r="B44" s="25" t="s">
        <v>45</v>
      </c>
      <c r="C44" s="70">
        <f>50000*A9-25000*A9</f>
        <v>279250</v>
      </c>
      <c r="D44" s="72"/>
      <c r="E44" s="100">
        <f>25000*A9</f>
        <v>279250</v>
      </c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</row>
    <row r="45" spans="1:49" s="71" customFormat="1" x14ac:dyDescent="0.2">
      <c r="A45" s="69" t="s">
        <v>19</v>
      </c>
      <c r="B45" s="25" t="s">
        <v>46</v>
      </c>
      <c r="C45" s="70">
        <f>6350*A3</f>
        <v>567761.755</v>
      </c>
      <c r="D45" s="24"/>
      <c r="E45" s="100">
        <f>600*$A$3</f>
        <v>53646.78</v>
      </c>
      <c r="F45" s="24"/>
      <c r="G45" s="24"/>
      <c r="H45" s="129">
        <f>750*$A$3</f>
        <v>67058.474999999991</v>
      </c>
      <c r="I45" s="129">
        <f>2000*$A$3</f>
        <v>178822.6</v>
      </c>
      <c r="J45" s="129">
        <f>500*$A$3</f>
        <v>44705.65</v>
      </c>
      <c r="K45" s="129">
        <f>2000*$A$3</f>
        <v>178822.6</v>
      </c>
      <c r="L45" s="129">
        <f>500*$A$3</f>
        <v>44705.65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</row>
    <row r="46" spans="1:49" s="71" customFormat="1" x14ac:dyDescent="0.2">
      <c r="A46" s="69" t="s">
        <v>16</v>
      </c>
      <c r="B46" s="25" t="s">
        <v>32</v>
      </c>
      <c r="C46" s="70">
        <f>722080-56200</f>
        <v>665880</v>
      </c>
      <c r="D46" s="24"/>
      <c r="E46" s="100">
        <v>45000</v>
      </c>
      <c r="F46" s="28"/>
      <c r="G46" s="28"/>
      <c r="H46" s="108">
        <f>66588+33294</f>
        <v>99882</v>
      </c>
      <c r="J46" s="108">
        <f>66588+33294</f>
        <v>99882</v>
      </c>
      <c r="L46" s="108">
        <f>66588+33294</f>
        <v>99882</v>
      </c>
      <c r="M46" s="24"/>
      <c r="N46" s="24"/>
      <c r="O46" s="108">
        <f>66588+33294+99882</f>
        <v>199764</v>
      </c>
      <c r="P46" s="108">
        <f>(66588+33294)/2</f>
        <v>49941</v>
      </c>
      <c r="Q46" s="95">
        <v>332940</v>
      </c>
      <c r="R46" s="108">
        <f>66588+33294+35506</f>
        <v>135388</v>
      </c>
      <c r="S46" s="24"/>
      <c r="T46" s="24"/>
      <c r="U46" s="24"/>
      <c r="V46" s="108">
        <f>499410/4</f>
        <v>124852.5</v>
      </c>
      <c r="W46" s="108">
        <f>499410/4</f>
        <v>124852.5</v>
      </c>
      <c r="X46" s="108">
        <f>499410/4</f>
        <v>124852.5</v>
      </c>
      <c r="Y46" s="108">
        <f>499410/4</f>
        <v>124852.5</v>
      </c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</row>
    <row r="47" spans="1:49" s="71" customFormat="1" x14ac:dyDescent="0.2">
      <c r="A47" s="69" t="s">
        <v>85</v>
      </c>
      <c r="B47" s="25" t="s">
        <v>47</v>
      </c>
      <c r="C47" s="70"/>
      <c r="D47" s="24"/>
      <c r="E47" s="24"/>
      <c r="F47" s="24"/>
      <c r="G47" s="24"/>
      <c r="H47" s="24"/>
      <c r="J47" s="24"/>
      <c r="K47" s="24"/>
      <c r="L47" s="24"/>
      <c r="M47" s="24"/>
      <c r="N47" s="24"/>
      <c r="O47" s="108">
        <f>645*$A$6</f>
        <v>49075.534500000002</v>
      </c>
      <c r="P47" s="108">
        <f>645*$A$6</f>
        <v>49075.534500000002</v>
      </c>
      <c r="Q47" s="108">
        <f>645*$A$6</f>
        <v>49075.534500000002</v>
      </c>
      <c r="R47" s="108">
        <f>645*$A$6</f>
        <v>49075.534500000002</v>
      </c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</row>
    <row r="48" spans="1:49" s="73" customFormat="1" x14ac:dyDescent="0.2">
      <c r="A48" s="69" t="s">
        <v>22</v>
      </c>
      <c r="B48" s="25" t="s">
        <v>48</v>
      </c>
      <c r="C48" s="75">
        <f>15906*A9</f>
        <v>177670.02</v>
      </c>
      <c r="D48" s="72"/>
      <c r="E48" s="24"/>
      <c r="F48" s="72"/>
      <c r="G48" s="72"/>
      <c r="H48" s="129">
        <f>5000*$A$9</f>
        <v>55850</v>
      </c>
      <c r="I48" s="129">
        <f>5906*$A$9</f>
        <v>65970.02</v>
      </c>
      <c r="J48" s="129">
        <f>5000*$A$9</f>
        <v>55850</v>
      </c>
      <c r="K48" s="24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</row>
    <row r="49" spans="1:49" s="73" customFormat="1" x14ac:dyDescent="0.2">
      <c r="A49" s="69" t="s">
        <v>108</v>
      </c>
      <c r="B49" s="25" t="s">
        <v>109</v>
      </c>
      <c r="C49" s="120"/>
      <c r="D49" s="72"/>
      <c r="E49" s="24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</row>
    <row r="50" spans="1:49" s="71" customFormat="1" x14ac:dyDescent="0.2">
      <c r="A50" s="69" t="s">
        <v>36</v>
      </c>
      <c r="B50" s="25" t="s">
        <v>37</v>
      </c>
      <c r="C50" s="130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100">
        <f>2662*A6</f>
        <v>202541.19820000001</v>
      </c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</row>
    <row r="51" spans="1:49" s="71" customFormat="1" x14ac:dyDescent="0.2">
      <c r="A51" s="69" t="s">
        <v>86</v>
      </c>
      <c r="B51" s="25" t="s">
        <v>35</v>
      </c>
      <c r="C51" s="70">
        <f>2100*$A$6</f>
        <v>159780.81</v>
      </c>
      <c r="D51" s="77"/>
      <c r="E51" s="24"/>
      <c r="G51" s="24"/>
      <c r="H51" s="95">
        <f>500*$A$6</f>
        <v>38043.050000000003</v>
      </c>
      <c r="I51" s="95">
        <f>500*$A$6</f>
        <v>38043.050000000003</v>
      </c>
      <c r="J51" s="95">
        <f>500*$A$6</f>
        <v>38043.050000000003</v>
      </c>
      <c r="K51" s="24"/>
      <c r="L51" s="95">
        <f>600*$A$6</f>
        <v>45651.66</v>
      </c>
      <c r="M51" s="24"/>
      <c r="N51" s="24"/>
      <c r="O51" s="108">
        <f>600*$A$6</f>
        <v>45651.66</v>
      </c>
      <c r="P51" s="108">
        <f>600*$A$6</f>
        <v>45651.66</v>
      </c>
      <c r="Q51" s="108">
        <f>600*$A$6</f>
        <v>45651.66</v>
      </c>
      <c r="R51" s="108">
        <f>600*$A$6</f>
        <v>45651.66</v>
      </c>
      <c r="S51" s="24"/>
      <c r="T51" s="24"/>
      <c r="U51" s="24"/>
      <c r="V51" s="108">
        <f>1050*$A$6</f>
        <v>79890.404999999999</v>
      </c>
      <c r="W51" s="108">
        <f>1000*$A$6</f>
        <v>76086.100000000006</v>
      </c>
      <c r="X51" s="108">
        <f>1000*$A$6</f>
        <v>76086.100000000006</v>
      </c>
      <c r="Y51" s="108">
        <f>1000*$A$6</f>
        <v>76086.100000000006</v>
      </c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</row>
    <row r="52" spans="1:49" s="71" customFormat="1" x14ac:dyDescent="0.2">
      <c r="A52" s="69" t="s">
        <v>111</v>
      </c>
      <c r="B52" s="25" t="s">
        <v>112</v>
      </c>
      <c r="C52" s="70"/>
      <c r="D52" s="77"/>
      <c r="E52" s="100">
        <v>25000</v>
      </c>
      <c r="F52" s="24"/>
      <c r="G52" s="24"/>
      <c r="H52" s="24"/>
      <c r="I52" s="100">
        <v>25000</v>
      </c>
      <c r="J52" s="100">
        <v>27173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</row>
    <row r="53" spans="1:49" s="71" customFormat="1" x14ac:dyDescent="0.2">
      <c r="A53" s="69" t="s">
        <v>29</v>
      </c>
      <c r="B53" s="25" t="s">
        <v>42</v>
      </c>
      <c r="C53" s="70">
        <v>20000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</row>
    <row r="54" spans="1:49" s="71" customFormat="1" x14ac:dyDescent="0.2">
      <c r="A54" s="69" t="s">
        <v>29</v>
      </c>
      <c r="B54" s="25" t="s">
        <v>43</v>
      </c>
      <c r="C54" s="70">
        <v>439750</v>
      </c>
      <c r="D54" s="24"/>
      <c r="E54" s="24"/>
      <c r="F54" s="24"/>
      <c r="G54" s="24"/>
      <c r="H54" s="24"/>
      <c r="I54" s="24"/>
      <c r="J54" s="24"/>
      <c r="K54" s="24"/>
      <c r="M54" s="24"/>
      <c r="N54" s="24"/>
      <c r="O54" s="95">
        <v>100000</v>
      </c>
      <c r="P54" s="24"/>
      <c r="Q54" s="95">
        <v>100000</v>
      </c>
      <c r="R54" s="95">
        <v>139750</v>
      </c>
      <c r="T54" s="24"/>
      <c r="U54" s="24"/>
      <c r="V54" s="95">
        <v>100000</v>
      </c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</row>
    <row r="55" spans="1:49" s="71" customFormat="1" x14ac:dyDescent="0.2">
      <c r="A55" s="69" t="s">
        <v>104</v>
      </c>
      <c r="B55" s="25" t="s">
        <v>105</v>
      </c>
      <c r="C55" s="70"/>
      <c r="D55" s="77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</row>
    <row r="56" spans="1:49" s="71" customFormat="1" x14ac:dyDescent="0.2">
      <c r="A56" s="69" t="s">
        <v>99</v>
      </c>
      <c r="B56" s="25" t="s">
        <v>100</v>
      </c>
      <c r="C56" s="70"/>
      <c r="D56" s="77"/>
      <c r="E56" s="100">
        <f>(581.75*$A$3)/2</f>
        <v>26007.511887500001</v>
      </c>
      <c r="F56" s="24"/>
      <c r="G56" s="24"/>
      <c r="H56" s="24"/>
      <c r="I56" s="24"/>
      <c r="J56" s="100">
        <f>(581.75/2)*$A$3</f>
        <v>26007.511887500001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</row>
    <row r="57" spans="1:49" s="71" customFormat="1" x14ac:dyDescent="0.2">
      <c r="A57" s="69" t="s">
        <v>29</v>
      </c>
      <c r="B57" s="25" t="s">
        <v>55</v>
      </c>
      <c r="C57" s="70">
        <f>3530*A6-41253.4</f>
        <v>227330.53300000002</v>
      </c>
      <c r="D57" s="24"/>
      <c r="E57" s="24"/>
      <c r="F57" s="24"/>
      <c r="G57" s="24"/>
      <c r="H57" s="95">
        <f>500*$A$6</f>
        <v>38043.050000000003</v>
      </c>
      <c r="J57" s="95">
        <f>500*$A$6</f>
        <v>38043.050000000003</v>
      </c>
      <c r="L57" s="95">
        <f>500*$A$6</f>
        <v>38043.050000000003</v>
      </c>
      <c r="M57" s="24"/>
      <c r="N57" s="24"/>
      <c r="O57" s="95">
        <f>500*$A$6</f>
        <v>38043.050000000003</v>
      </c>
      <c r="P57" s="24"/>
      <c r="Q57" s="95">
        <f>500*$A$6</f>
        <v>38043.050000000003</v>
      </c>
      <c r="R57" s="95">
        <f>500*$A$6</f>
        <v>38043.050000000003</v>
      </c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</row>
    <row r="58" spans="1:49" s="71" customFormat="1" x14ac:dyDescent="0.2">
      <c r="A58" s="69" t="s">
        <v>40</v>
      </c>
      <c r="B58" s="25" t="s">
        <v>44</v>
      </c>
      <c r="C58" s="70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100">
        <v>1878</v>
      </c>
      <c r="P58" s="24"/>
      <c r="Q58" s="24"/>
      <c r="R58" s="24"/>
      <c r="S58" s="24"/>
      <c r="T58" s="24"/>
      <c r="U58" s="24"/>
      <c r="V58" s="24"/>
      <c r="W58" s="24"/>
      <c r="X58" s="100">
        <v>2090</v>
      </c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</row>
    <row r="59" spans="1:49" s="71" customFormat="1" x14ac:dyDescent="0.2">
      <c r="A59" s="69" t="s">
        <v>90</v>
      </c>
      <c r="B59" s="25" t="s">
        <v>91</v>
      </c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P59" s="24"/>
      <c r="Q59" s="24"/>
      <c r="R59" s="24"/>
      <c r="S59" s="24"/>
      <c r="U59" s="24"/>
      <c r="V59" s="100">
        <f>1012000/4</f>
        <v>253000</v>
      </c>
      <c r="W59" s="100">
        <f>1012000/4</f>
        <v>253000</v>
      </c>
      <c r="X59" s="100">
        <f>1012000/4</f>
        <v>253000</v>
      </c>
      <c r="Y59" s="100">
        <f>1012000/4</f>
        <v>253000</v>
      </c>
      <c r="Z59" s="24"/>
      <c r="AA59" s="24"/>
      <c r="AB59" s="24"/>
      <c r="AC59" s="24"/>
      <c r="AD59" s="100">
        <v>1012000</v>
      </c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</row>
    <row r="60" spans="1:49" s="71" customFormat="1" x14ac:dyDescent="0.2">
      <c r="A60" s="69" t="s">
        <v>106</v>
      </c>
      <c r="B60" s="25" t="s">
        <v>107</v>
      </c>
      <c r="C60" s="70"/>
      <c r="D60" s="77"/>
      <c r="E60" s="100">
        <v>10000</v>
      </c>
      <c r="F60" s="24"/>
      <c r="G60" s="24"/>
      <c r="H60" s="24"/>
      <c r="I60" s="100">
        <v>10000</v>
      </c>
      <c r="J60" s="24"/>
      <c r="K60" s="24"/>
      <c r="L60" s="100">
        <v>10000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</row>
    <row r="61" spans="1:49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</row>
    <row r="62" spans="1:49" s="71" customFormat="1" x14ac:dyDescent="0.2">
      <c r="A62" s="132" t="s">
        <v>113</v>
      </c>
      <c r="B62" s="133" t="s">
        <v>114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</row>
    <row r="63" spans="1:49" s="71" customFormat="1" x14ac:dyDescent="0.2">
      <c r="A63" s="69" t="s">
        <v>34</v>
      </c>
      <c r="B63" s="25" t="s">
        <v>45</v>
      </c>
      <c r="C63" s="70"/>
      <c r="D63" s="77"/>
      <c r="F63" s="24"/>
      <c r="G63" s="24"/>
      <c r="H63" s="106">
        <v>100000</v>
      </c>
      <c r="J63" s="106">
        <v>100000</v>
      </c>
      <c r="K63" s="106">
        <v>50000</v>
      </c>
      <c r="L63" s="106">
        <v>75000</v>
      </c>
      <c r="M63" s="24"/>
      <c r="N63" s="24"/>
      <c r="O63" s="108">
        <v>114400</v>
      </c>
      <c r="P63" s="24"/>
      <c r="Q63" s="106">
        <v>175000</v>
      </c>
      <c r="R63" s="24"/>
      <c r="T63" s="24"/>
      <c r="U63" s="24"/>
      <c r="V63" s="106">
        <v>75000</v>
      </c>
      <c r="X63" s="24"/>
      <c r="Y63" s="108">
        <v>325000</v>
      </c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</row>
    <row r="64" spans="1:49" s="71" customFormat="1" x14ac:dyDescent="0.2">
      <c r="A64" s="69" t="s">
        <v>101</v>
      </c>
      <c r="B64" s="25"/>
      <c r="C64" s="70"/>
      <c r="D64" s="77"/>
      <c r="E64" s="24"/>
      <c r="F64" s="24"/>
      <c r="G64" s="24"/>
      <c r="H64" s="24"/>
      <c r="I64" s="24"/>
      <c r="J64" s="108">
        <v>60000</v>
      </c>
      <c r="K64" s="24"/>
      <c r="L64" s="108">
        <v>50000</v>
      </c>
      <c r="M64" s="24"/>
      <c r="N64" s="24"/>
      <c r="O64" s="108">
        <v>120000</v>
      </c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</row>
    <row r="65" spans="1:49" s="71" customFormat="1" x14ac:dyDescent="0.2">
      <c r="A65" s="69" t="s">
        <v>38</v>
      </c>
      <c r="B65" s="25" t="s">
        <v>39</v>
      </c>
      <c r="C65" s="70">
        <v>61500</v>
      </c>
      <c r="D65" s="24"/>
      <c r="E65" s="28"/>
      <c r="F65" s="24"/>
      <c r="G65" s="24"/>
      <c r="H65" s="108">
        <v>31500</v>
      </c>
      <c r="I65" s="108">
        <v>30000</v>
      </c>
      <c r="J65" s="100">
        <v>27000</v>
      </c>
      <c r="L65" s="100">
        <v>24000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</row>
    <row r="66" spans="1:49" s="71" customFormat="1" x14ac:dyDescent="0.2">
      <c r="A66" s="69" t="s">
        <v>74</v>
      </c>
      <c r="B66" s="25" t="s">
        <v>83</v>
      </c>
      <c r="C66" s="70"/>
      <c r="D66" s="24"/>
      <c r="E66" s="24"/>
      <c r="F66" s="24"/>
      <c r="H66" s="98">
        <f>104492.6-69560</f>
        <v>34932.600000000006</v>
      </c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W66" s="24"/>
      <c r="X66" s="24"/>
      <c r="Y66" s="24"/>
      <c r="Z66" s="24"/>
      <c r="AA66" s="24"/>
      <c r="AB66" s="24"/>
      <c r="AC66" s="24"/>
      <c r="AD66" s="24"/>
      <c r="AE66" s="24"/>
      <c r="AF66" s="108">
        <f>3567000/10</f>
        <v>356700</v>
      </c>
      <c r="AG66" s="108">
        <f>3567000/10</f>
        <v>356700</v>
      </c>
      <c r="AH66" s="28"/>
      <c r="AI66" s="28"/>
      <c r="AJ66" s="108">
        <f>3567000/10</f>
        <v>356700</v>
      </c>
      <c r="AK66" s="108">
        <f>3567000/10</f>
        <v>356700</v>
      </c>
      <c r="AL66" s="108">
        <f>3567000/10</f>
        <v>356700</v>
      </c>
      <c r="AM66" s="108">
        <f>3567000/10</f>
        <v>356700</v>
      </c>
      <c r="AN66" s="108">
        <f>3567000/10</f>
        <v>356700</v>
      </c>
      <c r="AO66" s="28"/>
      <c r="AP66" s="28"/>
      <c r="AQ66" s="108">
        <f>3567000/10</f>
        <v>356700</v>
      </c>
      <c r="AR66" s="108">
        <f>3567000/10</f>
        <v>356700</v>
      </c>
      <c r="AS66" s="108">
        <f>3567000/10</f>
        <v>356700</v>
      </c>
      <c r="AT66" s="24"/>
      <c r="AU66" s="24"/>
      <c r="AV66" s="24"/>
      <c r="AW66" s="24"/>
    </row>
    <row r="67" spans="1:49" s="73" customFormat="1" ht="2.25" customHeigh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 t="s">
        <v>89</v>
      </c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</row>
    <row r="68" spans="1:49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</row>
    <row r="69" spans="1:49" s="94" customFormat="1" ht="33.75" x14ac:dyDescent="0.2">
      <c r="A69" s="91" t="s">
        <v>60</v>
      </c>
      <c r="B69" s="92" t="s">
        <v>59</v>
      </c>
      <c r="C69" s="93">
        <v>0</v>
      </c>
      <c r="D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</row>
    <row r="70" spans="1:49" s="5" customFormat="1" ht="2.25" customHeigh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</row>
    <row r="71" spans="1:49" s="5" customFormat="1" x14ac:dyDescent="0.2">
      <c r="A71" s="36" t="s">
        <v>49</v>
      </c>
      <c r="B71" s="12"/>
      <c r="C71" s="13"/>
      <c r="D71" s="26"/>
      <c r="E71" s="13"/>
      <c r="F71" s="13"/>
      <c r="H71" s="126">
        <v>1369064.01</v>
      </c>
      <c r="I71" s="13">
        <v>1200614.75</v>
      </c>
      <c r="J71" s="13"/>
      <c r="K71" s="13"/>
      <c r="L71" s="13">
        <v>1300000</v>
      </c>
      <c r="M71" s="13"/>
      <c r="N71" s="13"/>
      <c r="O71" s="13"/>
      <c r="P71" s="13"/>
      <c r="Q71" s="13"/>
      <c r="R71" s="13"/>
      <c r="S71" s="13"/>
      <c r="U71" s="13"/>
      <c r="V71" s="13"/>
      <c r="W71" s="13">
        <v>1490000</v>
      </c>
      <c r="X71" s="13"/>
      <c r="Y71" s="13"/>
      <c r="Z71" s="13"/>
      <c r="AA71" s="13"/>
      <c r="AB71" s="13"/>
      <c r="AC71" s="13"/>
      <c r="AD71" s="13"/>
      <c r="AE71" s="13"/>
      <c r="AF71" s="13">
        <v>1490000</v>
      </c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</row>
    <row r="72" spans="1:49" s="5" customFormat="1" x14ac:dyDescent="0.2">
      <c r="A72" s="36" t="s">
        <v>57</v>
      </c>
      <c r="B72" s="12"/>
      <c r="C72" s="68"/>
      <c r="D72" s="26"/>
      <c r="E72" s="13"/>
      <c r="F72" s="13"/>
      <c r="G72" s="13"/>
      <c r="H72" s="13"/>
      <c r="I72" s="13">
        <v>390000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</row>
    <row r="73" spans="1:49" s="5" customFormat="1" x14ac:dyDescent="0.2">
      <c r="A73" s="36" t="s">
        <v>61</v>
      </c>
      <c r="B73" s="12"/>
      <c r="C73" s="68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>
        <v>112000</v>
      </c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</row>
    <row r="74" spans="1:49" s="5" customFormat="1" ht="2.25" customHeight="1" x14ac:dyDescent="0.2">
      <c r="A74" s="42"/>
      <c r="B74" s="12"/>
      <c r="C74" s="68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</row>
    <row r="75" spans="1:49" s="5" customFormat="1" x14ac:dyDescent="0.2">
      <c r="A75" s="36" t="s">
        <v>72</v>
      </c>
      <c r="B75" s="27" t="s">
        <v>73</v>
      </c>
      <c r="C75" s="62">
        <v>3637079.2460000003</v>
      </c>
      <c r="D75" s="35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</row>
    <row r="76" spans="1:49" s="5" customFormat="1" ht="2.25" customHeight="1" x14ac:dyDescent="0.2">
      <c r="A76" s="42"/>
      <c r="B76" s="12"/>
      <c r="C76" s="61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</row>
    <row r="77" spans="1:49" s="84" customFormat="1" x14ac:dyDescent="0.2">
      <c r="A77" s="81" t="s">
        <v>66</v>
      </c>
      <c r="B77" s="82"/>
      <c r="C77" s="63"/>
      <c r="D77" s="83"/>
      <c r="E77" s="83">
        <f>$C$5+E16-E25</f>
        <v>1812182.6381125001</v>
      </c>
      <c r="F77" s="83">
        <f t="shared" ref="F77:AW77" si="3">E77+F16-F25</f>
        <v>1812182.6381125001</v>
      </c>
      <c r="G77" s="83">
        <f t="shared" si="3"/>
        <v>1812182.6381125001</v>
      </c>
      <c r="H77" s="83">
        <f t="shared" si="3"/>
        <v>7147773.2093524989</v>
      </c>
      <c r="I77" s="83">
        <f t="shared" si="3"/>
        <v>4154322.7893524989</v>
      </c>
      <c r="J77" s="83">
        <f t="shared" si="3"/>
        <v>3176218.5274649989</v>
      </c>
      <c r="K77" s="83">
        <f t="shared" si="3"/>
        <v>2847395.9274649988</v>
      </c>
      <c r="L77" s="83">
        <f t="shared" si="3"/>
        <v>1238256.4574649986</v>
      </c>
      <c r="M77" s="83">
        <f t="shared" si="3"/>
        <v>1238256.4574649986</v>
      </c>
      <c r="N77" s="83">
        <f t="shared" si="3"/>
        <v>1238256.4574649986</v>
      </c>
      <c r="O77" s="83">
        <f t="shared" si="3"/>
        <v>87439.014764998574</v>
      </c>
      <c r="P77" s="83">
        <f t="shared" si="3"/>
        <v>-2207229.1797350016</v>
      </c>
      <c r="Q77" s="83">
        <f t="shared" si="3"/>
        <v>-3534339.4242350017</v>
      </c>
      <c r="R77" s="83">
        <f t="shared" si="3"/>
        <v>-4042247.6687350017</v>
      </c>
      <c r="S77" s="83">
        <f t="shared" si="3"/>
        <v>-4154247.6687350017</v>
      </c>
      <c r="T77" s="83">
        <f t="shared" si="3"/>
        <v>2883252.3312649983</v>
      </c>
      <c r="U77" s="83">
        <f t="shared" si="3"/>
        <v>2883252.3312649983</v>
      </c>
      <c r="V77" s="83">
        <f t="shared" si="3"/>
        <v>1425171.5262649981</v>
      </c>
      <c r="W77" s="83">
        <f t="shared" si="3"/>
        <v>-783991.07373500196</v>
      </c>
      <c r="X77" s="83">
        <f t="shared" si="3"/>
        <v>-1355243.6737350021</v>
      </c>
      <c r="Y77" s="83">
        <f t="shared" si="3"/>
        <v>-2490342.2737350021</v>
      </c>
      <c r="Z77" s="83">
        <f t="shared" si="3"/>
        <v>-3036291.2737350021</v>
      </c>
      <c r="AA77" s="83">
        <f t="shared" si="3"/>
        <v>-3036291.2737350021</v>
      </c>
      <c r="AB77" s="83">
        <f t="shared" si="3"/>
        <v>-3396291.2737350021</v>
      </c>
      <c r="AC77" s="83">
        <f t="shared" si="3"/>
        <v>-266895.77373500215</v>
      </c>
      <c r="AD77" s="83">
        <f t="shared" si="3"/>
        <v>-2137701.7737350021</v>
      </c>
      <c r="AE77" s="83">
        <f t="shared" si="3"/>
        <v>-2266507.7737350021</v>
      </c>
      <c r="AF77" s="83">
        <f t="shared" si="3"/>
        <v>3640486.2262649983</v>
      </c>
      <c r="AG77" s="83">
        <f t="shared" si="3"/>
        <v>2883474.2262649983</v>
      </c>
      <c r="AH77" s="83">
        <f t="shared" si="3"/>
        <v>2883474.2262649983</v>
      </c>
      <c r="AI77" s="83">
        <f t="shared" si="3"/>
        <v>2883474.2262649983</v>
      </c>
      <c r="AJ77" s="83">
        <f t="shared" si="3"/>
        <v>2526774.2262649983</v>
      </c>
      <c r="AK77" s="83">
        <f t="shared" si="3"/>
        <v>2170074.2262649983</v>
      </c>
      <c r="AL77" s="83">
        <f t="shared" si="3"/>
        <v>1813374.2262649983</v>
      </c>
      <c r="AM77" s="83">
        <f t="shared" si="3"/>
        <v>1456674.2262649983</v>
      </c>
      <c r="AN77" s="83">
        <f t="shared" si="3"/>
        <v>1099974.2262649983</v>
      </c>
      <c r="AO77" s="83">
        <f t="shared" si="3"/>
        <v>1099974.2262649983</v>
      </c>
      <c r="AP77" s="83">
        <f t="shared" si="3"/>
        <v>1099974.2262649983</v>
      </c>
      <c r="AQ77" s="83">
        <f t="shared" si="3"/>
        <v>743274.22626499832</v>
      </c>
      <c r="AR77" s="83">
        <f t="shared" si="3"/>
        <v>386574.22626499832</v>
      </c>
      <c r="AS77" s="83">
        <f t="shared" si="3"/>
        <v>29874.226264998317</v>
      </c>
      <c r="AT77" s="83">
        <f t="shared" si="3"/>
        <v>29874.226264998317</v>
      </c>
      <c r="AU77" s="83">
        <f t="shared" si="3"/>
        <v>-661125.77373500168</v>
      </c>
      <c r="AV77" s="83">
        <f t="shared" si="3"/>
        <v>-661125.77373500168</v>
      </c>
      <c r="AW77" s="83">
        <f t="shared" si="3"/>
        <v>-661125.77373500168</v>
      </c>
    </row>
    <row r="79" spans="1:49" s="5" customFormat="1" ht="2.25" customHeight="1" x14ac:dyDescent="0.2">
      <c r="A79" s="42"/>
      <c r="B79" s="12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</row>
    <row r="80" spans="1:49" s="89" customFormat="1" ht="11.25" customHeight="1" x14ac:dyDescent="0.2">
      <c r="A80" s="85" t="s">
        <v>65</v>
      </c>
      <c r="B80" s="86"/>
      <c r="C80" s="87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</row>
    <row r="81" spans="1:49" s="5" customFormat="1" ht="22.5" x14ac:dyDescent="0.2">
      <c r="A81" s="36" t="s">
        <v>67</v>
      </c>
      <c r="B81" s="27" t="s">
        <v>68</v>
      </c>
      <c r="C81" s="68">
        <v>3221210.79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</row>
    <row r="82" spans="1:49" s="5" customFormat="1" x14ac:dyDescent="0.2">
      <c r="A82" s="36" t="s">
        <v>69</v>
      </c>
      <c r="B82" s="27" t="s">
        <v>70</v>
      </c>
      <c r="C82" s="68">
        <v>9814338.4000000004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</row>
    <row r="83" spans="1:49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</row>
    <row r="84" spans="1:49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</row>
    <row r="86" spans="1:49" x14ac:dyDescent="0.25">
      <c r="B86" s="14"/>
    </row>
  </sheetData>
  <pageMargins left="0.7" right="0.7" top="0.75" bottom="0.75" header="0.3" footer="0.3"/>
  <pageSetup paperSize="9" orientation="portrait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86"/>
  <sheetViews>
    <sheetView topLeftCell="A36" workbookViewId="0">
      <selection activeCell="C41" sqref="C41:C57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7" width="11.7109375" style="3" bestFit="1" customWidth="1"/>
    <col min="8" max="32" width="10.85546875" style="3" bestFit="1" customWidth="1"/>
    <col min="33" max="33" width="11.7109375" style="3" bestFit="1" customWidth="1"/>
    <col min="34" max="50" width="10.85546875" style="3" bestFit="1" customWidth="1"/>
    <col min="51" max="16384" width="9" style="3"/>
  </cols>
  <sheetData>
    <row r="1" spans="1:50" ht="12" thickBot="1" x14ac:dyDescent="0.3"/>
    <row r="2" spans="1:50" s="1" customFormat="1" x14ac:dyDescent="0.2">
      <c r="A2" s="43" t="s">
        <v>50</v>
      </c>
      <c r="B2" s="15" t="s">
        <v>27</v>
      </c>
      <c r="C2" s="50">
        <v>2852165.43</v>
      </c>
    </row>
    <row r="3" spans="1:50" s="1" customFormat="1" ht="12" thickBot="1" x14ac:dyDescent="0.25">
      <c r="A3" s="44">
        <v>88.2346</v>
      </c>
      <c r="B3" s="15" t="s">
        <v>28</v>
      </c>
      <c r="C3" s="50">
        <v>10778.95</v>
      </c>
    </row>
    <row r="4" spans="1:50" s="8" customFormat="1" ht="12" thickBot="1" x14ac:dyDescent="0.25">
      <c r="A4" s="45"/>
      <c r="B4" s="15" t="s">
        <v>25</v>
      </c>
      <c r="C4" s="51">
        <v>0</v>
      </c>
    </row>
    <row r="5" spans="1:50" s="6" customFormat="1" x14ac:dyDescent="0.2">
      <c r="A5" s="43" t="s">
        <v>51</v>
      </c>
      <c r="B5" s="49" t="s">
        <v>26</v>
      </c>
      <c r="C5" s="52">
        <f>SUM(C2:C4)</f>
        <v>2862944.3800000004</v>
      </c>
    </row>
    <row r="6" spans="1:50" s="6" customFormat="1" ht="12" thickBot="1" x14ac:dyDescent="0.25">
      <c r="A6" s="44">
        <v>75.2346</v>
      </c>
      <c r="B6" s="16"/>
      <c r="C6" s="53"/>
      <c r="D6" s="17"/>
    </row>
    <row r="7" spans="1:50" s="6" customFormat="1" ht="12" thickBot="1" x14ac:dyDescent="0.25">
      <c r="A7" s="105" t="s">
        <v>51</v>
      </c>
      <c r="B7" s="18" t="s">
        <v>110</v>
      </c>
      <c r="C7" s="54">
        <f>SUM(E16:AX16)</f>
        <v>26462101.370080002</v>
      </c>
    </row>
    <row r="8" spans="1:50" x14ac:dyDescent="0.25">
      <c r="A8" s="43" t="s">
        <v>52</v>
      </c>
      <c r="B8" s="18" t="s">
        <v>84</v>
      </c>
      <c r="C8" s="54">
        <f>SUM(E24:AX25)</f>
        <v>29920832.116950005</v>
      </c>
    </row>
    <row r="9" spans="1:50" ht="12" thickBot="1" x14ac:dyDescent="0.3">
      <c r="A9" s="44">
        <v>11.0334</v>
      </c>
      <c r="B9" s="19" t="s">
        <v>64</v>
      </c>
      <c r="C9" s="55">
        <f>C5+C7-C8-C11</f>
        <v>-9544073.5813900046</v>
      </c>
    </row>
    <row r="10" spans="1:50" x14ac:dyDescent="0.25">
      <c r="A10" s="99" t="s">
        <v>80</v>
      </c>
      <c r="B10" s="18" t="s">
        <v>23</v>
      </c>
      <c r="C10" s="56">
        <f>C16</f>
        <v>0</v>
      </c>
    </row>
    <row r="11" spans="1:50" x14ac:dyDescent="0.25">
      <c r="A11" s="101" t="s">
        <v>87</v>
      </c>
      <c r="B11" s="18" t="s">
        <v>24</v>
      </c>
      <c r="C11" s="54">
        <f>C25</f>
        <v>8948287.2145199999</v>
      </c>
    </row>
    <row r="12" spans="1:50" x14ac:dyDescent="0.25">
      <c r="A12" s="107" t="s">
        <v>88</v>
      </c>
    </row>
    <row r="13" spans="1:50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s="2" customFormat="1" x14ac:dyDescent="0.25">
      <c r="A14" s="64"/>
      <c r="B14" s="65"/>
      <c r="C14" s="58" t="s">
        <v>56</v>
      </c>
      <c r="D14" s="66"/>
      <c r="E14" s="66">
        <v>46128</v>
      </c>
      <c r="F14" s="66">
        <v>46129</v>
      </c>
      <c r="G14" s="66">
        <v>46130</v>
      </c>
      <c r="H14" s="66">
        <v>46131</v>
      </c>
      <c r="I14" s="66">
        <v>46132</v>
      </c>
      <c r="J14" s="66">
        <v>46133</v>
      </c>
      <c r="K14" s="66">
        <v>46134</v>
      </c>
      <c r="L14" s="66">
        <v>46135</v>
      </c>
      <c r="M14" s="66">
        <v>46136</v>
      </c>
      <c r="N14" s="66">
        <v>46137</v>
      </c>
      <c r="O14" s="66">
        <v>46138</v>
      </c>
      <c r="P14" s="66">
        <v>46139</v>
      </c>
      <c r="Q14" s="66">
        <v>46140</v>
      </c>
      <c r="R14" s="66">
        <v>46141</v>
      </c>
      <c r="S14" s="66">
        <v>46142</v>
      </c>
      <c r="T14" s="66">
        <v>46143</v>
      </c>
      <c r="U14" s="66">
        <v>46144</v>
      </c>
      <c r="V14" s="66">
        <v>46145</v>
      </c>
      <c r="W14" s="66">
        <v>46146</v>
      </c>
      <c r="X14" s="66">
        <v>46147</v>
      </c>
      <c r="Y14" s="66">
        <v>46148</v>
      </c>
      <c r="Z14" s="66">
        <v>46149</v>
      </c>
      <c r="AA14" s="66">
        <v>46150</v>
      </c>
      <c r="AB14" s="66">
        <v>46151</v>
      </c>
      <c r="AC14" s="66">
        <v>46152</v>
      </c>
      <c r="AD14" s="66">
        <v>46153</v>
      </c>
      <c r="AE14" s="66">
        <v>46154</v>
      </c>
      <c r="AF14" s="66">
        <v>46155</v>
      </c>
      <c r="AG14" s="66">
        <v>46156</v>
      </c>
      <c r="AH14" s="66">
        <v>46157</v>
      </c>
      <c r="AI14" s="66">
        <v>46158</v>
      </c>
      <c r="AJ14" s="66">
        <v>46159</v>
      </c>
      <c r="AK14" s="66">
        <v>46160</v>
      </c>
      <c r="AL14" s="66">
        <v>46161</v>
      </c>
      <c r="AM14" s="66">
        <v>46162</v>
      </c>
      <c r="AN14" s="66">
        <v>46163</v>
      </c>
      <c r="AO14" s="66">
        <v>46164</v>
      </c>
      <c r="AP14" s="66">
        <v>46165</v>
      </c>
      <c r="AQ14" s="66">
        <v>46166</v>
      </c>
      <c r="AR14" s="66">
        <v>46167</v>
      </c>
      <c r="AS14" s="66">
        <v>46168</v>
      </c>
      <c r="AT14" s="66">
        <v>46169</v>
      </c>
      <c r="AU14" s="66">
        <v>46170</v>
      </c>
      <c r="AV14" s="66">
        <v>46171</v>
      </c>
      <c r="AW14" s="66">
        <v>46172</v>
      </c>
      <c r="AX14" s="66">
        <v>46173</v>
      </c>
    </row>
    <row r="15" spans="1:50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</row>
    <row r="16" spans="1:50" s="2" customFormat="1" x14ac:dyDescent="0.25">
      <c r="A16" s="39" t="s">
        <v>0</v>
      </c>
      <c r="B16" s="20"/>
      <c r="C16" s="29">
        <f>SUM(C18:C23)</f>
        <v>0</v>
      </c>
      <c r="D16" s="29"/>
      <c r="E16" s="29">
        <f t="shared" ref="E16:AB16" si="0">SUM(E17:E24)</f>
        <v>0</v>
      </c>
      <c r="F16" s="29">
        <f t="shared" si="0"/>
        <v>0</v>
      </c>
      <c r="G16" s="135">
        <f t="shared" si="0"/>
        <v>0</v>
      </c>
      <c r="H16" s="135">
        <f t="shared" si="0"/>
        <v>0</v>
      </c>
      <c r="I16" s="29">
        <f t="shared" si="0"/>
        <v>7953890.3700800007</v>
      </c>
      <c r="J16" s="29">
        <f t="shared" si="0"/>
        <v>0</v>
      </c>
      <c r="K16" s="29">
        <f t="shared" si="0"/>
        <v>0</v>
      </c>
      <c r="L16" s="29">
        <f t="shared" si="0"/>
        <v>0</v>
      </c>
      <c r="M16" s="29">
        <f t="shared" si="0"/>
        <v>500000</v>
      </c>
      <c r="N16" s="135">
        <f t="shared" si="0"/>
        <v>0</v>
      </c>
      <c r="O16" s="135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135">
        <f t="shared" si="0"/>
        <v>0</v>
      </c>
      <c r="U16" s="135">
        <f t="shared" si="0"/>
        <v>7037500</v>
      </c>
      <c r="V16" s="135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135">
        <f t="shared" si="0"/>
        <v>0</v>
      </c>
      <c r="AC16" s="135">
        <f>SUM(AC17:AC24)</f>
        <v>0</v>
      </c>
      <c r="AD16" s="135">
        <f t="shared" ref="AD16:AX16" si="1">SUM(AD17:AD24)</f>
        <v>3088211</v>
      </c>
      <c r="AE16" s="29">
        <f t="shared" si="1"/>
        <v>0</v>
      </c>
      <c r="AF16" s="29">
        <f t="shared" si="1"/>
        <v>0</v>
      </c>
      <c r="AG16" s="29">
        <f t="shared" si="1"/>
        <v>7882500</v>
      </c>
      <c r="AH16" s="29">
        <f t="shared" si="1"/>
        <v>0</v>
      </c>
      <c r="AI16" s="135">
        <f t="shared" si="1"/>
        <v>0</v>
      </c>
      <c r="AJ16" s="135">
        <f t="shared" si="1"/>
        <v>0</v>
      </c>
      <c r="AK16" s="29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135">
        <f t="shared" si="1"/>
        <v>0</v>
      </c>
      <c r="AQ16" s="135">
        <f t="shared" si="1"/>
        <v>0</v>
      </c>
      <c r="AR16" s="29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135">
        <f t="shared" si="1"/>
        <v>0</v>
      </c>
      <c r="AX16" s="135">
        <f t="shared" si="1"/>
        <v>0</v>
      </c>
    </row>
    <row r="17" spans="1:50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</row>
    <row r="18" spans="1:50" s="80" customFormat="1" x14ac:dyDescent="0.25">
      <c r="A18" s="40" t="s">
        <v>9</v>
      </c>
      <c r="B18" s="21"/>
      <c r="C18" s="59"/>
      <c r="D18" s="30"/>
      <c r="E18" s="30"/>
      <c r="G18" s="30"/>
      <c r="H18" s="30"/>
      <c r="I18" s="30"/>
      <c r="J18" s="30"/>
      <c r="K18" s="30"/>
      <c r="L18" s="30"/>
      <c r="M18" s="30">
        <v>500000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</row>
    <row r="19" spans="1:50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</row>
    <row r="20" spans="1:50" s="80" customFormat="1" ht="13.5" customHeigh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>
        <v>7037500</v>
      </c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>
        <v>7882500</v>
      </c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</row>
    <row r="21" spans="1:50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</row>
    <row r="22" spans="1:50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I22" s="33">
        <f>90144.8*A3</f>
        <v>7953890.3700800007</v>
      </c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</row>
    <row r="23" spans="1:50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>
        <f>35000*A3</f>
        <v>3088211</v>
      </c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</row>
    <row r="24" spans="1:50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</row>
    <row r="25" spans="1:50" s="4" customFormat="1" x14ac:dyDescent="0.2">
      <c r="A25" s="41" t="s">
        <v>1</v>
      </c>
      <c r="B25" s="22"/>
      <c r="C25" s="34">
        <f>SUM(C27:C75)</f>
        <v>8948287.2145199999</v>
      </c>
      <c r="D25" s="34"/>
      <c r="E25" s="34">
        <f t="shared" ref="E25:AX25" si="2">SUM(E26:E76)</f>
        <v>572636.4</v>
      </c>
      <c r="F25" s="34">
        <f t="shared" si="2"/>
        <v>489381.99927500001</v>
      </c>
      <c r="G25" s="34">
        <f t="shared" si="2"/>
        <v>0</v>
      </c>
      <c r="H25" s="34">
        <f t="shared" si="2"/>
        <v>0</v>
      </c>
      <c r="I25" s="34">
        <f t="shared" si="2"/>
        <v>2721956.16</v>
      </c>
      <c r="J25" s="34">
        <f t="shared" si="2"/>
        <v>2989864.5104</v>
      </c>
      <c r="K25" s="34">
        <f t="shared" si="2"/>
        <v>975639.1392750002</v>
      </c>
      <c r="L25" s="34">
        <f t="shared" si="2"/>
        <v>326469.2</v>
      </c>
      <c r="M25" s="34">
        <f t="shared" si="2"/>
        <v>2107614.4699999997</v>
      </c>
      <c r="N25" s="34">
        <f t="shared" si="2"/>
        <v>0</v>
      </c>
      <c r="O25" s="34">
        <f t="shared" si="2"/>
        <v>0</v>
      </c>
      <c r="P25" s="34">
        <f t="shared" si="2"/>
        <v>946790.37700000009</v>
      </c>
      <c r="Q25" s="34">
        <f t="shared" si="2"/>
        <v>2468608.0769999996</v>
      </c>
      <c r="R25" s="34">
        <f t="shared" si="2"/>
        <v>1325624.3770000001</v>
      </c>
      <c r="S25" s="34">
        <f t="shared" si="2"/>
        <v>681422.37700000009</v>
      </c>
      <c r="T25" s="34">
        <f t="shared" si="2"/>
        <v>112000</v>
      </c>
      <c r="U25" s="34">
        <f t="shared" si="2"/>
        <v>0</v>
      </c>
      <c r="V25" s="34">
        <f t="shared" si="2"/>
        <v>0</v>
      </c>
      <c r="W25" s="34">
        <f t="shared" si="2"/>
        <v>1457186.73</v>
      </c>
      <c r="X25" s="34">
        <f t="shared" si="2"/>
        <v>2033311.1</v>
      </c>
      <c r="Y25" s="34">
        <f t="shared" si="2"/>
        <v>570401.1</v>
      </c>
      <c r="Z25" s="34">
        <f t="shared" si="2"/>
        <v>959247.1</v>
      </c>
      <c r="AA25" s="34">
        <f t="shared" si="2"/>
        <v>545949</v>
      </c>
      <c r="AB25" s="34">
        <f t="shared" si="2"/>
        <v>0</v>
      </c>
      <c r="AC25" s="34">
        <f t="shared" si="2"/>
        <v>360000</v>
      </c>
      <c r="AD25" s="34">
        <f t="shared" si="2"/>
        <v>0</v>
      </c>
      <c r="AE25" s="34">
        <f t="shared" si="2"/>
        <v>1870806</v>
      </c>
      <c r="AF25" s="34">
        <f t="shared" si="2"/>
        <v>128806</v>
      </c>
      <c r="AG25" s="34">
        <f t="shared" si="2"/>
        <v>1975506</v>
      </c>
      <c r="AH25" s="34">
        <f t="shared" si="2"/>
        <v>757012</v>
      </c>
      <c r="AI25" s="34">
        <f t="shared" si="2"/>
        <v>0</v>
      </c>
      <c r="AJ25" s="34">
        <f t="shared" si="2"/>
        <v>0</v>
      </c>
      <c r="AK25" s="34">
        <f t="shared" si="2"/>
        <v>356700</v>
      </c>
      <c r="AL25" s="34">
        <f t="shared" si="2"/>
        <v>356700</v>
      </c>
      <c r="AM25" s="34">
        <f t="shared" si="2"/>
        <v>356700</v>
      </c>
      <c r="AN25" s="34">
        <f t="shared" si="2"/>
        <v>356700</v>
      </c>
      <c r="AO25" s="34">
        <f t="shared" si="2"/>
        <v>356700</v>
      </c>
      <c r="AP25" s="34">
        <f t="shared" si="2"/>
        <v>0</v>
      </c>
      <c r="AQ25" s="34">
        <f t="shared" si="2"/>
        <v>0</v>
      </c>
      <c r="AR25" s="34">
        <f t="shared" si="2"/>
        <v>356700</v>
      </c>
      <c r="AS25" s="34">
        <f t="shared" si="2"/>
        <v>356700</v>
      </c>
      <c r="AT25" s="34">
        <f t="shared" si="2"/>
        <v>356700</v>
      </c>
      <c r="AU25" s="34">
        <f t="shared" si="2"/>
        <v>0</v>
      </c>
      <c r="AV25" s="34">
        <f t="shared" si="2"/>
        <v>691000</v>
      </c>
      <c r="AW25" s="34">
        <f t="shared" si="2"/>
        <v>0</v>
      </c>
      <c r="AX25" s="34">
        <f t="shared" si="2"/>
        <v>0</v>
      </c>
    </row>
    <row r="26" spans="1:50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</row>
    <row r="27" spans="1:50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</row>
    <row r="28" spans="1:50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</row>
    <row r="29" spans="1:50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</row>
    <row r="30" spans="1:50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90">
        <v>2000000</v>
      </c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</row>
    <row r="31" spans="1:50" s="1" customFormat="1" x14ac:dyDescent="0.2">
      <c r="A31" s="36" t="s">
        <v>7</v>
      </c>
      <c r="B31" s="23" t="s">
        <v>8</v>
      </c>
      <c r="C31" s="60"/>
      <c r="D31" s="24"/>
      <c r="E31" s="24"/>
      <c r="G31" s="24"/>
      <c r="H31" s="24"/>
      <c r="I31" s="24">
        <v>560000</v>
      </c>
      <c r="J31" s="24">
        <v>850000</v>
      </c>
      <c r="K31" s="24"/>
      <c r="L31" s="24"/>
      <c r="M31" s="24">
        <f>643714.22/2</f>
        <v>321857.11</v>
      </c>
      <c r="O31" s="24"/>
      <c r="P31" s="24"/>
      <c r="Q31" s="24"/>
      <c r="R31" s="24"/>
      <c r="S31" s="24"/>
      <c r="T31" s="24"/>
      <c r="U31" s="24"/>
      <c r="V31" s="24"/>
      <c r="W31" s="24">
        <v>560000</v>
      </c>
      <c r="X31" s="24"/>
      <c r="Y31" s="24"/>
      <c r="Z31" s="24"/>
      <c r="AA31" s="24"/>
      <c r="AB31" s="24"/>
      <c r="AC31" s="24">
        <v>360000</v>
      </c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</row>
    <row r="32" spans="1:50" s="1" customFormat="1" x14ac:dyDescent="0.2">
      <c r="A32" s="36" t="s">
        <v>118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>
        <v>271506</v>
      </c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</row>
    <row r="33" spans="1:50" s="1" customFormat="1" x14ac:dyDescent="0.2">
      <c r="A33" s="36" t="s">
        <v>54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</row>
    <row r="34" spans="1:50" s="1" customFormat="1" x14ac:dyDescent="0.2">
      <c r="A34" s="36" t="s">
        <v>71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>
        <v>200113.9</v>
      </c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</row>
    <row r="35" spans="1:50" s="1" customFormat="1" x14ac:dyDescent="0.2">
      <c r="A35" s="36" t="s">
        <v>53</v>
      </c>
      <c r="B35" s="23"/>
      <c r="C35" s="60"/>
      <c r="D35" s="24"/>
      <c r="E35" s="100">
        <v>145949.5</v>
      </c>
      <c r="F35" s="111"/>
      <c r="G35" s="24"/>
      <c r="H35" s="24"/>
      <c r="I35" s="24">
        <v>80000</v>
      </c>
      <c r="J35" s="24">
        <v>80000</v>
      </c>
      <c r="K35" s="24">
        <v>50000</v>
      </c>
      <c r="L35" s="24"/>
      <c r="M35" s="24"/>
      <c r="N35" s="24"/>
      <c r="O35" s="24"/>
      <c r="P35" s="24"/>
      <c r="Q35" s="24"/>
      <c r="R35" s="24"/>
      <c r="S35" s="24"/>
      <c r="U35" s="24"/>
      <c r="V35" s="24"/>
      <c r="X35" s="24"/>
      <c r="Y35" s="24"/>
      <c r="Z35" s="24"/>
      <c r="AA35" s="24">
        <v>545949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</row>
    <row r="36" spans="1:50" s="1" customFormat="1" ht="11.25" customHeight="1" x14ac:dyDescent="0.2">
      <c r="A36" s="47"/>
      <c r="B36" s="48"/>
      <c r="C36" s="67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 s="71" customFormat="1" x14ac:dyDescent="0.2">
      <c r="A37" s="69" t="s">
        <v>14</v>
      </c>
      <c r="B37" s="25" t="s">
        <v>30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U37" s="24"/>
      <c r="V37" s="24"/>
      <c r="W37" s="24"/>
      <c r="X37" s="24"/>
      <c r="Z37" s="24"/>
      <c r="AA37" s="24"/>
      <c r="AB37" s="24"/>
      <c r="AC37" s="24"/>
      <c r="AD37" s="24"/>
      <c r="AE37" s="24">
        <v>730000</v>
      </c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</row>
    <row r="38" spans="1:50" s="71" customFormat="1" x14ac:dyDescent="0.2">
      <c r="A38" s="69" t="s">
        <v>115</v>
      </c>
      <c r="B38" s="25" t="s">
        <v>116</v>
      </c>
      <c r="C38" s="70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100">
        <v>156160</v>
      </c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</row>
    <row r="39" spans="1:50" s="71" customFormat="1" x14ac:dyDescent="0.2">
      <c r="A39" s="69" t="s">
        <v>117</v>
      </c>
      <c r="B39" s="25"/>
      <c r="C39" s="70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8"/>
      <c r="AA39" s="24"/>
      <c r="AB39" s="24"/>
      <c r="AC39" s="24"/>
      <c r="AD39" s="24"/>
      <c r="AE39" s="24"/>
      <c r="AF39" s="24"/>
      <c r="AG39" s="24"/>
      <c r="AH39" s="28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100">
        <v>691000</v>
      </c>
      <c r="AW39" s="24"/>
      <c r="AX39" s="24"/>
    </row>
    <row r="40" spans="1:50" s="71" customFormat="1" x14ac:dyDescent="0.2">
      <c r="A40" s="69" t="s">
        <v>97</v>
      </c>
      <c r="B40" s="25" t="s">
        <v>98</v>
      </c>
      <c r="C40" s="70"/>
      <c r="D40" s="24"/>
      <c r="E40" s="24"/>
      <c r="F40" s="24"/>
      <c r="G40" s="131"/>
      <c r="H40" s="24"/>
      <c r="I40" s="24"/>
      <c r="J40" s="24"/>
      <c r="K40" s="100">
        <v>311400</v>
      </c>
      <c r="L40" s="24"/>
      <c r="M40" s="24"/>
      <c r="N40" s="24"/>
      <c r="O40" s="24"/>
      <c r="P40" s="24"/>
      <c r="Q40" s="24"/>
      <c r="R40" s="100">
        <v>311400</v>
      </c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</row>
    <row r="41" spans="1:50" s="71" customFormat="1" x14ac:dyDescent="0.2">
      <c r="A41" s="69" t="s">
        <v>17</v>
      </c>
      <c r="B41" s="25" t="s">
        <v>41</v>
      </c>
      <c r="C41" s="70">
        <f>1375000-500000</f>
        <v>875000</v>
      </c>
      <c r="D41" s="24"/>
      <c r="E41" s="28"/>
      <c r="G41" s="24"/>
      <c r="H41" s="24"/>
      <c r="I41" s="95">
        <v>175000</v>
      </c>
      <c r="J41" s="24"/>
      <c r="L41" s="24"/>
      <c r="N41" s="24"/>
      <c r="O41" s="24"/>
      <c r="P41" s="95">
        <v>175000</v>
      </c>
      <c r="Q41" s="95">
        <v>175000</v>
      </c>
      <c r="R41" s="95">
        <v>175000</v>
      </c>
      <c r="S41" s="95">
        <v>175000</v>
      </c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</row>
    <row r="42" spans="1:50" s="71" customFormat="1" x14ac:dyDescent="0.2">
      <c r="A42" s="69" t="s">
        <v>15</v>
      </c>
      <c r="B42" s="25" t="s">
        <v>31</v>
      </c>
      <c r="C42" s="70">
        <f>1289912-50000</f>
        <v>1239912</v>
      </c>
      <c r="D42" s="24"/>
      <c r="E42" s="28"/>
      <c r="F42" s="108">
        <f>115224-65224</f>
        <v>50000</v>
      </c>
      <c r="G42" s="24"/>
      <c r="H42" s="24"/>
      <c r="I42" s="108">
        <v>75000</v>
      </c>
      <c r="J42" s="108">
        <v>125000</v>
      </c>
      <c r="K42" s="108">
        <v>100000</v>
      </c>
      <c r="L42" s="108">
        <v>100000</v>
      </c>
      <c r="M42" s="108">
        <v>100000</v>
      </c>
      <c r="N42" s="24"/>
      <c r="O42" s="24"/>
      <c r="P42" s="108">
        <v>104464</v>
      </c>
      <c r="Q42" s="108">
        <v>150000</v>
      </c>
      <c r="R42" s="108">
        <v>100000</v>
      </c>
      <c r="S42" s="108">
        <v>100000</v>
      </c>
      <c r="T42" s="28"/>
      <c r="U42" s="28"/>
      <c r="V42" s="24"/>
      <c r="W42" s="108">
        <v>65224</v>
      </c>
      <c r="X42" s="108">
        <v>90224</v>
      </c>
      <c r="Y42" s="108">
        <v>115224</v>
      </c>
      <c r="Z42" s="108">
        <v>25000</v>
      </c>
      <c r="AA42" s="24"/>
      <c r="AB42" s="24"/>
      <c r="AC42" s="24"/>
      <c r="AE42" s="98">
        <f>515224/4</f>
        <v>128806</v>
      </c>
      <c r="AF42" s="98">
        <f>515224/4</f>
        <v>128806</v>
      </c>
      <c r="AG42" s="98">
        <f>515224/4</f>
        <v>128806</v>
      </c>
      <c r="AH42" s="98">
        <f>515224/4</f>
        <v>128806</v>
      </c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</row>
    <row r="43" spans="1:50" s="71" customFormat="1" x14ac:dyDescent="0.2">
      <c r="A43" s="69" t="s">
        <v>18</v>
      </c>
      <c r="B43" s="25" t="s">
        <v>32</v>
      </c>
      <c r="C43" s="70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</row>
    <row r="44" spans="1:50" s="73" customFormat="1" x14ac:dyDescent="0.2">
      <c r="A44" s="69" t="s">
        <v>21</v>
      </c>
      <c r="B44" s="25" t="s">
        <v>45</v>
      </c>
      <c r="C44" s="70">
        <f>50000*A9</f>
        <v>551670</v>
      </c>
      <c r="D44" s="72"/>
      <c r="E44" s="100">
        <f>25000*A9</f>
        <v>275835</v>
      </c>
      <c r="F44" s="129">
        <f>25000*A9</f>
        <v>275835</v>
      </c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</row>
    <row r="45" spans="1:50" s="71" customFormat="1" x14ac:dyDescent="0.2">
      <c r="A45" s="69" t="s">
        <v>19</v>
      </c>
      <c r="B45" s="25" t="s">
        <v>46</v>
      </c>
      <c r="C45" s="70">
        <f>7350*A3</f>
        <v>648524.31000000006</v>
      </c>
      <c r="D45" s="24"/>
      <c r="E45" s="100">
        <f>1000*$A$3</f>
        <v>88234.6</v>
      </c>
      <c r="F45" s="129">
        <f>600*$A$3</f>
        <v>52940.76</v>
      </c>
      <c r="G45" s="24"/>
      <c r="H45" s="24"/>
      <c r="I45" s="129">
        <f>750*$A$3</f>
        <v>66175.95</v>
      </c>
      <c r="J45" s="129">
        <f>2000*$A$3</f>
        <v>176469.2</v>
      </c>
      <c r="K45" s="129">
        <f>500*$A$3</f>
        <v>44117.3</v>
      </c>
      <c r="L45" s="129">
        <f>2000*$A$3</f>
        <v>176469.2</v>
      </c>
      <c r="M45" s="129">
        <f>500*$A$3</f>
        <v>44117.3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</row>
    <row r="46" spans="1:50" s="71" customFormat="1" x14ac:dyDescent="0.2">
      <c r="A46" s="69" t="s">
        <v>16</v>
      </c>
      <c r="B46" s="25" t="s">
        <v>32</v>
      </c>
      <c r="C46" s="70">
        <f>722080-56200</f>
        <v>665880</v>
      </c>
      <c r="D46" s="24"/>
      <c r="F46" s="108">
        <f>(66588+33294)/2</f>
        <v>49941</v>
      </c>
      <c r="G46" s="28"/>
      <c r="H46" s="28"/>
      <c r="I46" s="108">
        <f>66588+33294</f>
        <v>99882</v>
      </c>
      <c r="K46" s="108">
        <f>66588+33294</f>
        <v>99882</v>
      </c>
      <c r="M46" s="108">
        <f>66588+33294</f>
        <v>99882</v>
      </c>
      <c r="N46" s="24"/>
      <c r="O46" s="24"/>
      <c r="P46" s="108">
        <f>66588+33294+99882</f>
        <v>199764</v>
      </c>
      <c r="Q46" s="108">
        <f>(66588+33294)/2</f>
        <v>49941</v>
      </c>
      <c r="R46" s="95">
        <v>332940</v>
      </c>
      <c r="S46" s="108">
        <f>66588+33294+35506</f>
        <v>135388</v>
      </c>
      <c r="T46" s="24"/>
      <c r="U46" s="24"/>
      <c r="V46" s="24"/>
      <c r="W46" s="108">
        <f>499410/4</f>
        <v>124852.5</v>
      </c>
      <c r="X46" s="108">
        <f>499410/4</f>
        <v>124852.5</v>
      </c>
      <c r="Y46" s="108">
        <f>499410/4</f>
        <v>124852.5</v>
      </c>
      <c r="Z46" s="108">
        <f>499410/4</f>
        <v>124852.5</v>
      </c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</row>
    <row r="47" spans="1:50" s="71" customFormat="1" x14ac:dyDescent="0.2">
      <c r="A47" s="69" t="s">
        <v>85</v>
      </c>
      <c r="B47" s="25" t="s">
        <v>47</v>
      </c>
      <c r="C47" s="70"/>
      <c r="D47" s="24"/>
      <c r="E47" s="28"/>
      <c r="F47" s="24"/>
      <c r="G47" s="24"/>
      <c r="H47" s="24"/>
      <c r="I47" s="24"/>
      <c r="K47" s="24"/>
      <c r="L47" s="24"/>
      <c r="M47" s="24"/>
      <c r="N47" s="24"/>
      <c r="O47" s="24"/>
      <c r="P47" s="108">
        <f>645*$A$6</f>
        <v>48526.317000000003</v>
      </c>
      <c r="Q47" s="108">
        <f>645*$A$6</f>
        <v>48526.317000000003</v>
      </c>
      <c r="R47" s="108">
        <f>645*$A$6</f>
        <v>48526.317000000003</v>
      </c>
      <c r="S47" s="108">
        <f>645*$A$6</f>
        <v>48526.317000000003</v>
      </c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</row>
    <row r="48" spans="1:50" s="73" customFormat="1" x14ac:dyDescent="0.2">
      <c r="A48" s="69" t="s">
        <v>22</v>
      </c>
      <c r="B48" s="25" t="s">
        <v>48</v>
      </c>
      <c r="C48" s="75">
        <f>15906*A9</f>
        <v>175497.2604</v>
      </c>
      <c r="D48" s="72"/>
      <c r="E48" s="24"/>
      <c r="F48" s="24"/>
      <c r="G48" s="72"/>
      <c r="H48" s="72"/>
      <c r="I48" s="129">
        <f>5000*$A$9</f>
        <v>55167</v>
      </c>
      <c r="J48" s="129">
        <f>5906*$A$9</f>
        <v>65163.260399999999</v>
      </c>
      <c r="K48" s="129">
        <f>5000*$A$9</f>
        <v>55167</v>
      </c>
      <c r="L48" s="24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</row>
    <row r="49" spans="1:50" s="73" customFormat="1" x14ac:dyDescent="0.2">
      <c r="A49" s="69" t="s">
        <v>108</v>
      </c>
      <c r="B49" s="25" t="s">
        <v>109</v>
      </c>
      <c r="C49" s="120"/>
      <c r="D49" s="72"/>
      <c r="E49" s="24"/>
      <c r="F49" s="24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</row>
    <row r="50" spans="1:50" s="71" customFormat="1" x14ac:dyDescent="0.2">
      <c r="A50" s="69" t="s">
        <v>36</v>
      </c>
      <c r="B50" s="25" t="s">
        <v>37</v>
      </c>
      <c r="C50" s="130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</row>
    <row r="51" spans="1:50" s="71" customFormat="1" x14ac:dyDescent="0.2">
      <c r="A51" s="69" t="s">
        <v>86</v>
      </c>
      <c r="B51" s="25" t="s">
        <v>35</v>
      </c>
      <c r="C51" s="70">
        <f>2600*$A$6</f>
        <v>195609.96</v>
      </c>
      <c r="D51" s="77"/>
      <c r="E51" s="100">
        <f>500*$A$6</f>
        <v>37617.300000000003</v>
      </c>
      <c r="F51" s="24"/>
      <c r="H51" s="24"/>
      <c r="I51" s="95">
        <f>500*$A$6</f>
        <v>37617.300000000003</v>
      </c>
      <c r="J51" s="95">
        <f>500*$A$6</f>
        <v>37617.300000000003</v>
      </c>
      <c r="K51" s="95">
        <f>500*$A$6</f>
        <v>37617.300000000003</v>
      </c>
      <c r="L51" s="24"/>
      <c r="M51" s="95">
        <f>600*$A$6</f>
        <v>45140.76</v>
      </c>
      <c r="N51" s="24"/>
      <c r="O51" s="24"/>
      <c r="P51" s="108">
        <f>600*$A$6</f>
        <v>45140.76</v>
      </c>
      <c r="Q51" s="108">
        <f>600*$A$6</f>
        <v>45140.76</v>
      </c>
      <c r="R51" s="108">
        <f>600*$A$6</f>
        <v>45140.76</v>
      </c>
      <c r="S51" s="108">
        <f>600*$A$6</f>
        <v>45140.76</v>
      </c>
      <c r="T51" s="24"/>
      <c r="U51" s="24"/>
      <c r="V51" s="24"/>
      <c r="W51" s="108">
        <f>1050*$A$6</f>
        <v>78996.33</v>
      </c>
      <c r="X51" s="108">
        <f>1000*$A$6</f>
        <v>75234.600000000006</v>
      </c>
      <c r="Y51" s="108">
        <f>1000*$A$6</f>
        <v>75234.600000000006</v>
      </c>
      <c r="Z51" s="108">
        <f>1000*$A$6</f>
        <v>75234.600000000006</v>
      </c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</row>
    <row r="52" spans="1:50" s="71" customFormat="1" x14ac:dyDescent="0.2">
      <c r="A52" s="69" t="s">
        <v>111</v>
      </c>
      <c r="B52" s="25" t="s">
        <v>112</v>
      </c>
      <c r="C52" s="70"/>
      <c r="D52" s="77"/>
      <c r="E52" s="24"/>
      <c r="F52" s="100">
        <v>25000</v>
      </c>
      <c r="G52" s="24"/>
      <c r="H52" s="24"/>
      <c r="I52" s="24"/>
      <c r="J52" s="100">
        <v>25000</v>
      </c>
      <c r="K52" s="100">
        <v>27173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</row>
    <row r="53" spans="1:50" s="71" customFormat="1" x14ac:dyDescent="0.2">
      <c r="A53" s="69" t="s">
        <v>29</v>
      </c>
      <c r="B53" s="25" t="s">
        <v>42</v>
      </c>
      <c r="C53" s="70">
        <v>20000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</row>
    <row r="54" spans="1:50" s="71" customFormat="1" x14ac:dyDescent="0.2">
      <c r="A54" s="69" t="s">
        <v>29</v>
      </c>
      <c r="B54" s="25" t="s">
        <v>43</v>
      </c>
      <c r="C54" s="70">
        <v>439750</v>
      </c>
      <c r="D54" s="24"/>
      <c r="E54" s="28"/>
      <c r="F54" s="24"/>
      <c r="G54" s="24"/>
      <c r="H54" s="24"/>
      <c r="I54" s="24"/>
      <c r="J54" s="24"/>
      <c r="K54" s="24"/>
      <c r="L54" s="24"/>
      <c r="N54" s="24"/>
      <c r="O54" s="24"/>
      <c r="P54" s="95">
        <v>100000</v>
      </c>
      <c r="Q54" s="24"/>
      <c r="R54" s="95">
        <v>100000</v>
      </c>
      <c r="S54" s="95">
        <v>139750</v>
      </c>
      <c r="U54" s="24"/>
      <c r="V54" s="24"/>
      <c r="W54" s="95">
        <v>100000</v>
      </c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</row>
    <row r="55" spans="1:50" s="71" customFormat="1" x14ac:dyDescent="0.2">
      <c r="A55" s="69" t="s">
        <v>104</v>
      </c>
      <c r="B55" s="25" t="s">
        <v>105</v>
      </c>
      <c r="C55" s="70"/>
      <c r="D55" s="77"/>
      <c r="E55" s="28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</row>
    <row r="56" spans="1:50" s="71" customFormat="1" x14ac:dyDescent="0.2">
      <c r="A56" s="69" t="s">
        <v>99</v>
      </c>
      <c r="B56" s="25" t="s">
        <v>100</v>
      </c>
      <c r="C56" s="70"/>
      <c r="D56" s="77"/>
      <c r="E56" s="28"/>
      <c r="F56" s="100">
        <f>(581.75*$A$3)/2</f>
        <v>25665.239275</v>
      </c>
      <c r="G56" s="24"/>
      <c r="H56" s="24"/>
      <c r="I56" s="24"/>
      <c r="J56" s="24"/>
      <c r="K56" s="100">
        <f>(581.75/2)*$A$3</f>
        <v>25665.239275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</row>
    <row r="57" spans="1:50" s="71" customFormat="1" x14ac:dyDescent="0.2">
      <c r="A57" s="69" t="s">
        <v>29</v>
      </c>
      <c r="B57" s="25" t="s">
        <v>55</v>
      </c>
      <c r="C57" s="70">
        <f>3530*A6-41253.4</f>
        <v>224324.73799999998</v>
      </c>
      <c r="D57" s="24"/>
      <c r="F57" s="24"/>
      <c r="G57" s="24"/>
      <c r="H57" s="24"/>
      <c r="I57" s="95">
        <f>500*$A$6</f>
        <v>37617.300000000003</v>
      </c>
      <c r="K57" s="95">
        <f>500*$A$6</f>
        <v>37617.300000000003</v>
      </c>
      <c r="M57" s="95">
        <f>500*$A$6</f>
        <v>37617.300000000003</v>
      </c>
      <c r="N57" s="24"/>
      <c r="O57" s="24"/>
      <c r="P57" s="95">
        <f>500*$A$6</f>
        <v>37617.300000000003</v>
      </c>
      <c r="Q57" s="24"/>
      <c r="R57" s="95">
        <f>500*$A$6</f>
        <v>37617.300000000003</v>
      </c>
      <c r="S57" s="95">
        <f>500*$A$6</f>
        <v>37617.300000000003</v>
      </c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</row>
    <row r="58" spans="1:50" s="71" customFormat="1" x14ac:dyDescent="0.2">
      <c r="A58" s="69" t="s">
        <v>40</v>
      </c>
      <c r="B58" s="25" t="s">
        <v>44</v>
      </c>
      <c r="C58" s="70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100">
        <v>1878</v>
      </c>
      <c r="Q58" s="24"/>
      <c r="R58" s="24"/>
      <c r="S58" s="24"/>
      <c r="T58" s="24"/>
      <c r="U58" s="24"/>
      <c r="V58" s="24"/>
      <c r="W58" s="24"/>
      <c r="X58" s="24"/>
      <c r="Y58" s="100">
        <v>2090</v>
      </c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</row>
    <row r="59" spans="1:50" s="71" customFormat="1" x14ac:dyDescent="0.2">
      <c r="A59" s="69" t="s">
        <v>90</v>
      </c>
      <c r="B59" s="25" t="s">
        <v>91</v>
      </c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Q59" s="24"/>
      <c r="R59" s="24"/>
      <c r="S59" s="24"/>
      <c r="T59" s="24"/>
      <c r="V59" s="24"/>
      <c r="W59" s="100">
        <f>1012000/4</f>
        <v>253000</v>
      </c>
      <c r="X59" s="100">
        <f>1012000/4</f>
        <v>253000</v>
      </c>
      <c r="Y59" s="100">
        <f>1012000/4</f>
        <v>253000</v>
      </c>
      <c r="Z59" s="100">
        <f>1012000/4</f>
        <v>253000</v>
      </c>
      <c r="AA59" s="24"/>
      <c r="AB59" s="24"/>
      <c r="AC59" s="24"/>
      <c r="AD59" s="24"/>
      <c r="AE59" s="100">
        <v>1012000</v>
      </c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</row>
    <row r="60" spans="1:50" s="71" customFormat="1" x14ac:dyDescent="0.2">
      <c r="A60" s="69" t="s">
        <v>106</v>
      </c>
      <c r="B60" s="25" t="s">
        <v>107</v>
      </c>
      <c r="C60" s="70"/>
      <c r="D60" s="77"/>
      <c r="E60" s="24"/>
      <c r="F60" s="100">
        <v>10000</v>
      </c>
      <c r="G60" s="24"/>
      <c r="H60" s="24"/>
      <c r="I60" s="24"/>
      <c r="J60" s="100">
        <v>10000</v>
      </c>
      <c r="K60" s="24"/>
      <c r="L60" s="24"/>
      <c r="M60" s="100">
        <v>10000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</row>
    <row r="61" spans="1:50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</row>
    <row r="62" spans="1:50" s="71" customFormat="1" x14ac:dyDescent="0.2">
      <c r="A62" s="132" t="s">
        <v>113</v>
      </c>
      <c r="B62" s="133" t="s">
        <v>114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</row>
    <row r="63" spans="1:50" s="71" customFormat="1" x14ac:dyDescent="0.2">
      <c r="A63" s="69" t="s">
        <v>34</v>
      </c>
      <c r="B63" s="25" t="s">
        <v>45</v>
      </c>
      <c r="C63" s="70"/>
      <c r="D63" s="77"/>
      <c r="E63" s="124">
        <v>25000</v>
      </c>
      <c r="G63" s="24"/>
      <c r="H63" s="24"/>
      <c r="I63" s="106">
        <v>100000</v>
      </c>
      <c r="K63" s="106">
        <v>100000</v>
      </c>
      <c r="L63" s="106">
        <v>50000</v>
      </c>
      <c r="M63" s="106">
        <v>75000</v>
      </c>
      <c r="N63" s="24"/>
      <c r="O63" s="24"/>
      <c r="P63" s="108">
        <v>114400</v>
      </c>
      <c r="Q63" s="24"/>
      <c r="R63" s="106">
        <v>175000</v>
      </c>
      <c r="S63" s="24"/>
      <c r="U63" s="24"/>
      <c r="V63" s="24"/>
      <c r="W63" s="106">
        <v>75000</v>
      </c>
      <c r="Y63" s="24"/>
      <c r="Z63" s="108">
        <v>325000</v>
      </c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</row>
    <row r="64" spans="1:50" s="71" customFormat="1" x14ac:dyDescent="0.2">
      <c r="A64" s="69" t="s">
        <v>101</v>
      </c>
      <c r="B64" s="25"/>
      <c r="C64" s="70"/>
      <c r="D64" s="77"/>
      <c r="E64" s="24"/>
      <c r="F64" s="24"/>
      <c r="G64" s="24"/>
      <c r="H64" s="24"/>
      <c r="I64" s="24"/>
      <c r="J64" s="24"/>
      <c r="K64" s="108">
        <v>60000</v>
      </c>
      <c r="L64" s="24"/>
      <c r="M64" s="108">
        <v>50000</v>
      </c>
      <c r="N64" s="24"/>
      <c r="O64" s="24"/>
      <c r="P64" s="108">
        <v>120000</v>
      </c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</row>
    <row r="65" spans="1:50" s="71" customFormat="1" x14ac:dyDescent="0.2">
      <c r="A65" s="69" t="s">
        <v>38</v>
      </c>
      <c r="B65" s="25" t="s">
        <v>39</v>
      </c>
      <c r="C65" s="70">
        <f>107400-65000-16000</f>
        <v>26400</v>
      </c>
      <c r="D65" s="24"/>
      <c r="E65" s="24"/>
      <c r="F65" s="28"/>
      <c r="G65" s="24"/>
      <c r="H65" s="24"/>
      <c r="I65" s="108">
        <v>31500</v>
      </c>
      <c r="J65" s="108">
        <v>30000</v>
      </c>
      <c r="K65" s="108">
        <v>27000</v>
      </c>
      <c r="M65" s="108">
        <v>24000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</row>
    <row r="66" spans="1:50" s="71" customFormat="1" x14ac:dyDescent="0.2">
      <c r="A66" s="69" t="s">
        <v>74</v>
      </c>
      <c r="B66" s="25" t="s">
        <v>83</v>
      </c>
      <c r="C66" s="70"/>
      <c r="D66" s="24"/>
      <c r="E66" s="24"/>
      <c r="F66" s="24"/>
      <c r="G66" s="24"/>
      <c r="I66" s="98">
        <f>104492.6-69560</f>
        <v>34932.600000000006</v>
      </c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X66" s="24"/>
      <c r="Y66" s="24"/>
      <c r="Z66" s="24"/>
      <c r="AA66" s="24"/>
      <c r="AB66" s="24"/>
      <c r="AC66" s="24"/>
      <c r="AD66" s="24"/>
      <c r="AE66" s="24"/>
      <c r="AF66" s="24"/>
      <c r="AG66" s="108">
        <f>3567000/10</f>
        <v>356700</v>
      </c>
      <c r="AH66" s="108">
        <f>3567000/10</f>
        <v>356700</v>
      </c>
      <c r="AI66" s="28"/>
      <c r="AJ66" s="28"/>
      <c r="AK66" s="108">
        <f>3567000/10</f>
        <v>356700</v>
      </c>
      <c r="AL66" s="108">
        <f>3567000/10</f>
        <v>356700</v>
      </c>
      <c r="AM66" s="108">
        <f>3567000/10</f>
        <v>356700</v>
      </c>
      <c r="AN66" s="108">
        <f>3567000/10</f>
        <v>356700</v>
      </c>
      <c r="AO66" s="108">
        <f>3567000/10</f>
        <v>356700</v>
      </c>
      <c r="AP66" s="28"/>
      <c r="AQ66" s="28"/>
      <c r="AR66" s="108">
        <f>3567000/10</f>
        <v>356700</v>
      </c>
      <c r="AS66" s="108">
        <f>3567000/10</f>
        <v>356700</v>
      </c>
      <c r="AT66" s="108">
        <f>3567000/10</f>
        <v>356700</v>
      </c>
      <c r="AU66" s="24"/>
      <c r="AV66" s="24"/>
      <c r="AW66" s="24"/>
      <c r="AX66" s="24"/>
    </row>
    <row r="67" spans="1:50" s="73" customFormat="1" ht="2.25" customHeigh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 t="s">
        <v>89</v>
      </c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</row>
    <row r="68" spans="1:50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</row>
    <row r="69" spans="1:50" s="94" customFormat="1" ht="33.75" x14ac:dyDescent="0.2">
      <c r="A69" s="91" t="s">
        <v>60</v>
      </c>
      <c r="B69" s="92" t="s">
        <v>59</v>
      </c>
      <c r="C69" s="93">
        <v>0</v>
      </c>
      <c r="D69" s="93"/>
      <c r="E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</row>
    <row r="70" spans="1:50" s="5" customFormat="1" ht="2.25" customHeigh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1:50" s="5" customFormat="1" x14ac:dyDescent="0.2">
      <c r="A71" s="36" t="s">
        <v>49</v>
      </c>
      <c r="B71" s="12"/>
      <c r="C71" s="13"/>
      <c r="D71" s="26"/>
      <c r="E71" s="13"/>
      <c r="F71" s="13"/>
      <c r="G71" s="13"/>
      <c r="I71" s="126">
        <v>1369064.01</v>
      </c>
      <c r="J71" s="13">
        <v>1200614.75</v>
      </c>
      <c r="K71" s="13"/>
      <c r="L71" s="13"/>
      <c r="M71" s="13">
        <v>1300000</v>
      </c>
      <c r="N71" s="13"/>
      <c r="O71" s="13"/>
      <c r="P71" s="13"/>
      <c r="Q71" s="13"/>
      <c r="R71" s="13"/>
      <c r="S71" s="13"/>
      <c r="T71" s="13"/>
      <c r="V71" s="13"/>
      <c r="W71" s="13"/>
      <c r="X71" s="13">
        <v>1490000</v>
      </c>
      <c r="Y71" s="13"/>
      <c r="Z71" s="13"/>
      <c r="AA71" s="13"/>
      <c r="AB71" s="13"/>
      <c r="AC71" s="13"/>
      <c r="AD71" s="13"/>
      <c r="AE71" s="13"/>
      <c r="AF71" s="13"/>
      <c r="AG71" s="13">
        <v>1490000</v>
      </c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spans="1:50" s="5" customFormat="1" x14ac:dyDescent="0.2">
      <c r="A72" s="36" t="s">
        <v>57</v>
      </c>
      <c r="B72" s="12"/>
      <c r="C72" s="68"/>
      <c r="D72" s="26"/>
      <c r="E72" s="13"/>
      <c r="F72" s="13"/>
      <c r="G72" s="13"/>
      <c r="H72" s="13"/>
      <c r="I72" s="13"/>
      <c r="J72" s="13">
        <v>390000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spans="1:50" s="5" customFormat="1" x14ac:dyDescent="0.2">
      <c r="A73" s="36" t="s">
        <v>61</v>
      </c>
      <c r="B73" s="12"/>
      <c r="C73" s="68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>
        <v>112000</v>
      </c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spans="1:50" s="5" customFormat="1" ht="2.25" customHeight="1" x14ac:dyDescent="0.2">
      <c r="A74" s="42"/>
      <c r="B74" s="12"/>
      <c r="C74" s="68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spans="1:50" s="5" customFormat="1" x14ac:dyDescent="0.2">
      <c r="A75" s="36" t="s">
        <v>72</v>
      </c>
      <c r="B75" s="27" t="s">
        <v>73</v>
      </c>
      <c r="C75" s="62">
        <v>3637079.2460000003</v>
      </c>
      <c r="D75" s="35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</row>
    <row r="76" spans="1:50" s="5" customFormat="1" ht="2.25" customHeight="1" x14ac:dyDescent="0.2">
      <c r="A76" s="42"/>
      <c r="B76" s="12"/>
      <c r="C76" s="61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spans="1:50" s="84" customFormat="1" x14ac:dyDescent="0.2">
      <c r="A77" s="81" t="s">
        <v>66</v>
      </c>
      <c r="B77" s="82"/>
      <c r="C77" s="63"/>
      <c r="D77" s="83"/>
      <c r="E77" s="83">
        <f>$C$5+E16-E25</f>
        <v>2290307.9800000004</v>
      </c>
      <c r="F77" s="83">
        <f t="shared" ref="F77:AX77" si="3">E77+F16-F25</f>
        <v>1800925.9807250004</v>
      </c>
      <c r="G77" s="83">
        <f t="shared" si="3"/>
        <v>1800925.9807250004</v>
      </c>
      <c r="H77" s="83">
        <f t="shared" si="3"/>
        <v>1800925.9807250004</v>
      </c>
      <c r="I77" s="83">
        <f t="shared" si="3"/>
        <v>7032860.1908050012</v>
      </c>
      <c r="J77" s="83">
        <f t="shared" si="3"/>
        <v>4042995.6804050012</v>
      </c>
      <c r="K77" s="83">
        <f t="shared" si="3"/>
        <v>3067356.5411300007</v>
      </c>
      <c r="L77" s="83">
        <f t="shared" si="3"/>
        <v>2740887.3411300005</v>
      </c>
      <c r="M77" s="83">
        <f t="shared" si="3"/>
        <v>1133272.8711300008</v>
      </c>
      <c r="N77" s="83">
        <f t="shared" si="3"/>
        <v>1133272.8711300008</v>
      </c>
      <c r="O77" s="83">
        <f t="shared" si="3"/>
        <v>1133272.8711300008</v>
      </c>
      <c r="P77" s="83">
        <f t="shared" si="3"/>
        <v>186482.4941300007</v>
      </c>
      <c r="Q77" s="83">
        <f t="shared" si="3"/>
        <v>-2282125.5828699991</v>
      </c>
      <c r="R77" s="83">
        <f t="shared" si="3"/>
        <v>-3607749.9598699994</v>
      </c>
      <c r="S77" s="83">
        <f t="shared" si="3"/>
        <v>-4289172.3368699998</v>
      </c>
      <c r="T77" s="83">
        <f t="shared" si="3"/>
        <v>-4401172.3368699998</v>
      </c>
      <c r="U77" s="83">
        <f t="shared" si="3"/>
        <v>2636327.6631300002</v>
      </c>
      <c r="V77" s="83">
        <f t="shared" si="3"/>
        <v>2636327.6631300002</v>
      </c>
      <c r="W77" s="83">
        <f t="shared" si="3"/>
        <v>1179140.9331300003</v>
      </c>
      <c r="X77" s="83">
        <f t="shared" si="3"/>
        <v>-854170.16686999984</v>
      </c>
      <c r="Y77" s="83">
        <f t="shared" si="3"/>
        <v>-1424571.2668699999</v>
      </c>
      <c r="Z77" s="83">
        <f t="shared" si="3"/>
        <v>-2383818.36687</v>
      </c>
      <c r="AA77" s="83">
        <f t="shared" si="3"/>
        <v>-2929767.36687</v>
      </c>
      <c r="AB77" s="83">
        <f t="shared" si="3"/>
        <v>-2929767.36687</v>
      </c>
      <c r="AC77" s="83">
        <f t="shared" si="3"/>
        <v>-3289767.36687</v>
      </c>
      <c r="AD77" s="83">
        <f t="shared" si="3"/>
        <v>-201556.36687000003</v>
      </c>
      <c r="AE77" s="83">
        <f t="shared" si="3"/>
        <v>-2072362.36687</v>
      </c>
      <c r="AF77" s="83">
        <f t="shared" si="3"/>
        <v>-2201168.36687</v>
      </c>
      <c r="AG77" s="83">
        <f t="shared" si="3"/>
        <v>3705825.63313</v>
      </c>
      <c r="AH77" s="83">
        <f t="shared" si="3"/>
        <v>2948813.63313</v>
      </c>
      <c r="AI77" s="83">
        <f t="shared" si="3"/>
        <v>2948813.63313</v>
      </c>
      <c r="AJ77" s="83">
        <f t="shared" si="3"/>
        <v>2948813.63313</v>
      </c>
      <c r="AK77" s="83">
        <f t="shared" si="3"/>
        <v>2592113.63313</v>
      </c>
      <c r="AL77" s="83">
        <f t="shared" si="3"/>
        <v>2235413.63313</v>
      </c>
      <c r="AM77" s="83">
        <f t="shared" si="3"/>
        <v>1878713.63313</v>
      </c>
      <c r="AN77" s="83">
        <f t="shared" si="3"/>
        <v>1522013.63313</v>
      </c>
      <c r="AO77" s="83">
        <f t="shared" si="3"/>
        <v>1165313.63313</v>
      </c>
      <c r="AP77" s="83">
        <f t="shared" si="3"/>
        <v>1165313.63313</v>
      </c>
      <c r="AQ77" s="83">
        <f t="shared" si="3"/>
        <v>1165313.63313</v>
      </c>
      <c r="AR77" s="83">
        <f t="shared" si="3"/>
        <v>808613.63312999997</v>
      </c>
      <c r="AS77" s="83">
        <f t="shared" si="3"/>
        <v>451913.63312999997</v>
      </c>
      <c r="AT77" s="83">
        <f t="shared" si="3"/>
        <v>95213.633129999973</v>
      </c>
      <c r="AU77" s="83">
        <f t="shared" si="3"/>
        <v>95213.633129999973</v>
      </c>
      <c r="AV77" s="83">
        <f t="shared" si="3"/>
        <v>-595786.36687000003</v>
      </c>
      <c r="AW77" s="83">
        <f t="shared" si="3"/>
        <v>-595786.36687000003</v>
      </c>
      <c r="AX77" s="83">
        <f t="shared" si="3"/>
        <v>-595786.36687000003</v>
      </c>
    </row>
    <row r="79" spans="1:50" s="5" customFormat="1" ht="2.25" customHeight="1" x14ac:dyDescent="0.2">
      <c r="A79" s="42"/>
      <c r="B79" s="12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spans="1:50" s="89" customFormat="1" ht="11.25" customHeight="1" x14ac:dyDescent="0.2">
      <c r="A80" s="85" t="s">
        <v>65</v>
      </c>
      <c r="B80" s="86"/>
      <c r="C80" s="87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</row>
    <row r="81" spans="1:50" s="5" customFormat="1" ht="22.5" x14ac:dyDescent="0.2">
      <c r="A81" s="36" t="s">
        <v>67</v>
      </c>
      <c r="B81" s="27" t="s">
        <v>68</v>
      </c>
      <c r="C81" s="68">
        <v>3221210.79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spans="1:50" s="5" customFormat="1" x14ac:dyDescent="0.2">
      <c r="A82" s="36" t="s">
        <v>69</v>
      </c>
      <c r="B82" s="27" t="s">
        <v>70</v>
      </c>
      <c r="C82" s="68">
        <v>9814338.4000000004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spans="1:50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spans="1:50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6" spans="1:50" x14ac:dyDescent="0.25">
      <c r="B86" s="14"/>
    </row>
  </sheetData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86"/>
  <sheetViews>
    <sheetView topLeftCell="A31" workbookViewId="0">
      <selection activeCell="C42" sqref="C42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8" width="11.7109375" style="3" bestFit="1" customWidth="1"/>
    <col min="9" max="33" width="10.85546875" style="3" bestFit="1" customWidth="1"/>
    <col min="34" max="34" width="11.7109375" style="3" bestFit="1" customWidth="1"/>
    <col min="35" max="51" width="10.85546875" style="3" bestFit="1" customWidth="1"/>
    <col min="52" max="16384" width="9" style="3"/>
  </cols>
  <sheetData>
    <row r="1" spans="1:51" ht="12" thickBot="1" x14ac:dyDescent="0.3"/>
    <row r="2" spans="1:51" s="1" customFormat="1" x14ac:dyDescent="0.2">
      <c r="A2" s="43" t="s">
        <v>50</v>
      </c>
      <c r="B2" s="15" t="s">
        <v>27</v>
      </c>
      <c r="C2" s="50">
        <v>3547697.88</v>
      </c>
    </row>
    <row r="3" spans="1:51" s="1" customFormat="1" ht="12" thickBot="1" x14ac:dyDescent="0.25">
      <c r="A3" s="44">
        <v>89.255600000000001</v>
      </c>
      <c r="B3" s="15" t="s">
        <v>28</v>
      </c>
      <c r="C3" s="50">
        <v>10778.95</v>
      </c>
    </row>
    <row r="4" spans="1:51" s="8" customFormat="1" ht="12" thickBot="1" x14ac:dyDescent="0.25">
      <c r="A4" s="45"/>
      <c r="B4" s="15" t="s">
        <v>25</v>
      </c>
      <c r="C4" s="51">
        <v>0</v>
      </c>
    </row>
    <row r="5" spans="1:51" s="6" customFormat="1" x14ac:dyDescent="0.2">
      <c r="A5" s="43" t="s">
        <v>51</v>
      </c>
      <c r="B5" s="49" t="s">
        <v>26</v>
      </c>
      <c r="C5" s="52">
        <f>SUM(C2:C4)</f>
        <v>3558476.83</v>
      </c>
    </row>
    <row r="6" spans="1:51" s="6" customFormat="1" ht="12" thickBot="1" x14ac:dyDescent="0.25">
      <c r="A6" s="44">
        <v>75.853200000000001</v>
      </c>
      <c r="B6" s="16"/>
      <c r="C6" s="53"/>
      <c r="D6" s="17"/>
    </row>
    <row r="7" spans="1:51" s="6" customFormat="1" ht="12" thickBot="1" x14ac:dyDescent="0.25">
      <c r="A7" s="105" t="s">
        <v>51</v>
      </c>
      <c r="B7" s="18" t="s">
        <v>110</v>
      </c>
      <c r="C7" s="54">
        <f>SUM(E16:AY16)</f>
        <v>27089874.21088</v>
      </c>
    </row>
    <row r="8" spans="1:51" x14ac:dyDescent="0.25">
      <c r="A8" s="43" t="s">
        <v>52</v>
      </c>
      <c r="B8" s="18" t="s">
        <v>84</v>
      </c>
      <c r="C8" s="54">
        <f>SUM(E24:AY25)</f>
        <v>30605873.821585715</v>
      </c>
    </row>
    <row r="9" spans="1:51" ht="12" thickBot="1" x14ac:dyDescent="0.3">
      <c r="A9" s="44">
        <v>11.090999999999999</v>
      </c>
      <c r="B9" s="19" t="s">
        <v>64</v>
      </c>
      <c r="C9" s="55">
        <f>C5+C7-C8-C11</f>
        <v>-9099348.9688257128</v>
      </c>
    </row>
    <row r="10" spans="1:51" x14ac:dyDescent="0.25">
      <c r="A10" s="99" t="s">
        <v>80</v>
      </c>
      <c r="B10" s="18" t="s">
        <v>23</v>
      </c>
      <c r="C10" s="56">
        <f>C16</f>
        <v>0</v>
      </c>
    </row>
    <row r="11" spans="1:51" x14ac:dyDescent="0.25">
      <c r="A11" s="101" t="s">
        <v>87</v>
      </c>
      <c r="B11" s="18" t="s">
        <v>24</v>
      </c>
      <c r="C11" s="54">
        <f>C25</f>
        <v>9141826.1881200001</v>
      </c>
    </row>
    <row r="12" spans="1:51" x14ac:dyDescent="0.25">
      <c r="A12" s="107" t="s">
        <v>88</v>
      </c>
    </row>
    <row r="13" spans="1:51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</row>
    <row r="14" spans="1:51" s="2" customFormat="1" x14ac:dyDescent="0.25">
      <c r="A14" s="64"/>
      <c r="B14" s="65"/>
      <c r="C14" s="58" t="s">
        <v>56</v>
      </c>
      <c r="D14" s="66"/>
      <c r="E14" s="66">
        <v>46127</v>
      </c>
      <c r="F14" s="66">
        <v>46128</v>
      </c>
      <c r="G14" s="66">
        <v>46129</v>
      </c>
      <c r="H14" s="66">
        <v>46130</v>
      </c>
      <c r="I14" s="66">
        <v>46131</v>
      </c>
      <c r="J14" s="66">
        <v>46132</v>
      </c>
      <c r="K14" s="66">
        <v>46133</v>
      </c>
      <c r="L14" s="66">
        <v>46134</v>
      </c>
      <c r="M14" s="66">
        <v>46135</v>
      </c>
      <c r="N14" s="66">
        <v>46136</v>
      </c>
      <c r="O14" s="66">
        <v>46137</v>
      </c>
      <c r="P14" s="66">
        <v>46138</v>
      </c>
      <c r="Q14" s="66">
        <v>46139</v>
      </c>
      <c r="R14" s="66">
        <v>46140</v>
      </c>
      <c r="S14" s="66">
        <v>46141</v>
      </c>
      <c r="T14" s="66">
        <v>46142</v>
      </c>
      <c r="U14" s="66">
        <v>46143</v>
      </c>
      <c r="V14" s="66">
        <v>46144</v>
      </c>
      <c r="W14" s="66">
        <v>46145</v>
      </c>
      <c r="X14" s="66">
        <v>46146</v>
      </c>
      <c r="Y14" s="66">
        <v>46147</v>
      </c>
      <c r="Z14" s="66">
        <v>46148</v>
      </c>
      <c r="AA14" s="66">
        <v>46149</v>
      </c>
      <c r="AB14" s="66">
        <v>46150</v>
      </c>
      <c r="AC14" s="66">
        <v>46151</v>
      </c>
      <c r="AD14" s="66">
        <v>46152</v>
      </c>
      <c r="AE14" s="66">
        <v>46153</v>
      </c>
      <c r="AF14" s="66">
        <v>46154</v>
      </c>
      <c r="AG14" s="66">
        <v>46155</v>
      </c>
      <c r="AH14" s="66">
        <v>46156</v>
      </c>
      <c r="AI14" s="66">
        <v>46157</v>
      </c>
      <c r="AJ14" s="66">
        <v>46158</v>
      </c>
      <c r="AK14" s="66">
        <v>46159</v>
      </c>
      <c r="AL14" s="66">
        <v>46160</v>
      </c>
      <c r="AM14" s="66">
        <v>46161</v>
      </c>
      <c r="AN14" s="66">
        <v>46162</v>
      </c>
      <c r="AO14" s="66">
        <v>46163</v>
      </c>
      <c r="AP14" s="66">
        <v>46164</v>
      </c>
      <c r="AQ14" s="66">
        <v>46165</v>
      </c>
      <c r="AR14" s="66">
        <v>46166</v>
      </c>
      <c r="AS14" s="66">
        <v>46167</v>
      </c>
      <c r="AT14" s="66">
        <v>46168</v>
      </c>
      <c r="AU14" s="66">
        <v>46169</v>
      </c>
      <c r="AV14" s="66">
        <v>46170</v>
      </c>
      <c r="AW14" s="66">
        <v>46171</v>
      </c>
      <c r="AX14" s="66">
        <v>46172</v>
      </c>
      <c r="AY14" s="66">
        <v>46173</v>
      </c>
    </row>
    <row r="15" spans="1:51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</row>
    <row r="16" spans="1:51" s="2" customFormat="1" x14ac:dyDescent="0.25">
      <c r="A16" s="39" t="s">
        <v>0</v>
      </c>
      <c r="B16" s="20"/>
      <c r="C16" s="29">
        <f>SUM(C18:C23)</f>
        <v>0</v>
      </c>
      <c r="D16" s="29"/>
      <c r="E16" s="29">
        <f t="shared" ref="E16:AC16" si="0">SUM(E17:E24)</f>
        <v>0</v>
      </c>
      <c r="F16" s="29">
        <f t="shared" si="0"/>
        <v>500000</v>
      </c>
      <c r="G16" s="29">
        <f t="shared" si="0"/>
        <v>500000</v>
      </c>
      <c r="H16" s="135">
        <f t="shared" si="0"/>
        <v>0</v>
      </c>
      <c r="I16" s="135">
        <f t="shared" si="0"/>
        <v>0</v>
      </c>
      <c r="J16" s="29">
        <f t="shared" si="0"/>
        <v>8045928.2108800001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135">
        <f t="shared" si="0"/>
        <v>0</v>
      </c>
      <c r="P16" s="135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135">
        <f t="shared" si="0"/>
        <v>0</v>
      </c>
      <c r="V16" s="135">
        <f t="shared" si="0"/>
        <v>7037500</v>
      </c>
      <c r="W16" s="135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135">
        <f t="shared" si="0"/>
        <v>0</v>
      </c>
      <c r="AD16" s="135">
        <f>SUM(AD17:AD24)</f>
        <v>0</v>
      </c>
      <c r="AE16" s="29">
        <f t="shared" ref="AE16:AY16" si="1">SUM(AE17:AE24)</f>
        <v>3123946</v>
      </c>
      <c r="AF16" s="29">
        <f t="shared" si="1"/>
        <v>0</v>
      </c>
      <c r="AG16" s="29">
        <f t="shared" si="1"/>
        <v>0</v>
      </c>
      <c r="AH16" s="29">
        <f t="shared" si="1"/>
        <v>7882500</v>
      </c>
      <c r="AI16" s="29">
        <f t="shared" si="1"/>
        <v>0</v>
      </c>
      <c r="AJ16" s="135">
        <f t="shared" si="1"/>
        <v>0</v>
      </c>
      <c r="AK16" s="135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135">
        <f t="shared" si="1"/>
        <v>0</v>
      </c>
      <c r="AR16" s="135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29">
        <f t="shared" si="1"/>
        <v>0</v>
      </c>
      <c r="AX16" s="135">
        <f t="shared" si="1"/>
        <v>0</v>
      </c>
      <c r="AY16" s="135">
        <f t="shared" si="1"/>
        <v>0</v>
      </c>
    </row>
    <row r="17" spans="1:51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</row>
    <row r="18" spans="1:51" s="80" customFormat="1" x14ac:dyDescent="0.25">
      <c r="A18" s="40" t="s">
        <v>9</v>
      </c>
      <c r="B18" s="21"/>
      <c r="C18" s="59"/>
      <c r="D18" s="30"/>
      <c r="F18" s="30">
        <v>500000</v>
      </c>
      <c r="G18" s="30">
        <v>500000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</row>
    <row r="19" spans="1:51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</row>
    <row r="20" spans="1:51" s="80" customFormat="1" ht="13.5" customHeigh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>
        <v>7037500</v>
      </c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>
        <v>7882500</v>
      </c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</row>
    <row r="21" spans="1:51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</row>
    <row r="22" spans="1:51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J22" s="33">
        <f>90144.8*A3</f>
        <v>8045928.2108800001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</row>
    <row r="23" spans="1:51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>
        <f>35000*A3</f>
        <v>3123946</v>
      </c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</row>
    <row r="24" spans="1:51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</row>
    <row r="25" spans="1:51" s="4" customFormat="1" x14ac:dyDescent="0.2">
      <c r="A25" s="41" t="s">
        <v>1</v>
      </c>
      <c r="B25" s="22"/>
      <c r="C25" s="34">
        <f>SUM(C27:C75)</f>
        <v>9141826.1881200001</v>
      </c>
      <c r="D25" s="34"/>
      <c r="E25" s="34">
        <f t="shared" ref="E25:AY25" si="2">SUM(E26:E76)</f>
        <v>637224.39999999991</v>
      </c>
      <c r="F25" s="34">
        <f t="shared" si="2"/>
        <v>671896.61693571426</v>
      </c>
      <c r="G25" s="34">
        <f t="shared" si="2"/>
        <v>3175116.30265</v>
      </c>
      <c r="H25" s="34">
        <f t="shared" si="2"/>
        <v>0</v>
      </c>
      <c r="I25" s="34">
        <f t="shared" si="2"/>
        <v>0</v>
      </c>
      <c r="J25" s="34">
        <f t="shared" si="2"/>
        <v>2560006.4900000002</v>
      </c>
      <c r="K25" s="34">
        <f t="shared" si="2"/>
        <v>996711.08199999994</v>
      </c>
      <c r="L25" s="34">
        <f t="shared" si="2"/>
        <v>1264816.6600000001</v>
      </c>
      <c r="M25" s="34">
        <f t="shared" si="2"/>
        <v>451825.8</v>
      </c>
      <c r="N25" s="34">
        <f t="shared" si="2"/>
        <v>2271699.86</v>
      </c>
      <c r="O25" s="34">
        <f t="shared" si="2"/>
        <v>321857.11</v>
      </c>
      <c r="P25" s="34">
        <f t="shared" si="2"/>
        <v>0</v>
      </c>
      <c r="Q25" s="34">
        <f t="shared" si="2"/>
        <v>1545668.6</v>
      </c>
      <c r="R25" s="34">
        <f t="shared" si="2"/>
        <v>2325000</v>
      </c>
      <c r="S25" s="34">
        <f t="shared" si="2"/>
        <v>861400</v>
      </c>
      <c r="T25" s="34">
        <f t="shared" si="2"/>
        <v>914160</v>
      </c>
      <c r="U25" s="34">
        <f t="shared" si="2"/>
        <v>112000</v>
      </c>
      <c r="V25" s="34">
        <f t="shared" si="2"/>
        <v>0</v>
      </c>
      <c r="W25" s="34">
        <f t="shared" si="2"/>
        <v>0</v>
      </c>
      <c r="X25" s="34">
        <f t="shared" si="2"/>
        <v>6235062.9000000004</v>
      </c>
      <c r="Y25" s="34">
        <f t="shared" si="2"/>
        <v>1905224</v>
      </c>
      <c r="Z25" s="34">
        <f t="shared" si="2"/>
        <v>847314</v>
      </c>
      <c r="AA25" s="34">
        <f t="shared" si="2"/>
        <v>181160</v>
      </c>
      <c r="AB25" s="34">
        <f t="shared" si="2"/>
        <v>0</v>
      </c>
      <c r="AC25" s="34">
        <f t="shared" si="2"/>
        <v>0</v>
      </c>
      <c r="AD25" s="34">
        <f t="shared" si="2"/>
        <v>360000</v>
      </c>
      <c r="AE25" s="34">
        <f t="shared" si="2"/>
        <v>515224</v>
      </c>
      <c r="AF25" s="34">
        <f t="shared" si="2"/>
        <v>0</v>
      </c>
      <c r="AG25" s="34">
        <f t="shared" si="2"/>
        <v>0</v>
      </c>
      <c r="AH25" s="34">
        <f t="shared" si="2"/>
        <v>1490000</v>
      </c>
      <c r="AI25" s="34">
        <f t="shared" si="2"/>
        <v>271506</v>
      </c>
      <c r="AJ25" s="34">
        <f t="shared" si="2"/>
        <v>0</v>
      </c>
      <c r="AK25" s="34">
        <f t="shared" si="2"/>
        <v>0</v>
      </c>
      <c r="AL25" s="34">
        <f t="shared" si="2"/>
        <v>0</v>
      </c>
      <c r="AM25" s="34">
        <f t="shared" si="2"/>
        <v>0</v>
      </c>
      <c r="AN25" s="34">
        <f t="shared" si="2"/>
        <v>0</v>
      </c>
      <c r="AO25" s="34">
        <f t="shared" si="2"/>
        <v>0</v>
      </c>
      <c r="AP25" s="34">
        <f t="shared" si="2"/>
        <v>0</v>
      </c>
      <c r="AQ25" s="34">
        <f t="shared" si="2"/>
        <v>0</v>
      </c>
      <c r="AR25" s="34">
        <f t="shared" si="2"/>
        <v>0</v>
      </c>
      <c r="AS25" s="34">
        <f t="shared" si="2"/>
        <v>0</v>
      </c>
      <c r="AT25" s="34">
        <f t="shared" si="2"/>
        <v>0</v>
      </c>
      <c r="AU25" s="34">
        <f t="shared" si="2"/>
        <v>0</v>
      </c>
      <c r="AV25" s="34">
        <f t="shared" si="2"/>
        <v>0</v>
      </c>
      <c r="AW25" s="34">
        <f t="shared" si="2"/>
        <v>691000</v>
      </c>
      <c r="AX25" s="34">
        <f t="shared" si="2"/>
        <v>0</v>
      </c>
      <c r="AY25" s="34">
        <f t="shared" si="2"/>
        <v>0</v>
      </c>
    </row>
    <row r="26" spans="1:51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</row>
    <row r="27" spans="1:51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</row>
    <row r="28" spans="1:51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</row>
    <row r="29" spans="1:51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</row>
    <row r="30" spans="1:51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90">
        <v>2000000</v>
      </c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</row>
    <row r="31" spans="1:51" s="1" customFormat="1" x14ac:dyDescent="0.2">
      <c r="A31" s="36" t="s">
        <v>7</v>
      </c>
      <c r="B31" s="23" t="s">
        <v>8</v>
      </c>
      <c r="C31" s="60"/>
      <c r="D31" s="24"/>
      <c r="E31" s="24"/>
      <c r="F31" s="24"/>
      <c r="G31" s="24">
        <v>850000</v>
      </c>
      <c r="H31" s="24"/>
      <c r="J31" s="24">
        <v>560000</v>
      </c>
      <c r="K31" s="24"/>
      <c r="L31" s="24"/>
      <c r="M31" s="24"/>
      <c r="N31" s="24"/>
      <c r="O31" s="24">
        <f>643714.22/2</f>
        <v>321857.11</v>
      </c>
      <c r="P31" s="24"/>
      <c r="Q31" s="24"/>
      <c r="R31" s="24"/>
      <c r="S31" s="24"/>
      <c r="T31" s="24"/>
      <c r="U31" s="24"/>
      <c r="V31" s="24"/>
      <c r="W31" s="24"/>
      <c r="X31" s="24">
        <v>560000</v>
      </c>
      <c r="Y31" s="24"/>
      <c r="Z31" s="24"/>
      <c r="AA31" s="24"/>
      <c r="AB31" s="24"/>
      <c r="AC31" s="24"/>
      <c r="AD31" s="24">
        <v>360000</v>
      </c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</row>
    <row r="32" spans="1:51" s="1" customFormat="1" x14ac:dyDescent="0.2">
      <c r="A32" s="36" t="s">
        <v>118</v>
      </c>
      <c r="B32" s="23"/>
      <c r="C32" s="60"/>
      <c r="D32" s="24"/>
      <c r="E32" s="24">
        <v>271506.98</v>
      </c>
      <c r="F32" s="24"/>
      <c r="G32" s="24"/>
      <c r="H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>
        <v>271506</v>
      </c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</row>
    <row r="33" spans="1:51" s="1" customFormat="1" x14ac:dyDescent="0.2">
      <c r="A33" s="36" t="s">
        <v>54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</row>
    <row r="34" spans="1:51" s="1" customFormat="1" x14ac:dyDescent="0.2">
      <c r="A34" s="36" t="s">
        <v>71</v>
      </c>
      <c r="B34" s="23"/>
      <c r="C34" s="6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>
        <v>200113.9</v>
      </c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</row>
    <row r="35" spans="1:51" s="1" customFormat="1" x14ac:dyDescent="0.2">
      <c r="A35" s="36" t="s">
        <v>53</v>
      </c>
      <c r="B35" s="23"/>
      <c r="C35" s="60"/>
      <c r="D35" s="24"/>
      <c r="F35" s="24">
        <v>145949.5</v>
      </c>
      <c r="G35" s="111"/>
      <c r="H35" s="24"/>
      <c r="I35" s="24"/>
      <c r="J35" s="24">
        <v>80000</v>
      </c>
      <c r="K35" s="24">
        <v>80000</v>
      </c>
      <c r="L35" s="24">
        <v>50000</v>
      </c>
      <c r="M35" s="24"/>
      <c r="N35" s="24"/>
      <c r="O35" s="24"/>
      <c r="P35" s="24"/>
      <c r="Q35" s="24"/>
      <c r="R35" s="24"/>
      <c r="S35" s="24"/>
      <c r="T35" s="24"/>
      <c r="V35" s="24"/>
      <c r="W35" s="24"/>
      <c r="X35" s="24">
        <v>545949</v>
      </c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</row>
    <row r="36" spans="1:51" s="1" customFormat="1" ht="11.25" customHeight="1" x14ac:dyDescent="0.2">
      <c r="A36" s="47"/>
      <c r="B36" s="48"/>
      <c r="C36" s="67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s="71" customFormat="1" x14ac:dyDescent="0.2">
      <c r="A37" s="69" t="s">
        <v>14</v>
      </c>
      <c r="B37" s="25" t="s">
        <v>30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V37" s="24"/>
      <c r="W37" s="24"/>
      <c r="X37" s="24"/>
      <c r="Y37" s="24"/>
      <c r="Z37" s="24">
        <v>730000</v>
      </c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</row>
    <row r="38" spans="1:51" s="71" customFormat="1" x14ac:dyDescent="0.2">
      <c r="A38" s="69" t="s">
        <v>115</v>
      </c>
      <c r="B38" s="25" t="s">
        <v>116</v>
      </c>
      <c r="C38" s="70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100">
        <v>156160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</row>
    <row r="39" spans="1:51" s="71" customFormat="1" x14ac:dyDescent="0.2">
      <c r="A39" s="69" t="s">
        <v>117</v>
      </c>
      <c r="B39" s="25"/>
      <c r="C39" s="70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8"/>
      <c r="AB39" s="24"/>
      <c r="AC39" s="24"/>
      <c r="AD39" s="24"/>
      <c r="AE39" s="24"/>
      <c r="AF39" s="24"/>
      <c r="AG39" s="24"/>
      <c r="AH39" s="24"/>
      <c r="AI39" s="28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100">
        <v>691000</v>
      </c>
      <c r="AX39" s="24"/>
      <c r="AY39" s="24"/>
    </row>
    <row r="40" spans="1:51" s="71" customFormat="1" x14ac:dyDescent="0.2">
      <c r="A40" s="69" t="s">
        <v>97</v>
      </c>
      <c r="B40" s="25" t="s">
        <v>98</v>
      </c>
      <c r="C40" s="70"/>
      <c r="D40" s="24"/>
      <c r="E40" s="24"/>
      <c r="F40" s="24"/>
      <c r="G40" s="24"/>
      <c r="H40" s="131"/>
      <c r="I40" s="24"/>
      <c r="J40" s="24"/>
      <c r="K40" s="24"/>
      <c r="L40" s="100">
        <v>311400</v>
      </c>
      <c r="M40" s="24"/>
      <c r="N40" s="24"/>
      <c r="O40" s="24"/>
      <c r="P40" s="24"/>
      <c r="Q40" s="24"/>
      <c r="R40" s="24"/>
      <c r="S40" s="100">
        <v>311400</v>
      </c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</row>
    <row r="41" spans="1:51" s="71" customFormat="1" x14ac:dyDescent="0.2">
      <c r="A41" s="69" t="s">
        <v>17</v>
      </c>
      <c r="B41" s="25" t="s">
        <v>41</v>
      </c>
      <c r="C41" s="70">
        <f>1375000-500000</f>
        <v>875000</v>
      </c>
      <c r="D41" s="24"/>
      <c r="E41" s="28"/>
      <c r="F41" s="28"/>
      <c r="H41" s="24"/>
      <c r="I41" s="24"/>
      <c r="J41" s="24"/>
      <c r="K41" s="24"/>
      <c r="M41" s="24"/>
      <c r="O41" s="24"/>
      <c r="P41" s="24"/>
      <c r="Q41" s="95">
        <v>175000</v>
      </c>
      <c r="R41" s="95">
        <v>175000</v>
      </c>
      <c r="S41" s="95">
        <v>175000</v>
      </c>
      <c r="T41" s="95">
        <v>175000</v>
      </c>
      <c r="V41" s="24"/>
      <c r="W41" s="24"/>
      <c r="X41" s="95">
        <v>175000</v>
      </c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</row>
    <row r="42" spans="1:51" s="71" customFormat="1" x14ac:dyDescent="0.2">
      <c r="A42" s="69" t="s">
        <v>15</v>
      </c>
      <c r="B42" s="25" t="s">
        <v>31</v>
      </c>
      <c r="C42" s="70">
        <v>1289912</v>
      </c>
      <c r="D42" s="24"/>
      <c r="E42" s="100">
        <v>50000</v>
      </c>
      <c r="F42" s="28"/>
      <c r="G42" s="108">
        <v>115224</v>
      </c>
      <c r="H42" s="24"/>
      <c r="I42" s="24"/>
      <c r="J42" s="108">
        <v>75000</v>
      </c>
      <c r="K42" s="108">
        <v>125000</v>
      </c>
      <c r="L42" s="108">
        <v>100000</v>
      </c>
      <c r="M42" s="108">
        <v>100000</v>
      </c>
      <c r="N42" s="108">
        <v>100000</v>
      </c>
      <c r="O42" s="24"/>
      <c r="P42" s="24"/>
      <c r="Q42" s="108">
        <v>104464</v>
      </c>
      <c r="R42" s="108">
        <v>150000</v>
      </c>
      <c r="S42" s="108">
        <v>100000</v>
      </c>
      <c r="T42" s="108">
        <v>100000</v>
      </c>
      <c r="U42" s="28"/>
      <c r="V42" s="28"/>
      <c r="W42" s="24"/>
      <c r="Y42" s="108">
        <v>90224</v>
      </c>
      <c r="Z42" s="108">
        <v>115224</v>
      </c>
      <c r="AA42" s="108">
        <v>25000</v>
      </c>
      <c r="AB42" s="24"/>
      <c r="AC42" s="24"/>
      <c r="AD42" s="24"/>
      <c r="AE42" s="98">
        <v>515224</v>
      </c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</row>
    <row r="43" spans="1:51" s="71" customFormat="1" x14ac:dyDescent="0.2">
      <c r="A43" s="69" t="s">
        <v>18</v>
      </c>
      <c r="B43" s="25" t="s">
        <v>32</v>
      </c>
      <c r="C43" s="70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</row>
    <row r="44" spans="1:51" s="73" customFormat="1" x14ac:dyDescent="0.2">
      <c r="A44" s="69" t="s">
        <v>21</v>
      </c>
      <c r="B44" s="25" t="s">
        <v>45</v>
      </c>
      <c r="C44" s="70">
        <f>55000*A9</f>
        <v>610005</v>
      </c>
      <c r="D44" s="72"/>
      <c r="E44" s="100">
        <f>5000*A9</f>
        <v>55455</v>
      </c>
      <c r="F44" s="129">
        <f>1305799/7</f>
        <v>186542.71428571429</v>
      </c>
      <c r="G44" s="129">
        <f>383259.15-14779.18</f>
        <v>368479.97000000003</v>
      </c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</row>
    <row r="45" spans="1:51" s="71" customFormat="1" x14ac:dyDescent="0.2">
      <c r="A45" s="69" t="s">
        <v>19</v>
      </c>
      <c r="B45" s="25" t="s">
        <v>46</v>
      </c>
      <c r="C45" s="70">
        <f>8750*A6</f>
        <v>663715.5</v>
      </c>
      <c r="D45" s="24"/>
      <c r="E45" s="100">
        <f>1400*$A$3</f>
        <v>124957.84</v>
      </c>
      <c r="F45" s="129">
        <f>1000*$A$3</f>
        <v>89255.6</v>
      </c>
      <c r="G45" s="129">
        <f>600*$A$3</f>
        <v>53553.36</v>
      </c>
      <c r="H45" s="24"/>
      <c r="I45" s="24"/>
      <c r="J45" s="129">
        <f>750*$A$3</f>
        <v>66941.7</v>
      </c>
      <c r="K45" s="129">
        <f>2000*$A$3</f>
        <v>178511.2</v>
      </c>
      <c r="L45" s="129">
        <f>500*$A$3</f>
        <v>44627.8</v>
      </c>
      <c r="M45" s="129">
        <f>2000*$A$3</f>
        <v>178511.2</v>
      </c>
      <c r="N45" s="129">
        <f>500*$A$3</f>
        <v>44627.8</v>
      </c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</row>
    <row r="46" spans="1:51" s="71" customFormat="1" x14ac:dyDescent="0.2">
      <c r="A46" s="69" t="s">
        <v>16</v>
      </c>
      <c r="B46" s="25" t="s">
        <v>32</v>
      </c>
      <c r="C46" s="70">
        <f>722080-56200</f>
        <v>665880</v>
      </c>
      <c r="D46" s="24"/>
      <c r="E46" s="24"/>
      <c r="F46" s="108">
        <f>66588+33294</f>
        <v>99882</v>
      </c>
      <c r="G46" s="108">
        <f>66588+33294</f>
        <v>99882</v>
      </c>
      <c r="H46" s="28"/>
      <c r="I46" s="28"/>
      <c r="J46" s="108">
        <f>66588+33294</f>
        <v>99882</v>
      </c>
      <c r="K46" s="108">
        <f>66588+33294+99882</f>
        <v>199764</v>
      </c>
      <c r="L46" s="108">
        <f>66588+33294</f>
        <v>99882</v>
      </c>
      <c r="M46" s="108">
        <f>66588+33294+35506</f>
        <v>135388</v>
      </c>
      <c r="N46" s="100">
        <v>332940</v>
      </c>
      <c r="O46" s="24"/>
      <c r="P46" s="24"/>
      <c r="Q46" s="24"/>
      <c r="S46" s="24"/>
      <c r="T46" s="95">
        <v>499410</v>
      </c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</row>
    <row r="47" spans="1:51" s="71" customFormat="1" x14ac:dyDescent="0.2">
      <c r="A47" s="69" t="s">
        <v>85</v>
      </c>
      <c r="B47" s="25" t="s">
        <v>47</v>
      </c>
      <c r="C47" s="70"/>
      <c r="D47" s="24"/>
      <c r="E47" s="24"/>
      <c r="F47" s="28"/>
      <c r="G47" s="24"/>
      <c r="H47" s="24"/>
      <c r="I47" s="24"/>
      <c r="J47" s="24"/>
      <c r="K47" s="100">
        <f>2580*A6</f>
        <v>195701.25599999999</v>
      </c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</row>
    <row r="48" spans="1:51" s="73" customFormat="1" x14ac:dyDescent="0.2">
      <c r="A48" s="69" t="s">
        <v>22</v>
      </c>
      <c r="B48" s="25" t="s">
        <v>48</v>
      </c>
      <c r="C48" s="75">
        <f>15906*A9</f>
        <v>176413.446</v>
      </c>
      <c r="D48" s="72"/>
      <c r="E48" s="24"/>
      <c r="F48" s="24"/>
      <c r="G48" s="24"/>
      <c r="H48" s="72"/>
      <c r="I48" s="72"/>
      <c r="J48" s="108">
        <f>5000*$A$9</f>
        <v>55455</v>
      </c>
      <c r="K48" s="108">
        <f>5906*$A$9</f>
        <v>65503.445999999996</v>
      </c>
      <c r="L48" s="108">
        <f>5000*$A$9</f>
        <v>55455</v>
      </c>
      <c r="M48" s="24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</row>
    <row r="49" spans="1:51" s="73" customFormat="1" x14ac:dyDescent="0.2">
      <c r="A49" s="69" t="s">
        <v>108</v>
      </c>
      <c r="B49" s="25" t="s">
        <v>109</v>
      </c>
      <c r="C49" s="120"/>
      <c r="D49" s="72"/>
      <c r="E49" s="24"/>
      <c r="F49" s="24"/>
      <c r="G49" s="24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</row>
    <row r="50" spans="1:51" s="71" customFormat="1" x14ac:dyDescent="0.2">
      <c r="A50" s="69" t="s">
        <v>36</v>
      </c>
      <c r="B50" s="25" t="s">
        <v>37</v>
      </c>
      <c r="C50" s="130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</row>
    <row r="51" spans="1:51" s="71" customFormat="1" x14ac:dyDescent="0.2">
      <c r="A51" s="69" t="s">
        <v>86</v>
      </c>
      <c r="B51" s="25" t="s">
        <v>35</v>
      </c>
      <c r="C51" s="70">
        <f>3250*$A$6</f>
        <v>246522.9</v>
      </c>
      <c r="D51" s="77"/>
      <c r="E51" s="100">
        <f t="shared" ref="E51:K51" si="3">$C$51/5</f>
        <v>49304.58</v>
      </c>
      <c r="F51" s="95">
        <f t="shared" si="3"/>
        <v>49304.58</v>
      </c>
      <c r="G51" s="24"/>
      <c r="I51" s="24"/>
      <c r="J51" s="95">
        <f>$C$51/5</f>
        <v>49304.58</v>
      </c>
      <c r="K51" s="95">
        <f t="shared" si="3"/>
        <v>49304.58</v>
      </c>
      <c r="L51" s="108">
        <f>$C$51/5+2400*A6</f>
        <v>231352.26</v>
      </c>
      <c r="M51" s="24"/>
      <c r="N51" s="100">
        <f>4050*A6</f>
        <v>307205.46000000002</v>
      </c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</row>
    <row r="52" spans="1:51" s="71" customFormat="1" x14ac:dyDescent="0.2">
      <c r="A52" s="69" t="s">
        <v>111</v>
      </c>
      <c r="B52" s="25" t="s">
        <v>112</v>
      </c>
      <c r="C52" s="70"/>
      <c r="D52" s="77"/>
      <c r="E52" s="100">
        <v>25000</v>
      </c>
      <c r="F52" s="24"/>
      <c r="G52" s="100">
        <v>25000</v>
      </c>
      <c r="H52" s="24"/>
      <c r="I52" s="24"/>
      <c r="J52" s="24"/>
      <c r="K52" s="100">
        <v>25000</v>
      </c>
      <c r="L52" s="100">
        <v>27173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</row>
    <row r="53" spans="1:51" s="71" customFormat="1" x14ac:dyDescent="0.2">
      <c r="A53" s="69" t="s">
        <v>29</v>
      </c>
      <c r="B53" s="25" t="s">
        <v>42</v>
      </c>
      <c r="C53" s="70">
        <v>20000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</row>
    <row r="54" spans="1:51" s="71" customFormat="1" x14ac:dyDescent="0.2">
      <c r="A54" s="69" t="s">
        <v>29</v>
      </c>
      <c r="B54" s="25" t="s">
        <v>43</v>
      </c>
      <c r="C54" s="70">
        <v>439750</v>
      </c>
      <c r="D54" s="24"/>
      <c r="E54" s="28"/>
      <c r="F54" s="28"/>
      <c r="G54" s="24"/>
      <c r="H54" s="24"/>
      <c r="I54" s="24"/>
      <c r="J54" s="24"/>
      <c r="K54" s="24"/>
      <c r="L54" s="24"/>
      <c r="M54" s="24"/>
      <c r="O54" s="24"/>
      <c r="P54" s="24"/>
      <c r="Q54" s="95">
        <v>100000</v>
      </c>
      <c r="R54" s="24"/>
      <c r="S54" s="95">
        <v>100000</v>
      </c>
      <c r="T54" s="95">
        <v>139750</v>
      </c>
      <c r="V54" s="24"/>
      <c r="W54" s="24"/>
      <c r="X54" s="95">
        <v>100000</v>
      </c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</row>
    <row r="55" spans="1:51" s="71" customFormat="1" x14ac:dyDescent="0.2">
      <c r="A55" s="69" t="s">
        <v>104</v>
      </c>
      <c r="B55" s="25" t="s">
        <v>105</v>
      </c>
      <c r="C55" s="70"/>
      <c r="D55" s="77"/>
      <c r="E55" s="28"/>
      <c r="F55" s="28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</row>
    <row r="56" spans="1:51" s="71" customFormat="1" x14ac:dyDescent="0.2">
      <c r="A56" s="69" t="s">
        <v>99</v>
      </c>
      <c r="B56" s="25" t="s">
        <v>100</v>
      </c>
      <c r="C56" s="70"/>
      <c r="D56" s="77"/>
      <c r="E56" s="28"/>
      <c r="F56" s="100">
        <f>(581.75/2)*$A$3</f>
        <v>25962.22265</v>
      </c>
      <c r="G56" s="100">
        <f>(581.75*$A$3)/2</f>
        <v>25962.22265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</row>
    <row r="57" spans="1:51" s="71" customFormat="1" x14ac:dyDescent="0.2">
      <c r="A57" s="69" t="s">
        <v>29</v>
      </c>
      <c r="B57" s="25" t="s">
        <v>55</v>
      </c>
      <c r="C57" s="70">
        <f>3530*A6-41253.4</f>
        <v>226508.39600000004</v>
      </c>
      <c r="D57" s="24"/>
      <c r="E57" s="28"/>
      <c r="G57" s="24"/>
      <c r="H57" s="24"/>
      <c r="I57" s="24"/>
      <c r="J57" s="95">
        <f>500*$A$6</f>
        <v>37926.6</v>
      </c>
      <c r="K57" s="95">
        <f>500*$A$6</f>
        <v>37926.6</v>
      </c>
      <c r="L57" s="95">
        <f>500*$A$6</f>
        <v>37926.6</v>
      </c>
      <c r="M57" s="95">
        <f>500*$A$6</f>
        <v>37926.6</v>
      </c>
      <c r="N57" s="95">
        <f>500*$A$6</f>
        <v>37926.6</v>
      </c>
      <c r="O57" s="24"/>
      <c r="P57" s="24"/>
      <c r="Q57" s="95">
        <f>500*$A$6</f>
        <v>37926.6</v>
      </c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</row>
    <row r="58" spans="1:51" s="71" customFormat="1" x14ac:dyDescent="0.2">
      <c r="A58" s="69" t="s">
        <v>40</v>
      </c>
      <c r="B58" s="25" t="s">
        <v>44</v>
      </c>
      <c r="C58" s="70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100">
        <v>1878</v>
      </c>
      <c r="R58" s="24"/>
      <c r="S58" s="24"/>
      <c r="T58" s="24"/>
      <c r="U58" s="24"/>
      <c r="V58" s="24"/>
      <c r="W58" s="24"/>
      <c r="X58" s="24"/>
      <c r="Y58" s="24"/>
      <c r="Z58" s="100">
        <v>2090</v>
      </c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</row>
    <row r="59" spans="1:51" s="71" customFormat="1" x14ac:dyDescent="0.2">
      <c r="A59" s="69" t="s">
        <v>90</v>
      </c>
      <c r="B59" s="25" t="s">
        <v>91</v>
      </c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100">
        <v>1012000</v>
      </c>
      <c r="R59" s="24"/>
      <c r="S59" s="24"/>
      <c r="T59" s="24"/>
      <c r="U59" s="24"/>
      <c r="W59" s="24"/>
      <c r="X59" s="100">
        <v>1012000</v>
      </c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</row>
    <row r="60" spans="1:51" s="71" customFormat="1" x14ac:dyDescent="0.2">
      <c r="A60" s="69" t="s">
        <v>106</v>
      </c>
      <c r="B60" s="25" t="s">
        <v>107</v>
      </c>
      <c r="C60" s="70"/>
      <c r="D60" s="77"/>
      <c r="E60" s="100">
        <v>20000</v>
      </c>
      <c r="F60" s="24"/>
      <c r="G60" s="100">
        <v>20000</v>
      </c>
      <c r="H60" s="24"/>
      <c r="I60" s="24"/>
      <c r="J60" s="24"/>
      <c r="K60" s="100">
        <v>10000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</row>
    <row r="61" spans="1:51" s="71" customFormat="1" x14ac:dyDescent="0.2">
      <c r="A61" s="69" t="s">
        <v>102</v>
      </c>
      <c r="B61" s="25" t="s">
        <v>103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</row>
    <row r="62" spans="1:51" s="71" customFormat="1" x14ac:dyDescent="0.2">
      <c r="A62" s="132" t="s">
        <v>113</v>
      </c>
      <c r="B62" s="133" t="s">
        <v>114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</row>
    <row r="63" spans="1:51" s="71" customFormat="1" x14ac:dyDescent="0.2">
      <c r="A63" s="69" t="s">
        <v>34</v>
      </c>
      <c r="B63" s="25" t="s">
        <v>45</v>
      </c>
      <c r="C63" s="70"/>
      <c r="D63" s="77"/>
      <c r="E63" s="136">
        <v>25000</v>
      </c>
      <c r="F63" s="106">
        <v>75000</v>
      </c>
      <c r="H63" s="24"/>
      <c r="I63" s="24"/>
      <c r="J63" s="106">
        <v>100000</v>
      </c>
      <c r="L63" s="106">
        <v>100000</v>
      </c>
      <c r="N63" s="106">
        <v>75000</v>
      </c>
      <c r="O63" s="24"/>
      <c r="P63" s="24"/>
      <c r="Q63" s="108">
        <v>114400</v>
      </c>
      <c r="R63" s="24"/>
      <c r="S63" s="106">
        <v>175000</v>
      </c>
      <c r="T63" s="24"/>
      <c r="V63" s="24"/>
      <c r="W63" s="24"/>
      <c r="X63" s="106">
        <v>75000</v>
      </c>
      <c r="Y63" s="108">
        <v>325000</v>
      </c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</row>
    <row r="64" spans="1:51" s="71" customFormat="1" x14ac:dyDescent="0.2">
      <c r="A64" s="69" t="s">
        <v>101</v>
      </c>
      <c r="B64" s="25"/>
      <c r="C64" s="70"/>
      <c r="D64" s="77"/>
      <c r="E64" s="24"/>
      <c r="F64" s="24"/>
      <c r="G64" s="24"/>
      <c r="H64" s="24"/>
      <c r="I64" s="24"/>
      <c r="J64" s="24"/>
      <c r="K64" s="24"/>
      <c r="L64" s="100">
        <v>180000</v>
      </c>
      <c r="M64" s="24"/>
      <c r="N64" s="100">
        <v>50000</v>
      </c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</row>
    <row r="65" spans="1:51" s="71" customFormat="1" x14ac:dyDescent="0.2">
      <c r="A65" s="69" t="s">
        <v>38</v>
      </c>
      <c r="B65" s="25" t="s">
        <v>39</v>
      </c>
      <c r="C65" s="70">
        <f>107400-65000</f>
        <v>42400</v>
      </c>
      <c r="D65" s="24"/>
      <c r="E65" s="100">
        <v>16000</v>
      </c>
      <c r="F65" s="24"/>
      <c r="G65" s="108">
        <v>26400</v>
      </c>
      <c r="H65" s="24"/>
      <c r="I65" s="24"/>
      <c r="J65" s="108">
        <v>31500</v>
      </c>
      <c r="K65" s="108">
        <v>30000</v>
      </c>
      <c r="L65" s="108">
        <v>27000</v>
      </c>
      <c r="N65" s="108">
        <v>24000</v>
      </c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</row>
    <row r="66" spans="1:51" s="71" customFormat="1" x14ac:dyDescent="0.2">
      <c r="A66" s="69" t="s">
        <v>74</v>
      </c>
      <c r="B66" s="25" t="s">
        <v>83</v>
      </c>
      <c r="C66" s="70"/>
      <c r="D66" s="24"/>
      <c r="E66" s="24"/>
      <c r="F66" s="24"/>
      <c r="G66" s="24"/>
      <c r="H66" s="24"/>
      <c r="J66" s="98">
        <f>104492.6-69560</f>
        <v>34932.600000000006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100">
        <v>3567000</v>
      </c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</row>
    <row r="67" spans="1:51" s="73" customFormat="1" ht="2.25" customHeigh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 t="s">
        <v>89</v>
      </c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</row>
    <row r="68" spans="1:51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</row>
    <row r="69" spans="1:51" s="94" customFormat="1" ht="33.75" x14ac:dyDescent="0.2">
      <c r="A69" s="91" t="s">
        <v>60</v>
      </c>
      <c r="B69" s="92" t="s">
        <v>59</v>
      </c>
      <c r="C69" s="93">
        <v>0</v>
      </c>
      <c r="D69" s="93"/>
      <c r="E69" s="93"/>
      <c r="F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</row>
    <row r="70" spans="1:51" s="5" customFormat="1" ht="2.25" customHeigh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</row>
    <row r="71" spans="1:51" s="5" customFormat="1" x14ac:dyDescent="0.2">
      <c r="A71" s="36" t="s">
        <v>49</v>
      </c>
      <c r="B71" s="12"/>
      <c r="C71" s="13"/>
      <c r="D71" s="26"/>
      <c r="E71" s="13"/>
      <c r="F71" s="13"/>
      <c r="G71" s="13"/>
      <c r="H71" s="13"/>
      <c r="J71" s="126">
        <v>1369064.01</v>
      </c>
      <c r="K71" s="13"/>
      <c r="L71" s="13"/>
      <c r="M71" s="13"/>
      <c r="N71" s="13">
        <v>1300000</v>
      </c>
      <c r="O71" s="13"/>
      <c r="P71" s="13"/>
      <c r="Q71" s="13"/>
      <c r="R71" s="13"/>
      <c r="S71" s="13"/>
      <c r="T71" s="13"/>
      <c r="U71" s="13"/>
      <c r="W71" s="13"/>
      <c r="X71" s="13"/>
      <c r="Y71" s="13">
        <v>1490000</v>
      </c>
      <c r="Z71" s="13"/>
      <c r="AA71" s="13"/>
      <c r="AB71" s="13"/>
      <c r="AC71" s="13"/>
      <c r="AD71" s="13"/>
      <c r="AE71" s="13"/>
      <c r="AF71" s="13"/>
      <c r="AG71" s="13"/>
      <c r="AH71" s="13">
        <v>1490000</v>
      </c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</row>
    <row r="72" spans="1:51" s="5" customFormat="1" x14ac:dyDescent="0.2">
      <c r="A72" s="36" t="s">
        <v>57</v>
      </c>
      <c r="B72" s="12"/>
      <c r="C72" s="68"/>
      <c r="D72" s="26"/>
      <c r="E72" s="13"/>
      <c r="F72" s="13"/>
      <c r="G72" s="13">
        <v>1200614.75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</row>
    <row r="73" spans="1:51" s="5" customFormat="1" x14ac:dyDescent="0.2">
      <c r="A73" s="36" t="s">
        <v>61</v>
      </c>
      <c r="B73" s="12"/>
      <c r="C73" s="68"/>
      <c r="D73" s="26"/>
      <c r="E73" s="13"/>
      <c r="F73" s="13"/>
      <c r="G73" s="13">
        <v>390000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>
        <v>112000</v>
      </c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</row>
    <row r="74" spans="1:51" s="5" customFormat="1" ht="2.25" customHeight="1" x14ac:dyDescent="0.2">
      <c r="A74" s="42"/>
      <c r="B74" s="12"/>
      <c r="C74" s="68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</row>
    <row r="75" spans="1:51" s="5" customFormat="1" x14ac:dyDescent="0.2">
      <c r="A75" s="36" t="s">
        <v>72</v>
      </c>
      <c r="B75" s="27" t="s">
        <v>73</v>
      </c>
      <c r="C75" s="62">
        <v>3637079.2460000003</v>
      </c>
      <c r="D75" s="35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</row>
    <row r="76" spans="1:51" s="5" customFormat="1" ht="2.25" customHeight="1" x14ac:dyDescent="0.2">
      <c r="A76" s="42"/>
      <c r="B76" s="12"/>
      <c r="C76" s="61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</row>
    <row r="77" spans="1:51" s="84" customFormat="1" x14ac:dyDescent="0.2">
      <c r="A77" s="81" t="s">
        <v>66</v>
      </c>
      <c r="B77" s="82"/>
      <c r="C77" s="63"/>
      <c r="D77" s="83"/>
      <c r="E77" s="83">
        <f>$C$5+E16-E25</f>
        <v>2921252.43</v>
      </c>
      <c r="F77" s="83">
        <f t="shared" ref="F77:AY77" si="4">E77+F16-F25</f>
        <v>2749355.813064286</v>
      </c>
      <c r="G77" s="83">
        <f t="shared" si="4"/>
        <v>74239.510414286051</v>
      </c>
      <c r="H77" s="83">
        <f t="shared" si="4"/>
        <v>74239.510414286051</v>
      </c>
      <c r="I77" s="83">
        <f t="shared" si="4"/>
        <v>74239.510414286051</v>
      </c>
      <c r="J77" s="83">
        <f t="shared" si="4"/>
        <v>5560161.2312942855</v>
      </c>
      <c r="K77" s="83">
        <f t="shared" si="4"/>
        <v>4563450.1492942851</v>
      </c>
      <c r="L77" s="83">
        <f t="shared" si="4"/>
        <v>3298633.489294285</v>
      </c>
      <c r="M77" s="83">
        <f t="shared" si="4"/>
        <v>2846807.6892942851</v>
      </c>
      <c r="N77" s="83">
        <f t="shared" si="4"/>
        <v>575107.82929428527</v>
      </c>
      <c r="O77" s="83">
        <f t="shared" si="4"/>
        <v>253250.71929428529</v>
      </c>
      <c r="P77" s="83">
        <f t="shared" si="4"/>
        <v>253250.71929428529</v>
      </c>
      <c r="Q77" s="83">
        <f t="shared" si="4"/>
        <v>-1292417.8807057147</v>
      </c>
      <c r="R77" s="83">
        <f t="shared" si="4"/>
        <v>-3617417.8807057147</v>
      </c>
      <c r="S77" s="83">
        <f t="shared" si="4"/>
        <v>-4478817.8807057142</v>
      </c>
      <c r="T77" s="83">
        <f t="shared" si="4"/>
        <v>-5392977.8807057142</v>
      </c>
      <c r="U77" s="83">
        <f t="shared" si="4"/>
        <v>-5504977.8807057142</v>
      </c>
      <c r="V77" s="83">
        <f t="shared" si="4"/>
        <v>1532522.1192942858</v>
      </c>
      <c r="W77" s="83">
        <f t="shared" si="4"/>
        <v>1532522.1192942858</v>
      </c>
      <c r="X77" s="83">
        <f t="shared" si="4"/>
        <v>-4702540.7807057146</v>
      </c>
      <c r="Y77" s="83">
        <f t="shared" si="4"/>
        <v>-6607764.7807057146</v>
      </c>
      <c r="Z77" s="83">
        <f t="shared" si="4"/>
        <v>-7455078.7807057146</v>
      </c>
      <c r="AA77" s="83">
        <f t="shared" si="4"/>
        <v>-7636238.7807057146</v>
      </c>
      <c r="AB77" s="83">
        <f t="shared" si="4"/>
        <v>-7636238.7807057146</v>
      </c>
      <c r="AC77" s="83">
        <f t="shared" si="4"/>
        <v>-7636238.7807057146</v>
      </c>
      <c r="AD77" s="83">
        <f t="shared" si="4"/>
        <v>-7996238.7807057146</v>
      </c>
      <c r="AE77" s="83">
        <f t="shared" si="4"/>
        <v>-5387516.7807057146</v>
      </c>
      <c r="AF77" s="83">
        <f t="shared" si="4"/>
        <v>-5387516.7807057146</v>
      </c>
      <c r="AG77" s="83">
        <f t="shared" si="4"/>
        <v>-5387516.7807057146</v>
      </c>
      <c r="AH77" s="83">
        <f t="shared" si="4"/>
        <v>1004983.2192942854</v>
      </c>
      <c r="AI77" s="83">
        <f t="shared" si="4"/>
        <v>733477.2192942854</v>
      </c>
      <c r="AJ77" s="83">
        <f t="shared" si="4"/>
        <v>733477.2192942854</v>
      </c>
      <c r="AK77" s="83">
        <f t="shared" si="4"/>
        <v>733477.2192942854</v>
      </c>
      <c r="AL77" s="83">
        <f t="shared" si="4"/>
        <v>733477.2192942854</v>
      </c>
      <c r="AM77" s="83">
        <f t="shared" si="4"/>
        <v>733477.2192942854</v>
      </c>
      <c r="AN77" s="83">
        <f t="shared" si="4"/>
        <v>733477.2192942854</v>
      </c>
      <c r="AO77" s="83">
        <f t="shared" si="4"/>
        <v>733477.2192942854</v>
      </c>
      <c r="AP77" s="83">
        <f t="shared" si="4"/>
        <v>733477.2192942854</v>
      </c>
      <c r="AQ77" s="83">
        <f t="shared" si="4"/>
        <v>733477.2192942854</v>
      </c>
      <c r="AR77" s="83">
        <f t="shared" si="4"/>
        <v>733477.2192942854</v>
      </c>
      <c r="AS77" s="83">
        <f t="shared" si="4"/>
        <v>733477.2192942854</v>
      </c>
      <c r="AT77" s="83">
        <f t="shared" si="4"/>
        <v>733477.2192942854</v>
      </c>
      <c r="AU77" s="83">
        <f t="shared" si="4"/>
        <v>733477.2192942854</v>
      </c>
      <c r="AV77" s="83">
        <f t="shared" si="4"/>
        <v>733477.2192942854</v>
      </c>
      <c r="AW77" s="83">
        <f t="shared" si="4"/>
        <v>42477.219294285402</v>
      </c>
      <c r="AX77" s="83">
        <f t="shared" si="4"/>
        <v>42477.219294285402</v>
      </c>
      <c r="AY77" s="83">
        <f t="shared" si="4"/>
        <v>42477.219294285402</v>
      </c>
    </row>
    <row r="79" spans="1:51" s="5" customFormat="1" ht="2.25" customHeight="1" x14ac:dyDescent="0.2">
      <c r="A79" s="42"/>
      <c r="B79" s="12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</row>
    <row r="80" spans="1:51" s="89" customFormat="1" ht="11.25" customHeight="1" x14ac:dyDescent="0.2">
      <c r="A80" s="85" t="s">
        <v>65</v>
      </c>
      <c r="B80" s="86"/>
      <c r="C80" s="87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</row>
    <row r="81" spans="1:51" s="5" customFormat="1" ht="22.5" x14ac:dyDescent="0.2">
      <c r="A81" s="36" t="s">
        <v>67</v>
      </c>
      <c r="B81" s="27" t="s">
        <v>68</v>
      </c>
      <c r="C81" s="68">
        <v>3221210.79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</row>
    <row r="82" spans="1:51" s="5" customFormat="1" x14ac:dyDescent="0.2">
      <c r="A82" s="36" t="s">
        <v>69</v>
      </c>
      <c r="B82" s="27" t="s">
        <v>70</v>
      </c>
      <c r="C82" s="68">
        <v>9814338.4000000004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</row>
    <row r="83" spans="1:51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</row>
    <row r="84" spans="1:51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</row>
    <row r="86" spans="1:51" x14ac:dyDescent="0.25">
      <c r="B86" s="14"/>
    </row>
  </sheetData>
  <pageMargins left="0.7" right="0.7" top="0.75" bottom="0.75" header="0.3" footer="0.3"/>
  <pageSetup paperSize="9" orientation="portrait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85"/>
  <sheetViews>
    <sheetView topLeftCell="A52" workbookViewId="0">
      <selection activeCell="E76" sqref="E76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9" width="11.7109375" style="3" bestFit="1" customWidth="1"/>
    <col min="10" max="34" width="10.85546875" style="3" bestFit="1" customWidth="1"/>
    <col min="35" max="35" width="11.7109375" style="3" bestFit="1" customWidth="1"/>
    <col min="36" max="52" width="10.85546875" style="3" bestFit="1" customWidth="1"/>
    <col min="53" max="16384" width="9" style="3"/>
  </cols>
  <sheetData>
    <row r="1" spans="1:52" ht="12" thickBot="1" x14ac:dyDescent="0.3"/>
    <row r="2" spans="1:52" s="1" customFormat="1" x14ac:dyDescent="0.2">
      <c r="A2" s="43" t="s">
        <v>50</v>
      </c>
      <c r="B2" s="15" t="s">
        <v>27</v>
      </c>
      <c r="C2" s="50">
        <v>4187873.42</v>
      </c>
      <c r="E2" s="8"/>
    </row>
    <row r="3" spans="1:52" s="1" customFormat="1" ht="12" thickBot="1" x14ac:dyDescent="0.25">
      <c r="A3" s="44">
        <v>89.137299999999996</v>
      </c>
      <c r="B3" s="15" t="s">
        <v>28</v>
      </c>
      <c r="C3" s="50">
        <v>10778.95</v>
      </c>
      <c r="E3" s="9"/>
    </row>
    <row r="4" spans="1:52" s="8" customFormat="1" ht="12" thickBot="1" x14ac:dyDescent="0.25">
      <c r="A4" s="45"/>
      <c r="B4" s="15" t="s">
        <v>25</v>
      </c>
      <c r="C4" s="51">
        <v>0</v>
      </c>
    </row>
    <row r="5" spans="1:52" s="6" customFormat="1" x14ac:dyDescent="0.2">
      <c r="A5" s="43" t="s">
        <v>51</v>
      </c>
      <c r="B5" s="49" t="s">
        <v>26</v>
      </c>
      <c r="C5" s="52">
        <f>SUM(C2:C4)</f>
        <v>4198652.37</v>
      </c>
    </row>
    <row r="6" spans="1:52" s="6" customFormat="1" ht="12" thickBot="1" x14ac:dyDescent="0.25">
      <c r="A6" s="44">
        <v>76.248900000000006</v>
      </c>
      <c r="B6" s="16"/>
      <c r="C6" s="53"/>
      <c r="D6" s="17"/>
    </row>
    <row r="7" spans="1:52" s="6" customFormat="1" ht="12" thickBot="1" x14ac:dyDescent="0.25">
      <c r="A7" s="105" t="s">
        <v>51</v>
      </c>
      <c r="B7" s="18" t="s">
        <v>110</v>
      </c>
      <c r="C7" s="54">
        <f>SUM(E16:AZ16)</f>
        <v>27075069.581039999</v>
      </c>
    </row>
    <row r="8" spans="1:52" x14ac:dyDescent="0.25">
      <c r="A8" s="43" t="s">
        <v>52</v>
      </c>
      <c r="B8" s="18" t="s">
        <v>84</v>
      </c>
      <c r="C8" s="54">
        <f>SUM(E24:AZ25)</f>
        <v>30708142.437352426</v>
      </c>
    </row>
    <row r="9" spans="1:52" ht="12" thickBot="1" x14ac:dyDescent="0.3">
      <c r="A9" s="44">
        <v>11.133800000000001</v>
      </c>
      <c r="B9" s="19" t="s">
        <v>64</v>
      </c>
      <c r="C9" s="55">
        <f>C5+C7-C8-C11</f>
        <v>-9164075.7089384273</v>
      </c>
    </row>
    <row r="10" spans="1:52" x14ac:dyDescent="0.25">
      <c r="A10" s="99" t="s">
        <v>80</v>
      </c>
      <c r="B10" s="18" t="s">
        <v>23</v>
      </c>
      <c r="C10" s="56">
        <f>C16</f>
        <v>0</v>
      </c>
    </row>
    <row r="11" spans="1:52" x14ac:dyDescent="0.25">
      <c r="A11" s="101" t="s">
        <v>87</v>
      </c>
      <c r="B11" s="18" t="s">
        <v>24</v>
      </c>
      <c r="C11" s="54">
        <f>C25</f>
        <v>9729655.2226260006</v>
      </c>
    </row>
    <row r="12" spans="1:52" x14ac:dyDescent="0.25">
      <c r="A12" s="107" t="s">
        <v>88</v>
      </c>
    </row>
    <row r="13" spans="1:52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</row>
    <row r="14" spans="1:52" s="2" customFormat="1" x14ac:dyDescent="0.25">
      <c r="A14" s="64"/>
      <c r="B14" s="65"/>
      <c r="C14" s="58" t="s">
        <v>56</v>
      </c>
      <c r="D14" s="66"/>
      <c r="E14" s="66">
        <v>46126</v>
      </c>
      <c r="F14" s="66">
        <v>46127</v>
      </c>
      <c r="G14" s="66">
        <v>46128</v>
      </c>
      <c r="H14" s="66">
        <v>46129</v>
      </c>
      <c r="I14" s="66">
        <v>46130</v>
      </c>
      <c r="J14" s="66">
        <v>46131</v>
      </c>
      <c r="K14" s="66">
        <v>46132</v>
      </c>
      <c r="L14" s="66">
        <v>46133</v>
      </c>
      <c r="M14" s="66">
        <v>46134</v>
      </c>
      <c r="N14" s="66">
        <v>46135</v>
      </c>
      <c r="O14" s="66">
        <v>46136</v>
      </c>
      <c r="P14" s="66">
        <v>46137</v>
      </c>
      <c r="Q14" s="66">
        <v>46138</v>
      </c>
      <c r="R14" s="66">
        <v>46139</v>
      </c>
      <c r="S14" s="66">
        <v>46140</v>
      </c>
      <c r="T14" s="66">
        <v>46141</v>
      </c>
      <c r="U14" s="66">
        <v>46142</v>
      </c>
      <c r="V14" s="66">
        <v>46143</v>
      </c>
      <c r="W14" s="66">
        <v>46144</v>
      </c>
      <c r="X14" s="66">
        <v>46145</v>
      </c>
      <c r="Y14" s="66">
        <v>46146</v>
      </c>
      <c r="Z14" s="66">
        <v>46147</v>
      </c>
      <c r="AA14" s="66">
        <v>46148</v>
      </c>
      <c r="AB14" s="66">
        <v>46149</v>
      </c>
      <c r="AC14" s="66">
        <v>46150</v>
      </c>
      <c r="AD14" s="66">
        <v>46151</v>
      </c>
      <c r="AE14" s="66">
        <v>46152</v>
      </c>
      <c r="AF14" s="66">
        <v>46153</v>
      </c>
      <c r="AG14" s="66">
        <v>46154</v>
      </c>
      <c r="AH14" s="66">
        <v>46155</v>
      </c>
      <c r="AI14" s="66">
        <v>46156</v>
      </c>
      <c r="AJ14" s="66">
        <v>46157</v>
      </c>
      <c r="AK14" s="66">
        <v>46158</v>
      </c>
      <c r="AL14" s="66">
        <v>46159</v>
      </c>
      <c r="AM14" s="66">
        <v>46160</v>
      </c>
      <c r="AN14" s="66">
        <v>46161</v>
      </c>
      <c r="AO14" s="66">
        <v>46162</v>
      </c>
      <c r="AP14" s="66">
        <v>46163</v>
      </c>
      <c r="AQ14" s="66">
        <v>46164</v>
      </c>
      <c r="AR14" s="66">
        <v>46165</v>
      </c>
      <c r="AS14" s="66">
        <v>46166</v>
      </c>
      <c r="AT14" s="66">
        <v>46167</v>
      </c>
      <c r="AU14" s="66">
        <v>46168</v>
      </c>
      <c r="AV14" s="66">
        <v>46169</v>
      </c>
      <c r="AW14" s="66">
        <v>46170</v>
      </c>
      <c r="AX14" s="66">
        <v>46171</v>
      </c>
      <c r="AY14" s="66">
        <v>46172</v>
      </c>
      <c r="AZ14" s="66">
        <v>46173</v>
      </c>
    </row>
    <row r="15" spans="1:52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</row>
    <row r="16" spans="1:52" s="2" customFormat="1" x14ac:dyDescent="0.25">
      <c r="A16" s="39" t="s">
        <v>0</v>
      </c>
      <c r="B16" s="20"/>
      <c r="C16" s="29">
        <f>SUM(C18:C23)</f>
        <v>0</v>
      </c>
      <c r="D16" s="29"/>
      <c r="E16" s="29">
        <f t="shared" ref="E16:AD16" si="0">SUM(E17:E24)</f>
        <v>0</v>
      </c>
      <c r="F16" s="29">
        <f t="shared" si="0"/>
        <v>0</v>
      </c>
      <c r="G16" s="29">
        <f t="shared" si="0"/>
        <v>500000</v>
      </c>
      <c r="H16" s="29">
        <f t="shared" si="0"/>
        <v>500000</v>
      </c>
      <c r="I16" s="135">
        <f t="shared" si="0"/>
        <v>0</v>
      </c>
      <c r="J16" s="135">
        <f t="shared" si="0"/>
        <v>0</v>
      </c>
      <c r="K16" s="29">
        <f t="shared" si="0"/>
        <v>8035264.0810399996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135">
        <f t="shared" si="0"/>
        <v>0</v>
      </c>
      <c r="Q16" s="135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135">
        <f t="shared" si="0"/>
        <v>0</v>
      </c>
      <c r="W16" s="135">
        <f t="shared" si="0"/>
        <v>7037500</v>
      </c>
      <c r="X16" s="135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135">
        <f t="shared" si="0"/>
        <v>0</v>
      </c>
      <c r="AE16" s="135">
        <f>SUM(AE17:AE24)</f>
        <v>0</v>
      </c>
      <c r="AF16" s="29">
        <f t="shared" ref="AF16:AZ16" si="1">SUM(AF17:AF24)</f>
        <v>3119805.5</v>
      </c>
      <c r="AG16" s="29">
        <f t="shared" si="1"/>
        <v>0</v>
      </c>
      <c r="AH16" s="29">
        <f t="shared" si="1"/>
        <v>0</v>
      </c>
      <c r="AI16" s="29">
        <f t="shared" si="1"/>
        <v>7882500</v>
      </c>
      <c r="AJ16" s="29">
        <f t="shared" si="1"/>
        <v>0</v>
      </c>
      <c r="AK16" s="135">
        <f t="shared" si="1"/>
        <v>0</v>
      </c>
      <c r="AL16" s="135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29">
        <f t="shared" si="1"/>
        <v>0</v>
      </c>
      <c r="AR16" s="135">
        <f t="shared" si="1"/>
        <v>0</v>
      </c>
      <c r="AS16" s="135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29">
        <f t="shared" si="1"/>
        <v>0</v>
      </c>
      <c r="AX16" s="29">
        <f t="shared" si="1"/>
        <v>0</v>
      </c>
      <c r="AY16" s="135">
        <f t="shared" si="1"/>
        <v>0</v>
      </c>
      <c r="AZ16" s="135">
        <f t="shared" si="1"/>
        <v>0</v>
      </c>
    </row>
    <row r="17" spans="1:52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</row>
    <row r="18" spans="1:52" s="80" customFormat="1" x14ac:dyDescent="0.25">
      <c r="A18" s="40" t="s">
        <v>9</v>
      </c>
      <c r="B18" s="21"/>
      <c r="C18" s="59"/>
      <c r="D18" s="30"/>
      <c r="E18" s="30"/>
      <c r="G18" s="30">
        <v>500000</v>
      </c>
      <c r="H18" s="30">
        <v>500000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</row>
    <row r="19" spans="1:52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</row>
    <row r="20" spans="1:52" s="80" customFormat="1" ht="13.5" customHeigh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>
        <v>7037500</v>
      </c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>
        <v>7882500</v>
      </c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</row>
    <row r="21" spans="1:52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</row>
    <row r="22" spans="1:52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K22" s="33">
        <f>90144.8*A3</f>
        <v>8035264.0810399996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</row>
    <row r="23" spans="1:52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>
        <f>35000*A3</f>
        <v>3119805.5</v>
      </c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</row>
    <row r="24" spans="1:52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</row>
    <row r="25" spans="1:52" s="4" customFormat="1" x14ac:dyDescent="0.2">
      <c r="A25" s="41" t="s">
        <v>1</v>
      </c>
      <c r="B25" s="22"/>
      <c r="C25" s="34">
        <f>SUM(C27:C74)</f>
        <v>9729655.2226260006</v>
      </c>
      <c r="D25" s="34"/>
      <c r="E25" s="34">
        <f t="shared" ref="E25:AZ25" si="2">SUM(E26:E75)</f>
        <v>617542.85099171428</v>
      </c>
      <c r="F25" s="34">
        <f t="shared" si="2"/>
        <v>522372.505</v>
      </c>
      <c r="G25" s="34">
        <f t="shared" si="2"/>
        <v>526051.6114232142</v>
      </c>
      <c r="H25" s="34">
        <f t="shared" si="2"/>
        <v>3164610.9121375</v>
      </c>
      <c r="I25" s="34">
        <f t="shared" si="2"/>
        <v>0</v>
      </c>
      <c r="J25" s="34">
        <f t="shared" si="2"/>
        <v>0</v>
      </c>
      <c r="K25" s="34">
        <f t="shared" si="2"/>
        <v>2560586.8200000003</v>
      </c>
      <c r="L25" s="34">
        <f t="shared" si="2"/>
        <v>1020104.8378</v>
      </c>
      <c r="M25" s="34">
        <f t="shared" si="2"/>
        <v>1266376.2450000001</v>
      </c>
      <c r="N25" s="34">
        <f t="shared" si="2"/>
        <v>451787.05</v>
      </c>
      <c r="O25" s="34">
        <f t="shared" si="2"/>
        <v>2273441.145</v>
      </c>
      <c r="P25" s="34">
        <f t="shared" si="2"/>
        <v>321857.11</v>
      </c>
      <c r="Q25" s="34">
        <f t="shared" si="2"/>
        <v>0</v>
      </c>
      <c r="R25" s="34">
        <f t="shared" si="2"/>
        <v>1545866.45</v>
      </c>
      <c r="S25" s="34">
        <f t="shared" si="2"/>
        <v>2325000</v>
      </c>
      <c r="T25" s="34">
        <f t="shared" si="2"/>
        <v>861400</v>
      </c>
      <c r="U25" s="34">
        <f t="shared" si="2"/>
        <v>914160</v>
      </c>
      <c r="V25" s="34">
        <f t="shared" si="2"/>
        <v>112000</v>
      </c>
      <c r="W25" s="34">
        <f t="shared" si="2"/>
        <v>0</v>
      </c>
      <c r="X25" s="34">
        <f t="shared" si="2"/>
        <v>0</v>
      </c>
      <c r="Y25" s="34">
        <f t="shared" si="2"/>
        <v>6235062.9000000004</v>
      </c>
      <c r="Z25" s="34">
        <f t="shared" si="2"/>
        <v>1905224</v>
      </c>
      <c r="AA25" s="34">
        <f t="shared" si="2"/>
        <v>847314</v>
      </c>
      <c r="AB25" s="34">
        <f t="shared" si="2"/>
        <v>181160</v>
      </c>
      <c r="AC25" s="34">
        <f t="shared" si="2"/>
        <v>0</v>
      </c>
      <c r="AD25" s="34">
        <f t="shared" si="2"/>
        <v>0</v>
      </c>
      <c r="AE25" s="34">
        <f t="shared" si="2"/>
        <v>360000</v>
      </c>
      <c r="AF25" s="34">
        <f t="shared" si="2"/>
        <v>515224</v>
      </c>
      <c r="AG25" s="34">
        <f t="shared" si="2"/>
        <v>0</v>
      </c>
      <c r="AH25" s="34">
        <f t="shared" si="2"/>
        <v>0</v>
      </c>
      <c r="AI25" s="34">
        <f t="shared" si="2"/>
        <v>1490000</v>
      </c>
      <c r="AJ25" s="34">
        <f t="shared" si="2"/>
        <v>691000</v>
      </c>
      <c r="AK25" s="34">
        <f t="shared" si="2"/>
        <v>0</v>
      </c>
      <c r="AL25" s="34">
        <f t="shared" si="2"/>
        <v>0</v>
      </c>
      <c r="AM25" s="34">
        <f t="shared" si="2"/>
        <v>0</v>
      </c>
      <c r="AN25" s="34">
        <f t="shared" si="2"/>
        <v>0</v>
      </c>
      <c r="AO25" s="34">
        <f t="shared" si="2"/>
        <v>0</v>
      </c>
      <c r="AP25" s="34">
        <f t="shared" si="2"/>
        <v>0</v>
      </c>
      <c r="AQ25" s="34">
        <f t="shared" si="2"/>
        <v>0</v>
      </c>
      <c r="AR25" s="34">
        <f t="shared" si="2"/>
        <v>0</v>
      </c>
      <c r="AS25" s="34">
        <f t="shared" si="2"/>
        <v>0</v>
      </c>
      <c r="AT25" s="34">
        <f t="shared" si="2"/>
        <v>0</v>
      </c>
      <c r="AU25" s="34">
        <f t="shared" si="2"/>
        <v>0</v>
      </c>
      <c r="AV25" s="34">
        <f t="shared" si="2"/>
        <v>0</v>
      </c>
      <c r="AW25" s="34">
        <f t="shared" si="2"/>
        <v>0</v>
      </c>
      <c r="AX25" s="34">
        <f t="shared" si="2"/>
        <v>0</v>
      </c>
      <c r="AY25" s="34">
        <f t="shared" si="2"/>
        <v>0</v>
      </c>
      <c r="AZ25" s="34">
        <f t="shared" si="2"/>
        <v>0</v>
      </c>
    </row>
    <row r="26" spans="1:52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</row>
    <row r="27" spans="1:52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</row>
    <row r="28" spans="1:52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</row>
    <row r="29" spans="1:52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</row>
    <row r="30" spans="1:52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90">
        <v>2000000</v>
      </c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</row>
    <row r="31" spans="1:52" s="1" customFormat="1" x14ac:dyDescent="0.2">
      <c r="A31" s="36" t="s">
        <v>7</v>
      </c>
      <c r="B31" s="23" t="s">
        <v>8</v>
      </c>
      <c r="C31" s="60"/>
      <c r="D31" s="24"/>
      <c r="E31" s="24"/>
      <c r="G31" s="24"/>
      <c r="H31" s="24">
        <v>850000</v>
      </c>
      <c r="I31" s="24"/>
      <c r="K31" s="24">
        <v>560000</v>
      </c>
      <c r="L31" s="24"/>
      <c r="M31" s="24"/>
      <c r="N31" s="24"/>
      <c r="O31" s="24"/>
      <c r="P31" s="24">
        <f>643714.22/2</f>
        <v>321857.11</v>
      </c>
      <c r="Q31" s="24"/>
      <c r="R31" s="24"/>
      <c r="S31" s="24"/>
      <c r="T31" s="24"/>
      <c r="U31" s="24"/>
      <c r="V31" s="24"/>
      <c r="W31" s="24"/>
      <c r="X31" s="24"/>
      <c r="Y31" s="24">
        <v>560000</v>
      </c>
      <c r="Z31" s="24"/>
      <c r="AA31" s="24"/>
      <c r="AB31" s="24"/>
      <c r="AC31" s="24"/>
      <c r="AD31" s="24"/>
      <c r="AE31" s="24">
        <v>360000</v>
      </c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</row>
    <row r="32" spans="1:52" s="1" customFormat="1" x14ac:dyDescent="0.2">
      <c r="A32" s="36" t="s">
        <v>54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</row>
    <row r="33" spans="1:52" s="1" customFormat="1" x14ac:dyDescent="0.2">
      <c r="A33" s="36" t="s">
        <v>71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>
        <v>200113.9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</row>
    <row r="34" spans="1:52" s="1" customFormat="1" x14ac:dyDescent="0.2">
      <c r="A34" s="36" t="s">
        <v>53</v>
      </c>
      <c r="B34" s="23"/>
      <c r="C34" s="60"/>
      <c r="D34" s="24"/>
      <c r="E34" s="24">
        <v>100000</v>
      </c>
      <c r="F34" s="24">
        <v>145949.5</v>
      </c>
      <c r="G34" s="24"/>
      <c r="H34" s="111"/>
      <c r="I34" s="24"/>
      <c r="J34" s="24"/>
      <c r="K34" s="24">
        <v>80000</v>
      </c>
      <c r="L34" s="24">
        <v>80000</v>
      </c>
      <c r="M34" s="24">
        <v>50000</v>
      </c>
      <c r="N34" s="24"/>
      <c r="O34" s="24"/>
      <c r="P34" s="24"/>
      <c r="Q34" s="24"/>
      <c r="R34" s="24"/>
      <c r="S34" s="24"/>
      <c r="T34" s="24"/>
      <c r="U34" s="24"/>
      <c r="W34" s="24"/>
      <c r="X34" s="24"/>
      <c r="Y34" s="24">
        <v>545949</v>
      </c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</row>
    <row r="35" spans="1:52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</row>
    <row r="36" spans="1:52" s="71" customFormat="1" x14ac:dyDescent="0.2">
      <c r="A36" s="69" t="s">
        <v>14</v>
      </c>
      <c r="B36" s="25" t="s">
        <v>30</v>
      </c>
      <c r="C36" s="70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W36" s="24"/>
      <c r="X36" s="24"/>
      <c r="Y36" s="24"/>
      <c r="Z36" s="24"/>
      <c r="AA36" s="24">
        <v>730000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</row>
    <row r="37" spans="1:52" s="71" customFormat="1" x14ac:dyDescent="0.2">
      <c r="A37" s="69" t="s">
        <v>115</v>
      </c>
      <c r="B37" s="25" t="s">
        <v>116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100">
        <v>156160</v>
      </c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</row>
    <row r="38" spans="1:52" s="71" customFormat="1" x14ac:dyDescent="0.2">
      <c r="A38" s="69" t="s">
        <v>117</v>
      </c>
      <c r="B38" s="25"/>
      <c r="C38" s="70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100"/>
      <c r="AC38" s="24"/>
      <c r="AD38" s="24"/>
      <c r="AE38" s="24"/>
      <c r="AF38" s="24"/>
      <c r="AG38" s="24"/>
      <c r="AH38" s="24"/>
      <c r="AI38" s="24"/>
      <c r="AJ38" s="100">
        <v>691000</v>
      </c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</row>
    <row r="39" spans="1:52" s="71" customFormat="1" x14ac:dyDescent="0.2">
      <c r="A39" s="69" t="s">
        <v>97</v>
      </c>
      <c r="B39" s="25" t="s">
        <v>98</v>
      </c>
      <c r="C39" s="70"/>
      <c r="D39" s="24"/>
      <c r="E39" s="24"/>
      <c r="F39" s="24"/>
      <c r="G39" s="24"/>
      <c r="H39" s="24"/>
      <c r="I39" s="131"/>
      <c r="J39" s="24"/>
      <c r="K39" s="24"/>
      <c r="L39" s="24"/>
      <c r="M39" s="100">
        <v>311400</v>
      </c>
      <c r="N39" s="24"/>
      <c r="O39" s="24"/>
      <c r="P39" s="24"/>
      <c r="Q39" s="24"/>
      <c r="R39" s="24"/>
      <c r="S39" s="24"/>
      <c r="T39" s="100">
        <v>311400</v>
      </c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</row>
    <row r="40" spans="1:52" s="71" customFormat="1" x14ac:dyDescent="0.2">
      <c r="A40" s="69" t="s">
        <v>17</v>
      </c>
      <c r="B40" s="25" t="s">
        <v>41</v>
      </c>
      <c r="C40" s="70">
        <f>1375000-500000</f>
        <v>875000</v>
      </c>
      <c r="D40" s="24"/>
      <c r="E40" s="28"/>
      <c r="F40" s="28"/>
      <c r="G40" s="28"/>
      <c r="I40" s="24"/>
      <c r="J40" s="24"/>
      <c r="K40" s="24"/>
      <c r="L40" s="24"/>
      <c r="N40" s="24"/>
      <c r="P40" s="24"/>
      <c r="Q40" s="24"/>
      <c r="R40" s="95">
        <v>175000</v>
      </c>
      <c r="S40" s="95">
        <v>175000</v>
      </c>
      <c r="T40" s="95">
        <v>175000</v>
      </c>
      <c r="U40" s="95">
        <v>175000</v>
      </c>
      <c r="W40" s="24"/>
      <c r="X40" s="24"/>
      <c r="Y40" s="95">
        <v>175000</v>
      </c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</row>
    <row r="41" spans="1:52" s="71" customFormat="1" x14ac:dyDescent="0.2">
      <c r="A41" s="69" t="s">
        <v>15</v>
      </c>
      <c r="B41" s="25" t="s">
        <v>31</v>
      </c>
      <c r="C41" s="70">
        <v>1289912</v>
      </c>
      <c r="D41" s="24"/>
      <c r="E41" s="28"/>
      <c r="F41" s="108">
        <v>50000</v>
      </c>
      <c r="G41" s="28"/>
      <c r="H41" s="108">
        <v>115224</v>
      </c>
      <c r="I41" s="24"/>
      <c r="J41" s="24"/>
      <c r="K41" s="108">
        <v>75000</v>
      </c>
      <c r="L41" s="108">
        <v>125000</v>
      </c>
      <c r="M41" s="108">
        <v>100000</v>
      </c>
      <c r="N41" s="108">
        <v>100000</v>
      </c>
      <c r="O41" s="108">
        <v>100000</v>
      </c>
      <c r="P41" s="24"/>
      <c r="Q41" s="24"/>
      <c r="R41" s="108">
        <v>104464</v>
      </c>
      <c r="S41" s="108">
        <v>150000</v>
      </c>
      <c r="T41" s="108">
        <v>100000</v>
      </c>
      <c r="U41" s="108">
        <v>100000</v>
      </c>
      <c r="V41" s="28"/>
      <c r="W41" s="28"/>
      <c r="X41" s="24"/>
      <c r="Z41" s="108">
        <v>90224</v>
      </c>
      <c r="AA41" s="108">
        <v>115224</v>
      </c>
      <c r="AB41" s="108">
        <v>25000</v>
      </c>
      <c r="AC41" s="24"/>
      <c r="AD41" s="24"/>
      <c r="AE41" s="24"/>
      <c r="AF41" s="98">
        <v>515224</v>
      </c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</row>
    <row r="42" spans="1:52" s="71" customFormat="1" x14ac:dyDescent="0.2">
      <c r="A42" s="69" t="s">
        <v>18</v>
      </c>
      <c r="B42" s="25" t="s">
        <v>32</v>
      </c>
      <c r="C42" s="70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</row>
    <row r="43" spans="1:52" s="73" customFormat="1" x14ac:dyDescent="0.2">
      <c r="A43" s="69" t="s">
        <v>21</v>
      </c>
      <c r="B43" s="25" t="s">
        <v>45</v>
      </c>
      <c r="C43" s="70">
        <f>95000*A9-22000*A9</f>
        <v>812767.4</v>
      </c>
      <c r="D43" s="72"/>
      <c r="E43" s="129">
        <f>1305799/7+5533+10000</f>
        <v>202075.71428571429</v>
      </c>
      <c r="F43" s="129">
        <f>5000*A9</f>
        <v>55669.000000000007</v>
      </c>
      <c r="G43" s="129">
        <f>1305799/7</f>
        <v>186542.71428571429</v>
      </c>
      <c r="H43" s="129">
        <f>383259.15-14779.18</f>
        <v>368479.97000000003</v>
      </c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</row>
    <row r="44" spans="1:52" s="71" customFormat="1" x14ac:dyDescent="0.2">
      <c r="A44" s="69" t="s">
        <v>19</v>
      </c>
      <c r="B44" s="25" t="s">
        <v>46</v>
      </c>
      <c r="C44" s="70">
        <f>9750*A3-500*A3</f>
        <v>824520.02499999991</v>
      </c>
      <c r="D44" s="24"/>
      <c r="E44" s="129">
        <f>500*$A$3</f>
        <v>44568.65</v>
      </c>
      <c r="F44" s="129">
        <f>1400*$A$3</f>
        <v>124792.22</v>
      </c>
      <c r="G44" s="129">
        <f>1000*$A$3</f>
        <v>89137.3</v>
      </c>
      <c r="H44" s="129">
        <f>600*$A$3</f>
        <v>53482.38</v>
      </c>
      <c r="I44" s="24"/>
      <c r="J44" s="24"/>
      <c r="K44" s="129">
        <f>750*$A$3</f>
        <v>66852.974999999991</v>
      </c>
      <c r="L44" s="129">
        <f>2000*$A$3</f>
        <v>178274.6</v>
      </c>
      <c r="M44" s="129">
        <f>500*$A$3</f>
        <v>44568.65</v>
      </c>
      <c r="N44" s="129">
        <f>2000*$A$3</f>
        <v>178274.6</v>
      </c>
      <c r="O44" s="129">
        <f>500*$A$3</f>
        <v>44568.65</v>
      </c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</row>
    <row r="45" spans="1:52" s="71" customFormat="1" x14ac:dyDescent="0.2">
      <c r="A45" s="69" t="s">
        <v>16</v>
      </c>
      <c r="B45" s="25" t="s">
        <v>32</v>
      </c>
      <c r="C45" s="70">
        <v>722080</v>
      </c>
      <c r="D45" s="24"/>
      <c r="E45" s="108">
        <v>56200</v>
      </c>
      <c r="F45" s="24"/>
      <c r="G45" s="108">
        <f>66588+33294</f>
        <v>99882</v>
      </c>
      <c r="H45" s="108">
        <f>66588+33294</f>
        <v>99882</v>
      </c>
      <c r="I45" s="28"/>
      <c r="J45" s="28"/>
      <c r="K45" s="108">
        <f>66588+33294</f>
        <v>99882</v>
      </c>
      <c r="L45" s="108">
        <f>66588+33294+99882</f>
        <v>199764</v>
      </c>
      <c r="M45" s="108">
        <f>66588+33294</f>
        <v>99882</v>
      </c>
      <c r="N45" s="108">
        <f>66588+33294+35506</f>
        <v>135388</v>
      </c>
      <c r="O45" s="100">
        <v>332940</v>
      </c>
      <c r="P45" s="24"/>
      <c r="Q45" s="24"/>
      <c r="R45" s="24"/>
      <c r="T45" s="24"/>
      <c r="U45" s="95">
        <v>499410</v>
      </c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</row>
    <row r="46" spans="1:52" s="71" customFormat="1" x14ac:dyDescent="0.2">
      <c r="A46" s="69" t="s">
        <v>85</v>
      </c>
      <c r="B46" s="25" t="s">
        <v>47</v>
      </c>
      <c r="C46" s="70">
        <f>1700.04*A6-1000*A6</f>
        <v>53377.279955999998</v>
      </c>
      <c r="D46" s="24"/>
      <c r="E46" s="95">
        <f>700.04*A6</f>
        <v>53377.279955999998</v>
      </c>
      <c r="F46" s="24"/>
      <c r="G46" s="28"/>
      <c r="H46" s="24"/>
      <c r="I46" s="24"/>
      <c r="J46" s="24"/>
      <c r="K46" s="24"/>
      <c r="L46" s="100">
        <v>218623.78</v>
      </c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</row>
    <row r="47" spans="1:52" s="73" customFormat="1" x14ac:dyDescent="0.2">
      <c r="A47" s="69" t="s">
        <v>22</v>
      </c>
      <c r="B47" s="25" t="s">
        <v>48</v>
      </c>
      <c r="C47" s="75">
        <f>15906*A9</f>
        <v>177094.22280000002</v>
      </c>
      <c r="D47" s="72"/>
      <c r="E47" s="72"/>
      <c r="F47" s="24"/>
      <c r="G47" s="24"/>
      <c r="H47" s="24"/>
      <c r="I47" s="72"/>
      <c r="J47" s="72"/>
      <c r="K47" s="108">
        <f>5000*$A$9</f>
        <v>55669.000000000007</v>
      </c>
      <c r="L47" s="108">
        <f>5906*$A$9</f>
        <v>65756.222800000003</v>
      </c>
      <c r="M47" s="108">
        <f>5000*$A$9</f>
        <v>55669.000000000007</v>
      </c>
      <c r="N47" s="24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</row>
    <row r="48" spans="1:52" s="73" customFormat="1" x14ac:dyDescent="0.2">
      <c r="A48" s="69" t="s">
        <v>108</v>
      </c>
      <c r="B48" s="25" t="s">
        <v>109</v>
      </c>
      <c r="C48" s="120"/>
      <c r="D48" s="72"/>
      <c r="E48" s="24"/>
      <c r="F48" s="24"/>
      <c r="G48" s="24"/>
      <c r="H48" s="24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</row>
    <row r="49" spans="1:52" s="71" customFormat="1" x14ac:dyDescent="0.2">
      <c r="A49" s="69" t="s">
        <v>36</v>
      </c>
      <c r="B49" s="25" t="s">
        <v>37</v>
      </c>
      <c r="C49" s="130">
        <f>607.5*A6</f>
        <v>46321.206750000005</v>
      </c>
      <c r="D49" s="24"/>
      <c r="E49" s="128">
        <f>607.5*A6</f>
        <v>46321.206750000005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</row>
    <row r="50" spans="1:52" s="71" customFormat="1" x14ac:dyDescent="0.2">
      <c r="A50" s="69" t="s">
        <v>86</v>
      </c>
      <c r="B50" s="25" t="s">
        <v>35</v>
      </c>
      <c r="C50" s="70">
        <f>3250*$A$6</f>
        <v>247808.92500000002</v>
      </c>
      <c r="D50" s="77"/>
      <c r="E50" s="24"/>
      <c r="F50" s="95">
        <f t="shared" ref="F50:L50" si="3">$C$50/5</f>
        <v>49561.785000000003</v>
      </c>
      <c r="G50" s="95">
        <f t="shared" si="3"/>
        <v>49561.785000000003</v>
      </c>
      <c r="H50" s="24"/>
      <c r="J50" s="24"/>
      <c r="K50" s="95">
        <f>$C$50/5</f>
        <v>49561.785000000003</v>
      </c>
      <c r="L50" s="95">
        <f t="shared" si="3"/>
        <v>49561.785000000003</v>
      </c>
      <c r="M50" s="108">
        <f>$C$50/5+2400*A6</f>
        <v>232559.14500000002</v>
      </c>
      <c r="N50" s="24"/>
      <c r="O50" s="100">
        <f>4050*A6</f>
        <v>308808.04500000004</v>
      </c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</row>
    <row r="51" spans="1:52" s="71" customFormat="1" x14ac:dyDescent="0.2">
      <c r="A51" s="69" t="s">
        <v>111</v>
      </c>
      <c r="B51" s="25" t="s">
        <v>112</v>
      </c>
      <c r="C51" s="70"/>
      <c r="D51" s="77"/>
      <c r="E51" s="24"/>
      <c r="F51" s="100">
        <v>25000</v>
      </c>
      <c r="G51" s="24"/>
      <c r="H51" s="100">
        <v>25000</v>
      </c>
      <c r="I51" s="24"/>
      <c r="J51" s="24"/>
      <c r="K51" s="24"/>
      <c r="L51" s="100">
        <v>25000</v>
      </c>
      <c r="M51" s="100">
        <v>27173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</row>
    <row r="52" spans="1:52" s="71" customFormat="1" x14ac:dyDescent="0.2">
      <c r="A52" s="69" t="s">
        <v>29</v>
      </c>
      <c r="B52" s="25" t="s">
        <v>42</v>
      </c>
      <c r="C52" s="70">
        <v>20000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</row>
    <row r="53" spans="1:52" s="71" customFormat="1" x14ac:dyDescent="0.2">
      <c r="A53" s="69" t="s">
        <v>29</v>
      </c>
      <c r="B53" s="25" t="s">
        <v>43</v>
      </c>
      <c r="C53" s="70">
        <v>439750</v>
      </c>
      <c r="D53" s="24"/>
      <c r="E53" s="28"/>
      <c r="F53" s="28"/>
      <c r="G53" s="28"/>
      <c r="H53" s="24"/>
      <c r="I53" s="24"/>
      <c r="J53" s="24"/>
      <c r="K53" s="24"/>
      <c r="L53" s="24"/>
      <c r="M53" s="24"/>
      <c r="N53" s="24"/>
      <c r="P53" s="24"/>
      <c r="Q53" s="24"/>
      <c r="R53" s="95">
        <v>100000</v>
      </c>
      <c r="S53" s="24"/>
      <c r="T53" s="95">
        <v>100000</v>
      </c>
      <c r="U53" s="95">
        <v>139750</v>
      </c>
      <c r="W53" s="24"/>
      <c r="X53" s="24"/>
      <c r="Y53" s="95">
        <v>100000</v>
      </c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</row>
    <row r="54" spans="1:52" s="71" customFormat="1" x14ac:dyDescent="0.2">
      <c r="A54" s="69" t="s">
        <v>104</v>
      </c>
      <c r="B54" s="25" t="s">
        <v>105</v>
      </c>
      <c r="C54" s="70"/>
      <c r="D54" s="77"/>
      <c r="E54" s="28"/>
      <c r="F54" s="28"/>
      <c r="G54" s="28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</row>
    <row r="55" spans="1:52" s="71" customFormat="1" x14ac:dyDescent="0.2">
      <c r="A55" s="69" t="s">
        <v>99</v>
      </c>
      <c r="B55" s="25" t="s">
        <v>100</v>
      </c>
      <c r="C55" s="70"/>
      <c r="D55" s="77"/>
      <c r="E55" s="28"/>
      <c r="F55" s="28"/>
      <c r="G55" s="100">
        <f>(581.75/2)*$A$3</f>
        <v>25927.812137499997</v>
      </c>
      <c r="H55" s="100">
        <f>(581.75*$A$3)/2</f>
        <v>25927.812137499997</v>
      </c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</row>
    <row r="56" spans="1:52" s="71" customFormat="1" x14ac:dyDescent="0.2">
      <c r="A56" s="69" t="s">
        <v>29</v>
      </c>
      <c r="B56" s="25" t="s">
        <v>55</v>
      </c>
      <c r="C56" s="70">
        <f>3530*A6-41253.4</f>
        <v>227905.21700000003</v>
      </c>
      <c r="D56" s="24"/>
      <c r="E56" s="28"/>
      <c r="F56" s="28"/>
      <c r="H56" s="24"/>
      <c r="I56" s="24"/>
      <c r="J56" s="24"/>
      <c r="K56" s="95">
        <f>500*$A$6</f>
        <v>38124.450000000004</v>
      </c>
      <c r="L56" s="95">
        <f>500*$A$6</f>
        <v>38124.450000000004</v>
      </c>
      <c r="M56" s="95">
        <f>500*$A$6</f>
        <v>38124.450000000004</v>
      </c>
      <c r="N56" s="95">
        <f>500*$A$6</f>
        <v>38124.450000000004</v>
      </c>
      <c r="O56" s="95">
        <f>500*$A$6</f>
        <v>38124.450000000004</v>
      </c>
      <c r="P56" s="24"/>
      <c r="Q56" s="24"/>
      <c r="R56" s="95">
        <f>500*$A$6</f>
        <v>38124.450000000004</v>
      </c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</row>
    <row r="57" spans="1:52" s="71" customFormat="1" x14ac:dyDescent="0.2">
      <c r="A57" s="69" t="s">
        <v>40</v>
      </c>
      <c r="B57" s="25" t="s">
        <v>44</v>
      </c>
      <c r="C57" s="70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100">
        <v>1878</v>
      </c>
      <c r="S57" s="24"/>
      <c r="T57" s="24"/>
      <c r="U57" s="24"/>
      <c r="V57" s="24"/>
      <c r="W57" s="24"/>
      <c r="X57" s="24"/>
      <c r="Y57" s="24"/>
      <c r="Z57" s="24"/>
      <c r="AA57" s="100">
        <v>2090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</row>
    <row r="58" spans="1:52" s="71" customFormat="1" x14ac:dyDescent="0.2">
      <c r="A58" s="69" t="s">
        <v>90</v>
      </c>
      <c r="B58" s="25" t="s">
        <v>91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100">
        <v>1012000</v>
      </c>
      <c r="S58" s="24"/>
      <c r="T58" s="24"/>
      <c r="U58" s="24"/>
      <c r="V58" s="24"/>
      <c r="X58" s="24"/>
      <c r="Y58" s="24">
        <v>1012000</v>
      </c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</row>
    <row r="59" spans="1:52" s="71" customFormat="1" x14ac:dyDescent="0.2">
      <c r="A59" s="69" t="s">
        <v>106</v>
      </c>
      <c r="B59" s="25" t="s">
        <v>107</v>
      </c>
      <c r="C59" s="70"/>
      <c r="D59" s="77"/>
      <c r="F59" s="100">
        <v>20000</v>
      </c>
      <c r="G59" s="24"/>
      <c r="H59" s="100">
        <v>20000</v>
      </c>
      <c r="I59" s="24"/>
      <c r="J59" s="24"/>
      <c r="K59" s="24"/>
      <c r="L59" s="100">
        <v>10000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</row>
    <row r="60" spans="1:52" s="71" customFormat="1" x14ac:dyDescent="0.2">
      <c r="A60" s="69" t="s">
        <v>102</v>
      </c>
      <c r="B60" s="25" t="s">
        <v>103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</row>
    <row r="61" spans="1:52" s="71" customFormat="1" x14ac:dyDescent="0.2">
      <c r="A61" s="132" t="s">
        <v>113</v>
      </c>
      <c r="B61" s="133" t="s">
        <v>114</v>
      </c>
      <c r="C61" s="70"/>
      <c r="D61" s="77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</row>
    <row r="62" spans="1:52" s="71" customFormat="1" x14ac:dyDescent="0.2">
      <c r="A62" s="69" t="s">
        <v>34</v>
      </c>
      <c r="B62" s="25" t="s">
        <v>45</v>
      </c>
      <c r="C62" s="70"/>
      <c r="D62" s="77"/>
      <c r="E62" s="134">
        <v>50000</v>
      </c>
      <c r="F62" s="134">
        <v>25000</v>
      </c>
      <c r="G62" s="106">
        <v>75000</v>
      </c>
      <c r="I62" s="24"/>
      <c r="J62" s="24"/>
      <c r="K62" s="106">
        <v>100000</v>
      </c>
      <c r="M62" s="106">
        <v>100000</v>
      </c>
      <c r="O62" s="106">
        <v>75000</v>
      </c>
      <c r="P62" s="24"/>
      <c r="Q62" s="24"/>
      <c r="R62" s="108">
        <v>114400</v>
      </c>
      <c r="S62" s="24"/>
      <c r="T62" s="106">
        <v>175000</v>
      </c>
      <c r="U62" s="24"/>
      <c r="W62" s="24"/>
      <c r="X62" s="24"/>
      <c r="Y62" s="106">
        <v>75000</v>
      </c>
      <c r="Z62" s="108">
        <v>325000</v>
      </c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</row>
    <row r="63" spans="1:52" s="71" customFormat="1" x14ac:dyDescent="0.2">
      <c r="A63" s="69" t="s">
        <v>101</v>
      </c>
      <c r="B63" s="25"/>
      <c r="C63" s="70"/>
      <c r="D63" s="77"/>
      <c r="F63" s="24"/>
      <c r="G63" s="24"/>
      <c r="H63" s="24"/>
      <c r="I63" s="24"/>
      <c r="J63" s="24"/>
      <c r="K63" s="24"/>
      <c r="L63" s="24"/>
      <c r="M63" s="100">
        <v>180000</v>
      </c>
      <c r="N63" s="24"/>
      <c r="O63" s="100">
        <v>50000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</row>
    <row r="64" spans="1:52" s="71" customFormat="1" x14ac:dyDescent="0.2">
      <c r="A64" s="69" t="s">
        <v>38</v>
      </c>
      <c r="B64" s="25" t="s">
        <v>39</v>
      </c>
      <c r="C64" s="70">
        <v>107400</v>
      </c>
      <c r="D64" s="24"/>
      <c r="E64" s="95">
        <v>65000</v>
      </c>
      <c r="F64" s="95">
        <v>26400</v>
      </c>
      <c r="G64" s="24"/>
      <c r="H64" s="108">
        <v>16000</v>
      </c>
      <c r="I64" s="24"/>
      <c r="J64" s="24"/>
      <c r="K64" s="108">
        <v>31500</v>
      </c>
      <c r="L64" s="108">
        <v>30000</v>
      </c>
      <c r="M64" s="108">
        <v>27000</v>
      </c>
      <c r="O64" s="108">
        <v>24000</v>
      </c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</row>
    <row r="65" spans="1:52" s="71" customFormat="1" x14ac:dyDescent="0.2">
      <c r="A65" s="69" t="s">
        <v>74</v>
      </c>
      <c r="B65" s="25" t="s">
        <v>83</v>
      </c>
      <c r="C65" s="70"/>
      <c r="D65" s="24"/>
      <c r="E65" s="24"/>
      <c r="F65" s="24"/>
      <c r="G65" s="24"/>
      <c r="H65" s="24"/>
      <c r="I65" s="24"/>
      <c r="K65" s="98">
        <f>104492.6-69560</f>
        <v>34932.600000000006</v>
      </c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100">
        <v>3567000</v>
      </c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</row>
    <row r="66" spans="1:52" s="73" customFormat="1" ht="2.25" customHeight="1" x14ac:dyDescent="0.2">
      <c r="A66" s="78"/>
      <c r="B66" s="79"/>
      <c r="C66" s="75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 t="s">
        <v>89</v>
      </c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</row>
    <row r="67" spans="1:52" s="94" customFormat="1" ht="33.75" x14ac:dyDescent="0.2">
      <c r="A67" s="91" t="s">
        <v>60</v>
      </c>
      <c r="B67" s="92" t="s">
        <v>58</v>
      </c>
      <c r="C67" s="93">
        <v>248639.70012000017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</row>
    <row r="68" spans="1:52" s="94" customFormat="1" ht="33.75" x14ac:dyDescent="0.2">
      <c r="A68" s="91" t="s">
        <v>60</v>
      </c>
      <c r="B68" s="92" t="s">
        <v>59</v>
      </c>
      <c r="C68" s="93">
        <v>0</v>
      </c>
      <c r="D68" s="93"/>
      <c r="E68" s="93"/>
      <c r="F68" s="93"/>
      <c r="G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</row>
    <row r="69" spans="1:52" s="5" customFormat="1" ht="2.25" customHeight="1" x14ac:dyDescent="0.2">
      <c r="A69" s="42"/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</row>
    <row r="70" spans="1:52" s="5" customFormat="1" x14ac:dyDescent="0.2">
      <c r="A70" s="36" t="s">
        <v>49</v>
      </c>
      <c r="B70" s="12"/>
      <c r="C70" s="13"/>
      <c r="D70" s="26"/>
      <c r="E70" s="13"/>
      <c r="F70" s="13"/>
      <c r="G70" s="13"/>
      <c r="H70" s="13"/>
      <c r="I70" s="13"/>
      <c r="K70" s="126">
        <v>1369064.01</v>
      </c>
      <c r="L70" s="13"/>
      <c r="M70" s="13"/>
      <c r="N70" s="13"/>
      <c r="O70" s="13">
        <v>1300000</v>
      </c>
      <c r="P70" s="13"/>
      <c r="Q70" s="13"/>
      <c r="R70" s="13"/>
      <c r="S70" s="13"/>
      <c r="T70" s="13"/>
      <c r="U70" s="13"/>
      <c r="V70" s="13"/>
      <c r="X70" s="13"/>
      <c r="Y70" s="13"/>
      <c r="Z70" s="13">
        <v>1490000</v>
      </c>
      <c r="AA70" s="13"/>
      <c r="AB70" s="13"/>
      <c r="AC70" s="13"/>
      <c r="AD70" s="13"/>
      <c r="AE70" s="13"/>
      <c r="AF70" s="13"/>
      <c r="AG70" s="13"/>
      <c r="AH70" s="13"/>
      <c r="AI70" s="13">
        <v>1490000</v>
      </c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</row>
    <row r="71" spans="1:52" s="5" customFormat="1" x14ac:dyDescent="0.2">
      <c r="A71" s="36" t="s">
        <v>57</v>
      </c>
      <c r="B71" s="12"/>
      <c r="C71" s="68"/>
      <c r="D71" s="26"/>
      <c r="E71" s="13"/>
      <c r="F71" s="13"/>
      <c r="G71" s="13"/>
      <c r="H71" s="13">
        <v>1200614.75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</row>
    <row r="72" spans="1:52" s="5" customFormat="1" x14ac:dyDescent="0.2">
      <c r="A72" s="36" t="s">
        <v>61</v>
      </c>
      <c r="B72" s="12"/>
      <c r="C72" s="68"/>
      <c r="D72" s="26"/>
      <c r="E72" s="13"/>
      <c r="F72" s="13"/>
      <c r="G72" s="13"/>
      <c r="H72" s="13">
        <v>390000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>
        <v>112000</v>
      </c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</row>
    <row r="73" spans="1:52" s="5" customFormat="1" ht="2.25" customHeight="1" x14ac:dyDescent="0.2">
      <c r="A73" s="42"/>
      <c r="B73" s="12"/>
      <c r="C73" s="68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</row>
    <row r="74" spans="1:52" s="5" customFormat="1" x14ac:dyDescent="0.2">
      <c r="A74" s="36" t="s">
        <v>72</v>
      </c>
      <c r="B74" s="27" t="s">
        <v>73</v>
      </c>
      <c r="C74" s="62">
        <v>3637079.2460000003</v>
      </c>
      <c r="D74" s="35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</row>
    <row r="75" spans="1:52" s="5" customFormat="1" ht="2.25" customHeight="1" x14ac:dyDescent="0.2">
      <c r="A75" s="42"/>
      <c r="B75" s="12"/>
      <c r="C75" s="61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</row>
    <row r="76" spans="1:52" s="84" customFormat="1" x14ac:dyDescent="0.2">
      <c r="A76" s="81" t="s">
        <v>66</v>
      </c>
      <c r="B76" s="82"/>
      <c r="C76" s="63"/>
      <c r="D76" s="83"/>
      <c r="E76" s="83">
        <f>$C$5+E16-E25</f>
        <v>3581109.5190082858</v>
      </c>
      <c r="F76" s="83">
        <f t="shared" ref="F76:AZ76" si="4">E76+F16-F25</f>
        <v>3058737.0140082859</v>
      </c>
      <c r="G76" s="83">
        <f t="shared" si="4"/>
        <v>3032685.4025850715</v>
      </c>
      <c r="H76" s="83">
        <f t="shared" si="4"/>
        <v>368074.4904475715</v>
      </c>
      <c r="I76" s="83">
        <f t="shared" si="4"/>
        <v>368074.4904475715</v>
      </c>
      <c r="J76" s="83">
        <f t="shared" si="4"/>
        <v>368074.4904475715</v>
      </c>
      <c r="K76" s="83">
        <f t="shared" si="4"/>
        <v>5842751.7514875717</v>
      </c>
      <c r="L76" s="83">
        <f t="shared" si="4"/>
        <v>4822646.9136875719</v>
      </c>
      <c r="M76" s="83">
        <f t="shared" si="4"/>
        <v>3556270.6686875718</v>
      </c>
      <c r="N76" s="83">
        <f t="shared" si="4"/>
        <v>3104483.618687572</v>
      </c>
      <c r="O76" s="83">
        <f t="shared" si="4"/>
        <v>831042.47368757194</v>
      </c>
      <c r="P76" s="83">
        <f t="shared" si="4"/>
        <v>509185.36368757195</v>
      </c>
      <c r="Q76" s="83">
        <f t="shared" si="4"/>
        <v>509185.36368757195</v>
      </c>
      <c r="R76" s="83">
        <f t="shared" si="4"/>
        <v>-1036681.086312428</v>
      </c>
      <c r="S76" s="83">
        <f t="shared" si="4"/>
        <v>-3361681.0863124281</v>
      </c>
      <c r="T76" s="83">
        <f t="shared" si="4"/>
        <v>-4223081.0863124281</v>
      </c>
      <c r="U76" s="83">
        <f t="shared" si="4"/>
        <v>-5137241.0863124281</v>
      </c>
      <c r="V76" s="83">
        <f t="shared" si="4"/>
        <v>-5249241.0863124281</v>
      </c>
      <c r="W76" s="83">
        <f t="shared" si="4"/>
        <v>1788258.9136875719</v>
      </c>
      <c r="X76" s="83">
        <f t="shared" si="4"/>
        <v>1788258.9136875719</v>
      </c>
      <c r="Y76" s="83">
        <f t="shared" si="4"/>
        <v>-4446803.9863124285</v>
      </c>
      <c r="Z76" s="83">
        <f t="shared" si="4"/>
        <v>-6352027.9863124285</v>
      </c>
      <c r="AA76" s="83">
        <f t="shared" si="4"/>
        <v>-7199341.9863124285</v>
      </c>
      <c r="AB76" s="83">
        <f t="shared" si="4"/>
        <v>-7380501.9863124285</v>
      </c>
      <c r="AC76" s="83">
        <f t="shared" si="4"/>
        <v>-7380501.9863124285</v>
      </c>
      <c r="AD76" s="83">
        <f t="shared" si="4"/>
        <v>-7380501.9863124285</v>
      </c>
      <c r="AE76" s="83">
        <f t="shared" si="4"/>
        <v>-7740501.9863124285</v>
      </c>
      <c r="AF76" s="83">
        <f t="shared" si="4"/>
        <v>-5135920.4863124285</v>
      </c>
      <c r="AG76" s="83">
        <f t="shared" si="4"/>
        <v>-5135920.4863124285</v>
      </c>
      <c r="AH76" s="83">
        <f t="shared" si="4"/>
        <v>-5135920.4863124285</v>
      </c>
      <c r="AI76" s="83">
        <f t="shared" si="4"/>
        <v>1256579.5136875715</v>
      </c>
      <c r="AJ76" s="83">
        <f t="shared" si="4"/>
        <v>565579.51368757151</v>
      </c>
      <c r="AK76" s="83">
        <f t="shared" si="4"/>
        <v>565579.51368757151</v>
      </c>
      <c r="AL76" s="83">
        <f t="shared" si="4"/>
        <v>565579.51368757151</v>
      </c>
      <c r="AM76" s="83">
        <f t="shared" si="4"/>
        <v>565579.51368757151</v>
      </c>
      <c r="AN76" s="83">
        <f t="shared" si="4"/>
        <v>565579.51368757151</v>
      </c>
      <c r="AO76" s="83">
        <f t="shared" si="4"/>
        <v>565579.51368757151</v>
      </c>
      <c r="AP76" s="83">
        <f t="shared" si="4"/>
        <v>565579.51368757151</v>
      </c>
      <c r="AQ76" s="83">
        <f t="shared" si="4"/>
        <v>565579.51368757151</v>
      </c>
      <c r="AR76" s="83">
        <f t="shared" si="4"/>
        <v>565579.51368757151</v>
      </c>
      <c r="AS76" s="83">
        <f t="shared" si="4"/>
        <v>565579.51368757151</v>
      </c>
      <c r="AT76" s="83">
        <f t="shared" si="4"/>
        <v>565579.51368757151</v>
      </c>
      <c r="AU76" s="83">
        <f t="shared" si="4"/>
        <v>565579.51368757151</v>
      </c>
      <c r="AV76" s="83">
        <f t="shared" si="4"/>
        <v>565579.51368757151</v>
      </c>
      <c r="AW76" s="83">
        <f t="shared" si="4"/>
        <v>565579.51368757151</v>
      </c>
      <c r="AX76" s="83">
        <f t="shared" si="4"/>
        <v>565579.51368757151</v>
      </c>
      <c r="AY76" s="83">
        <f t="shared" si="4"/>
        <v>565579.51368757151</v>
      </c>
      <c r="AZ76" s="83">
        <f t="shared" si="4"/>
        <v>565579.51368757151</v>
      </c>
    </row>
    <row r="78" spans="1:52" s="5" customFormat="1" ht="2.25" customHeight="1" x14ac:dyDescent="0.2">
      <c r="A78" s="42"/>
      <c r="B78" s="12"/>
      <c r="C78" s="68"/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</row>
    <row r="79" spans="1:52" s="89" customFormat="1" ht="11.25" customHeight="1" x14ac:dyDescent="0.2">
      <c r="A79" s="85" t="s">
        <v>65</v>
      </c>
      <c r="B79" s="86"/>
      <c r="C79" s="87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</row>
    <row r="80" spans="1:52" s="5" customFormat="1" ht="22.5" x14ac:dyDescent="0.2">
      <c r="A80" s="36" t="s">
        <v>67</v>
      </c>
      <c r="B80" s="27" t="s">
        <v>68</v>
      </c>
      <c r="C80" s="68">
        <v>3221210.79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</row>
    <row r="81" spans="1:52" s="5" customFormat="1" x14ac:dyDescent="0.2">
      <c r="A81" s="36" t="s">
        <v>69</v>
      </c>
      <c r="B81" s="27" t="s">
        <v>70</v>
      </c>
      <c r="C81" s="68">
        <v>9814338.4000000004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</row>
    <row r="82" spans="1:52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</row>
    <row r="83" spans="1:52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</row>
    <row r="85" spans="1:52" x14ac:dyDescent="0.25">
      <c r="B85" s="14"/>
    </row>
  </sheetData>
  <pageMargins left="0.7" right="0.7" top="0.75" bottom="0.75" header="0.3" footer="0.3"/>
  <pageSetup paperSize="9" orientation="portrait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84"/>
  <sheetViews>
    <sheetView workbookViewId="0">
      <selection activeCell="C39" sqref="C39:C55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0" width="11.7109375" style="3" bestFit="1" customWidth="1"/>
    <col min="11" max="35" width="10.85546875" style="3" bestFit="1" customWidth="1"/>
    <col min="36" max="36" width="11.7109375" style="3" bestFit="1" customWidth="1"/>
    <col min="37" max="53" width="10.85546875" style="3" bestFit="1" customWidth="1"/>
    <col min="54" max="16384" width="9" style="3"/>
  </cols>
  <sheetData>
    <row r="1" spans="1:53" ht="12" thickBot="1" x14ac:dyDescent="0.3"/>
    <row r="2" spans="1:53" s="1" customFormat="1" x14ac:dyDescent="0.2">
      <c r="A2" s="43" t="s">
        <v>50</v>
      </c>
      <c r="B2" s="15" t="s">
        <v>27</v>
      </c>
      <c r="C2" s="50">
        <v>5564018.0199999996</v>
      </c>
      <c r="E2" s="8"/>
      <c r="F2" s="8"/>
    </row>
    <row r="3" spans="1:53" s="1" customFormat="1" ht="12" thickBot="1" x14ac:dyDescent="0.25">
      <c r="A3" s="44">
        <v>90.012</v>
      </c>
      <c r="B3" s="15" t="s">
        <v>28</v>
      </c>
      <c r="C3" s="50">
        <v>10778.95</v>
      </c>
      <c r="E3" s="9"/>
      <c r="F3" s="9"/>
    </row>
    <row r="4" spans="1:53" s="8" customFormat="1" ht="12" thickBot="1" x14ac:dyDescent="0.25">
      <c r="A4" s="45"/>
      <c r="B4" s="15" t="s">
        <v>25</v>
      </c>
      <c r="C4" s="51">
        <v>0</v>
      </c>
    </row>
    <row r="5" spans="1:53" s="6" customFormat="1" x14ac:dyDescent="0.2">
      <c r="A5" s="43" t="s">
        <v>51</v>
      </c>
      <c r="B5" s="49" t="s">
        <v>26</v>
      </c>
      <c r="C5" s="52">
        <f>SUM(C2:C4)</f>
        <v>5574796.9699999997</v>
      </c>
    </row>
    <row r="6" spans="1:53" s="6" customFormat="1" ht="12" thickBot="1" x14ac:dyDescent="0.25">
      <c r="A6" s="44">
        <v>76.972399999999993</v>
      </c>
      <c r="B6" s="16"/>
      <c r="C6" s="53"/>
      <c r="D6" s="17"/>
    </row>
    <row r="7" spans="1:53" s="6" customFormat="1" ht="12" thickBot="1" x14ac:dyDescent="0.25">
      <c r="A7" s="105" t="s">
        <v>51</v>
      </c>
      <c r="B7" s="18" t="s">
        <v>110</v>
      </c>
      <c r="C7" s="54">
        <f>SUM(E16:BA16)</f>
        <v>27184533.737599999</v>
      </c>
    </row>
    <row r="8" spans="1:53" x14ac:dyDescent="0.25">
      <c r="A8" s="43" t="s">
        <v>52</v>
      </c>
      <c r="B8" s="18" t="s">
        <v>84</v>
      </c>
      <c r="C8" s="54">
        <f>SUM(E24:BA25)</f>
        <v>31402246.784567423</v>
      </c>
    </row>
    <row r="9" spans="1:53" ht="12" thickBot="1" x14ac:dyDescent="0.3">
      <c r="A9" s="44">
        <v>11.2521</v>
      </c>
      <c r="B9" s="19" t="s">
        <v>64</v>
      </c>
      <c r="C9" s="55">
        <f>C5+C7-C8-C11</f>
        <v>-8865595.3905834258</v>
      </c>
    </row>
    <row r="10" spans="1:53" x14ac:dyDescent="0.25">
      <c r="A10" s="99" t="s">
        <v>80</v>
      </c>
      <c r="B10" s="18" t="s">
        <v>23</v>
      </c>
      <c r="C10" s="56">
        <f>C16</f>
        <v>0</v>
      </c>
    </row>
    <row r="11" spans="1:53" x14ac:dyDescent="0.25">
      <c r="A11" s="101" t="s">
        <v>87</v>
      </c>
      <c r="B11" s="18" t="s">
        <v>24</v>
      </c>
      <c r="C11" s="54">
        <f>C25</f>
        <v>10222679.313616</v>
      </c>
    </row>
    <row r="12" spans="1:53" x14ac:dyDescent="0.25">
      <c r="A12" s="107" t="s">
        <v>88</v>
      </c>
    </row>
    <row r="13" spans="1:53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 spans="1:53" s="2" customFormat="1" x14ac:dyDescent="0.25">
      <c r="A14" s="64"/>
      <c r="B14" s="65"/>
      <c r="C14" s="58" t="s">
        <v>56</v>
      </c>
      <c r="D14" s="66"/>
      <c r="E14" s="66">
        <v>46125</v>
      </c>
      <c r="F14" s="66">
        <v>46126</v>
      </c>
      <c r="G14" s="66">
        <v>46127</v>
      </c>
      <c r="H14" s="66">
        <v>46128</v>
      </c>
      <c r="I14" s="66">
        <v>46129</v>
      </c>
      <c r="J14" s="66">
        <v>46130</v>
      </c>
      <c r="K14" s="66">
        <v>46131</v>
      </c>
      <c r="L14" s="66">
        <v>46132</v>
      </c>
      <c r="M14" s="66">
        <v>46133</v>
      </c>
      <c r="N14" s="66">
        <v>46134</v>
      </c>
      <c r="O14" s="66">
        <v>46135</v>
      </c>
      <c r="P14" s="66">
        <v>46136</v>
      </c>
      <c r="Q14" s="66">
        <v>46137</v>
      </c>
      <c r="R14" s="66">
        <v>46138</v>
      </c>
      <c r="S14" s="66">
        <v>46139</v>
      </c>
      <c r="T14" s="66">
        <v>46140</v>
      </c>
      <c r="U14" s="66">
        <v>46141</v>
      </c>
      <c r="V14" s="66">
        <v>46142</v>
      </c>
      <c r="W14" s="66">
        <v>46143</v>
      </c>
      <c r="X14" s="66">
        <v>46144</v>
      </c>
      <c r="Y14" s="66">
        <v>46145</v>
      </c>
      <c r="Z14" s="66">
        <v>46146</v>
      </c>
      <c r="AA14" s="66">
        <v>46147</v>
      </c>
      <c r="AB14" s="66">
        <v>46148</v>
      </c>
      <c r="AC14" s="66">
        <v>46149</v>
      </c>
      <c r="AD14" s="66">
        <v>46150</v>
      </c>
      <c r="AE14" s="66">
        <v>46151</v>
      </c>
      <c r="AF14" s="66">
        <v>46152</v>
      </c>
      <c r="AG14" s="66">
        <v>46153</v>
      </c>
      <c r="AH14" s="66">
        <v>46154</v>
      </c>
      <c r="AI14" s="66">
        <v>46155</v>
      </c>
      <c r="AJ14" s="66">
        <v>46156</v>
      </c>
      <c r="AK14" s="66">
        <v>46157</v>
      </c>
      <c r="AL14" s="66">
        <v>46158</v>
      </c>
      <c r="AM14" s="66">
        <v>46159</v>
      </c>
      <c r="AN14" s="66">
        <v>46160</v>
      </c>
      <c r="AO14" s="66">
        <v>46161</v>
      </c>
      <c r="AP14" s="66">
        <v>46162</v>
      </c>
      <c r="AQ14" s="66">
        <v>46163</v>
      </c>
      <c r="AR14" s="66">
        <v>46164</v>
      </c>
      <c r="AS14" s="66">
        <v>46165</v>
      </c>
      <c r="AT14" s="66">
        <v>46166</v>
      </c>
      <c r="AU14" s="66">
        <v>46167</v>
      </c>
      <c r="AV14" s="66">
        <v>46168</v>
      </c>
      <c r="AW14" s="66">
        <v>46169</v>
      </c>
      <c r="AX14" s="66">
        <v>46170</v>
      </c>
      <c r="AY14" s="66">
        <v>46171</v>
      </c>
      <c r="AZ14" s="66">
        <v>46172</v>
      </c>
      <c r="BA14" s="66">
        <v>46173</v>
      </c>
    </row>
    <row r="15" spans="1:53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</row>
    <row r="16" spans="1:53" s="2" customFormat="1" x14ac:dyDescent="0.25">
      <c r="A16" s="39" t="s">
        <v>0</v>
      </c>
      <c r="B16" s="20"/>
      <c r="C16" s="29">
        <f>SUM(C18:C23)</f>
        <v>0</v>
      </c>
      <c r="D16" s="29"/>
      <c r="E16" s="29">
        <f t="shared" ref="E16:AE16" si="0">SUM(E17:E24)</f>
        <v>0</v>
      </c>
      <c r="F16" s="29">
        <f t="shared" si="0"/>
        <v>0</v>
      </c>
      <c r="G16" s="29">
        <f t="shared" si="0"/>
        <v>0</v>
      </c>
      <c r="H16" s="29">
        <f t="shared" si="0"/>
        <v>500000</v>
      </c>
      <c r="I16" s="29">
        <f t="shared" si="0"/>
        <v>500000</v>
      </c>
      <c r="J16" s="29">
        <f t="shared" si="0"/>
        <v>0</v>
      </c>
      <c r="K16" s="29">
        <f t="shared" si="0"/>
        <v>8114113.7376000006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7037500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0</v>
      </c>
      <c r="AF16" s="29">
        <f>SUM(AF17:AF24)</f>
        <v>0</v>
      </c>
      <c r="AG16" s="29">
        <f t="shared" ref="AG16:BA16" si="1">SUM(AG17:AG24)</f>
        <v>3150420</v>
      </c>
      <c r="AH16" s="29">
        <f t="shared" si="1"/>
        <v>0</v>
      </c>
      <c r="AI16" s="29">
        <f t="shared" si="1"/>
        <v>0</v>
      </c>
      <c r="AJ16" s="29">
        <f t="shared" si="1"/>
        <v>7882500</v>
      </c>
      <c r="AK16" s="29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29">
        <f t="shared" si="1"/>
        <v>0</v>
      </c>
      <c r="AR16" s="29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29">
        <f t="shared" si="1"/>
        <v>0</v>
      </c>
      <c r="AX16" s="29">
        <f t="shared" si="1"/>
        <v>0</v>
      </c>
      <c r="AY16" s="29">
        <f t="shared" si="1"/>
        <v>0</v>
      </c>
      <c r="AZ16" s="29">
        <f t="shared" si="1"/>
        <v>0</v>
      </c>
      <c r="BA16" s="29">
        <f t="shared" si="1"/>
        <v>0</v>
      </c>
    </row>
    <row r="17" spans="1:53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</row>
    <row r="18" spans="1:53" s="80" customFormat="1" x14ac:dyDescent="0.25">
      <c r="A18" s="40" t="s">
        <v>9</v>
      </c>
      <c r="B18" s="21"/>
      <c r="C18" s="59"/>
      <c r="D18" s="30"/>
      <c r="E18" s="30"/>
      <c r="F18" s="30"/>
      <c r="H18" s="30">
        <v>500000</v>
      </c>
      <c r="I18" s="30">
        <v>500000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</row>
    <row r="19" spans="1:53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</row>
    <row r="20" spans="1:53" s="80" customFormat="1" ht="13.5" customHeight="1" x14ac:dyDescent="0.25">
      <c r="A20" s="40" t="s">
        <v>12</v>
      </c>
      <c r="B20" s="21"/>
      <c r="C20" s="32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>
        <v>7037500</v>
      </c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>
        <v>7882500</v>
      </c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</row>
    <row r="21" spans="1:53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</row>
    <row r="22" spans="1:53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3">
        <f>90144.8*A3</f>
        <v>8114113.7376000006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</row>
    <row r="23" spans="1:53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>
        <f>35000*A3</f>
        <v>3150420</v>
      </c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</row>
    <row r="24" spans="1:53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</row>
    <row r="25" spans="1:53" s="4" customFormat="1" x14ac:dyDescent="0.2">
      <c r="A25" s="41" t="s">
        <v>1</v>
      </c>
      <c r="B25" s="22"/>
      <c r="C25" s="34">
        <f>SUM(C27:C73)</f>
        <v>10222679.313616</v>
      </c>
      <c r="D25" s="34"/>
      <c r="E25" s="34">
        <f t="shared" ref="E25:AJ25" si="2">SUM(E26:E74)</f>
        <v>1364603.9005</v>
      </c>
      <c r="F25" s="34">
        <f t="shared" si="2"/>
        <v>705540.64728571428</v>
      </c>
      <c r="G25" s="34">
        <f t="shared" si="2"/>
        <v>2994157.3688960001</v>
      </c>
      <c r="H25" s="34">
        <f t="shared" si="2"/>
        <v>527651.01478571433</v>
      </c>
      <c r="I25" s="34">
        <f t="shared" si="2"/>
        <v>723554.59049999993</v>
      </c>
      <c r="J25" s="34">
        <f t="shared" si="2"/>
        <v>0</v>
      </c>
      <c r="K25" s="34">
        <f t="shared" si="2"/>
        <v>1929064.01</v>
      </c>
      <c r="L25" s="34">
        <f t="shared" si="2"/>
        <v>622355.66</v>
      </c>
      <c r="M25" s="34">
        <f t="shared" si="2"/>
        <v>950930.04</v>
      </c>
      <c r="N25" s="34">
        <f t="shared" si="2"/>
        <v>1242973.52</v>
      </c>
      <c r="O25" s="34">
        <f t="shared" si="2"/>
        <v>500847.10260000004</v>
      </c>
      <c r="P25" s="34">
        <f t="shared" si="2"/>
        <v>2430894.92</v>
      </c>
      <c r="Q25" s="34">
        <f t="shared" si="2"/>
        <v>321857.11</v>
      </c>
      <c r="R25" s="34">
        <f t="shared" si="2"/>
        <v>1013878</v>
      </c>
      <c r="S25" s="34">
        <f t="shared" si="2"/>
        <v>493864</v>
      </c>
      <c r="T25" s="34">
        <f t="shared" si="2"/>
        <v>2657940</v>
      </c>
      <c r="U25" s="34">
        <f t="shared" si="2"/>
        <v>861400</v>
      </c>
      <c r="V25" s="34">
        <f t="shared" si="2"/>
        <v>414750</v>
      </c>
      <c r="W25" s="34">
        <f t="shared" si="2"/>
        <v>112000</v>
      </c>
      <c r="X25" s="34">
        <f t="shared" si="2"/>
        <v>0</v>
      </c>
      <c r="Y25" s="34">
        <f t="shared" si="2"/>
        <v>0</v>
      </c>
      <c r="Z25" s="34">
        <f t="shared" si="2"/>
        <v>6750286.9000000004</v>
      </c>
      <c r="AA25" s="34">
        <f t="shared" si="2"/>
        <v>1905224</v>
      </c>
      <c r="AB25" s="34">
        <f t="shared" si="2"/>
        <v>847314</v>
      </c>
      <c r="AC25" s="34">
        <f t="shared" si="2"/>
        <v>181160</v>
      </c>
      <c r="AD25" s="34">
        <f t="shared" si="2"/>
        <v>0</v>
      </c>
      <c r="AE25" s="34">
        <f t="shared" si="2"/>
        <v>0</v>
      </c>
      <c r="AF25" s="34">
        <f t="shared" si="2"/>
        <v>360000</v>
      </c>
      <c r="AG25" s="34">
        <f t="shared" si="2"/>
        <v>0</v>
      </c>
      <c r="AH25" s="34">
        <f t="shared" si="2"/>
        <v>0</v>
      </c>
      <c r="AI25" s="34">
        <f t="shared" si="2"/>
        <v>0</v>
      </c>
      <c r="AJ25" s="34">
        <f t="shared" si="2"/>
        <v>1490000</v>
      </c>
      <c r="AK25" s="34">
        <f t="shared" ref="AK25:BA25" si="3">SUM(AK26:AK74)</f>
        <v>0</v>
      </c>
      <c r="AL25" s="34">
        <f t="shared" si="3"/>
        <v>0</v>
      </c>
      <c r="AM25" s="34">
        <f t="shared" si="3"/>
        <v>0</v>
      </c>
      <c r="AN25" s="34">
        <f t="shared" si="3"/>
        <v>0</v>
      </c>
      <c r="AO25" s="34">
        <f t="shared" si="3"/>
        <v>0</v>
      </c>
      <c r="AP25" s="34">
        <f t="shared" si="3"/>
        <v>0</v>
      </c>
      <c r="AQ25" s="34">
        <f t="shared" si="3"/>
        <v>0</v>
      </c>
      <c r="AR25" s="34">
        <f t="shared" si="3"/>
        <v>0</v>
      </c>
      <c r="AS25" s="34">
        <f t="shared" si="3"/>
        <v>0</v>
      </c>
      <c r="AT25" s="34">
        <f t="shared" si="3"/>
        <v>0</v>
      </c>
      <c r="AU25" s="34">
        <f t="shared" si="3"/>
        <v>0</v>
      </c>
      <c r="AV25" s="34">
        <f t="shared" si="3"/>
        <v>0</v>
      </c>
      <c r="AW25" s="34">
        <f t="shared" si="3"/>
        <v>0</v>
      </c>
      <c r="AX25" s="34">
        <f t="shared" si="3"/>
        <v>0</v>
      </c>
      <c r="AY25" s="34">
        <f t="shared" si="3"/>
        <v>0</v>
      </c>
      <c r="AZ25" s="34">
        <f t="shared" si="3"/>
        <v>0</v>
      </c>
      <c r="BA25" s="34">
        <f t="shared" si="3"/>
        <v>0</v>
      </c>
    </row>
    <row r="26" spans="1:53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</row>
    <row r="27" spans="1:53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</row>
    <row r="29" spans="1:53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90">
        <v>2000000</v>
      </c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</row>
    <row r="31" spans="1:53" s="1" customFormat="1" x14ac:dyDescent="0.2">
      <c r="A31" s="36" t="s">
        <v>7</v>
      </c>
      <c r="B31" s="23" t="s">
        <v>8</v>
      </c>
      <c r="C31" s="60"/>
      <c r="D31" s="24"/>
      <c r="E31" s="24"/>
      <c r="F31" s="24"/>
      <c r="G31" s="24">
        <v>850000</v>
      </c>
      <c r="H31" s="24"/>
      <c r="I31" s="24"/>
      <c r="J31" s="24"/>
      <c r="K31" s="24">
        <v>560000</v>
      </c>
      <c r="L31" s="24"/>
      <c r="M31" s="24"/>
      <c r="N31" s="24"/>
      <c r="O31" s="24"/>
      <c r="P31" s="24"/>
      <c r="Q31" s="24">
        <f>643714.22/2</f>
        <v>321857.11</v>
      </c>
      <c r="R31" s="24"/>
      <c r="S31" s="24"/>
      <c r="T31" s="24"/>
      <c r="U31" s="24"/>
      <c r="V31" s="24"/>
      <c r="W31" s="24"/>
      <c r="X31" s="24"/>
      <c r="Y31" s="24"/>
      <c r="Z31" s="24">
        <v>560000</v>
      </c>
      <c r="AA31" s="24"/>
      <c r="AB31" s="24"/>
      <c r="AC31" s="24"/>
      <c r="AD31" s="24"/>
      <c r="AE31" s="24"/>
      <c r="AF31" s="24">
        <v>360000</v>
      </c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s="1" customFormat="1" x14ac:dyDescent="0.2">
      <c r="A32" s="36" t="s">
        <v>54</v>
      </c>
      <c r="B32" s="23"/>
      <c r="C32" s="60"/>
      <c r="D32" s="24"/>
      <c r="E32" s="100">
        <v>100113.9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</row>
    <row r="33" spans="1:53" s="1" customFormat="1" x14ac:dyDescent="0.2">
      <c r="A33" s="36" t="s">
        <v>71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>
        <v>200113.9</v>
      </c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s="1" customFormat="1" x14ac:dyDescent="0.2">
      <c r="A34" s="36" t="s">
        <v>53</v>
      </c>
      <c r="B34" s="23"/>
      <c r="C34" s="60"/>
      <c r="D34" s="24"/>
      <c r="E34" s="100">
        <v>100000</v>
      </c>
      <c r="F34" s="24">
        <v>100000</v>
      </c>
      <c r="G34" s="24">
        <v>145949.5</v>
      </c>
      <c r="H34" s="24"/>
      <c r="I34" s="111"/>
      <c r="J34" s="24"/>
      <c r="K34" s="24"/>
      <c r="L34" s="24">
        <v>80000</v>
      </c>
      <c r="M34" s="24">
        <v>80000</v>
      </c>
      <c r="N34" s="24">
        <v>50000</v>
      </c>
      <c r="O34" s="24"/>
      <c r="P34" s="24"/>
      <c r="Q34" s="24"/>
      <c r="R34" s="24"/>
      <c r="S34" s="24"/>
      <c r="T34" s="24"/>
      <c r="U34" s="24"/>
      <c r="V34" s="24"/>
      <c r="X34" s="24"/>
      <c r="Y34" s="24"/>
      <c r="Z34" s="24">
        <v>545949</v>
      </c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</row>
    <row r="35" spans="1:53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</row>
    <row r="36" spans="1:53" s="71" customFormat="1" x14ac:dyDescent="0.2">
      <c r="A36" s="69" t="s">
        <v>14</v>
      </c>
      <c r="B36" s="25" t="s">
        <v>30</v>
      </c>
      <c r="C36" s="70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X36" s="24"/>
      <c r="Y36" s="24"/>
      <c r="Z36" s="24"/>
      <c r="AA36" s="24"/>
      <c r="AB36" s="24">
        <v>730000</v>
      </c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</row>
    <row r="37" spans="1:53" s="71" customFormat="1" x14ac:dyDescent="0.2">
      <c r="A37" s="69" t="s">
        <v>115</v>
      </c>
      <c r="B37" s="25" t="s">
        <v>116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100">
        <v>156160</v>
      </c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s="71" customFormat="1" x14ac:dyDescent="0.2">
      <c r="A38" s="69" t="s">
        <v>97</v>
      </c>
      <c r="B38" s="25" t="s">
        <v>98</v>
      </c>
      <c r="C38" s="70"/>
      <c r="D38" s="24"/>
      <c r="E38" s="24"/>
      <c r="F38" s="24"/>
      <c r="G38" s="24"/>
      <c r="H38" s="24"/>
      <c r="I38" s="24"/>
      <c r="J38" s="131"/>
      <c r="K38" s="24"/>
      <c r="L38" s="24"/>
      <c r="M38" s="24"/>
      <c r="N38" s="100">
        <v>311400</v>
      </c>
      <c r="O38" s="24"/>
      <c r="P38" s="24"/>
      <c r="Q38" s="24"/>
      <c r="R38" s="24"/>
      <c r="S38" s="24"/>
      <c r="T38" s="24"/>
      <c r="U38" s="100">
        <v>311400</v>
      </c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</row>
    <row r="39" spans="1:53" s="71" customFormat="1" x14ac:dyDescent="0.2">
      <c r="A39" s="69" t="s">
        <v>17</v>
      </c>
      <c r="B39" s="25" t="s">
        <v>41</v>
      </c>
      <c r="C39" s="70">
        <v>1375000</v>
      </c>
      <c r="D39" s="24"/>
      <c r="E39" s="100">
        <v>500000</v>
      </c>
      <c r="F39" s="28"/>
      <c r="G39" s="28"/>
      <c r="H39" s="28"/>
      <c r="J39" s="24"/>
      <c r="K39" s="24"/>
      <c r="L39" s="24"/>
      <c r="M39" s="24"/>
      <c r="O39" s="24"/>
      <c r="Q39" s="24"/>
      <c r="R39" s="24"/>
      <c r="S39" s="95">
        <v>175000</v>
      </c>
      <c r="T39" s="95">
        <v>175000</v>
      </c>
      <c r="U39" s="95">
        <v>175000</v>
      </c>
      <c r="V39" s="95">
        <v>175000</v>
      </c>
      <c r="X39" s="24"/>
      <c r="Y39" s="24"/>
      <c r="Z39" s="95">
        <v>175000</v>
      </c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s="71" customFormat="1" x14ac:dyDescent="0.2">
      <c r="A40" s="69" t="s">
        <v>15</v>
      </c>
      <c r="B40" s="25" t="s">
        <v>31</v>
      </c>
      <c r="C40" s="70">
        <f>994688-75000-25000-25000-70000</f>
        <v>799688</v>
      </c>
      <c r="D40" s="24"/>
      <c r="E40" s="100">
        <v>75000</v>
      </c>
      <c r="F40" s="28"/>
      <c r="G40" s="108">
        <v>50000</v>
      </c>
      <c r="H40" s="28"/>
      <c r="I40" s="108">
        <v>115224</v>
      </c>
      <c r="J40" s="24"/>
      <c r="K40" s="24"/>
      <c r="L40" s="108">
        <v>75000</v>
      </c>
      <c r="M40" s="108">
        <v>125000</v>
      </c>
      <c r="N40" s="108">
        <v>100000</v>
      </c>
      <c r="O40" s="108">
        <v>100000</v>
      </c>
      <c r="P40" s="108">
        <v>100000</v>
      </c>
      <c r="Q40" s="24"/>
      <c r="R40" s="24"/>
      <c r="S40" s="108">
        <v>104464</v>
      </c>
      <c r="T40" s="108">
        <v>150000</v>
      </c>
      <c r="U40" s="108">
        <v>100000</v>
      </c>
      <c r="V40" s="108">
        <v>100000</v>
      </c>
      <c r="W40" s="28"/>
      <c r="X40" s="28"/>
      <c r="Y40" s="24"/>
      <c r="Z40" s="98">
        <v>515224</v>
      </c>
      <c r="AA40" s="108">
        <v>90224</v>
      </c>
      <c r="AB40" s="108">
        <v>115224</v>
      </c>
      <c r="AC40" s="108">
        <v>25000</v>
      </c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</row>
    <row r="41" spans="1:53" s="71" customFormat="1" x14ac:dyDescent="0.2">
      <c r="A41" s="69" t="s">
        <v>18</v>
      </c>
      <c r="B41" s="25" t="s">
        <v>32</v>
      </c>
      <c r="C41" s="7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s="73" customFormat="1" x14ac:dyDescent="0.2">
      <c r="A42" s="69" t="s">
        <v>21</v>
      </c>
      <c r="B42" s="25" t="s">
        <v>45</v>
      </c>
      <c r="C42" s="70">
        <f>95000*A9</f>
        <v>1068949.5</v>
      </c>
      <c r="D42" s="72"/>
      <c r="E42" s="100">
        <f>22000*A9</f>
        <v>247546.2</v>
      </c>
      <c r="F42" s="129">
        <f>1305799/7+5533+10000</f>
        <v>202075.71428571429</v>
      </c>
      <c r="G42" s="129">
        <f>5000*A9</f>
        <v>56260.5</v>
      </c>
      <c r="H42" s="129">
        <f>1305799/7</f>
        <v>186542.71428571429</v>
      </c>
      <c r="I42" s="129">
        <v>383259.15</v>
      </c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</row>
    <row r="43" spans="1:53" s="71" customFormat="1" x14ac:dyDescent="0.2">
      <c r="A43" s="69" t="s">
        <v>19</v>
      </c>
      <c r="B43" s="25" t="s">
        <v>46</v>
      </c>
      <c r="C43" s="70">
        <f>9750*A3</f>
        <v>877617</v>
      </c>
      <c r="D43" s="24"/>
      <c r="E43" s="100">
        <f>500*$A$3</f>
        <v>45006</v>
      </c>
      <c r="F43" s="129">
        <f>1000*$A$3</f>
        <v>90012</v>
      </c>
      <c r="G43" s="129">
        <f>1400*$A$3</f>
        <v>126016.8</v>
      </c>
      <c r="H43" s="129">
        <f>1000*$A$3</f>
        <v>90012</v>
      </c>
      <c r="I43" s="129">
        <f>600*$A$3</f>
        <v>54007.199999999997</v>
      </c>
      <c r="J43" s="24"/>
      <c r="K43" s="24"/>
      <c r="L43" s="129">
        <f>750*$A$3</f>
        <v>67509</v>
      </c>
      <c r="M43" s="129">
        <f>2000*$A$3</f>
        <v>180024</v>
      </c>
      <c r="N43" s="129">
        <f>500*$A$3</f>
        <v>45006</v>
      </c>
      <c r="O43" s="129">
        <f>2000*$A$3</f>
        <v>180024</v>
      </c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s="71" customFormat="1" x14ac:dyDescent="0.2">
      <c r="A44" s="69" t="s">
        <v>16</v>
      </c>
      <c r="B44" s="25" t="s">
        <v>32</v>
      </c>
      <c r="C44" s="70">
        <f>1698230-499410-332940-75000</f>
        <v>790880</v>
      </c>
      <c r="D44" s="24"/>
      <c r="E44" s="28"/>
      <c r="F44" s="108">
        <f>66588+33294-8176</f>
        <v>91706</v>
      </c>
      <c r="H44" s="108">
        <f>66588+33294</f>
        <v>99882</v>
      </c>
      <c r="I44" s="108">
        <f>66588+33294</f>
        <v>99882</v>
      </c>
      <c r="J44" s="28"/>
      <c r="K44" s="28"/>
      <c r="L44" s="108">
        <f>66588+33294</f>
        <v>99882</v>
      </c>
      <c r="M44" s="108">
        <f>66588+33294+99882</f>
        <v>199764</v>
      </c>
      <c r="N44" s="108">
        <f>66588+33294</f>
        <v>99882</v>
      </c>
      <c r="O44" s="108">
        <f>66588+33294</f>
        <v>99882</v>
      </c>
      <c r="P44" s="95">
        <v>499410</v>
      </c>
      <c r="Q44" s="24"/>
      <c r="R44" s="24"/>
      <c r="S44" s="24"/>
      <c r="T44" s="100">
        <v>332940</v>
      </c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</row>
    <row r="45" spans="1:53" s="71" customFormat="1" x14ac:dyDescent="0.2">
      <c r="A45" s="69" t="s">
        <v>85</v>
      </c>
      <c r="B45" s="25" t="s">
        <v>47</v>
      </c>
      <c r="C45" s="70">
        <f>1700.04*A6</f>
        <v>130856.15889599998</v>
      </c>
      <c r="D45" s="24"/>
      <c r="E45" s="100">
        <f>1000*A6</f>
        <v>76972.399999999994</v>
      </c>
      <c r="F45" s="72"/>
      <c r="G45" s="95">
        <f>700.04*A6</f>
        <v>53883.758895999992</v>
      </c>
      <c r="H45" s="28"/>
      <c r="I45" s="24"/>
      <c r="J45" s="24"/>
      <c r="K45" s="24"/>
      <c r="L45" s="24"/>
      <c r="M45" s="100">
        <v>218623.78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s="73" customFormat="1" x14ac:dyDescent="0.2">
      <c r="A46" s="69" t="s">
        <v>22</v>
      </c>
      <c r="B46" s="25" t="s">
        <v>48</v>
      </c>
      <c r="C46" s="75"/>
      <c r="D46" s="72"/>
      <c r="F46" s="72"/>
      <c r="H46" s="24"/>
      <c r="I46" s="24"/>
      <c r="J46" s="72"/>
      <c r="K46" s="72"/>
      <c r="L46" s="72"/>
      <c r="M46" s="72"/>
      <c r="N46" s="100">
        <f>5000*$A$9</f>
        <v>56260.5</v>
      </c>
      <c r="O46" s="100">
        <f>5906*$A$9</f>
        <v>66454.902600000001</v>
      </c>
      <c r="P46" s="100">
        <f>5000*$A$9</f>
        <v>56260.5</v>
      </c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</row>
    <row r="47" spans="1:53" s="73" customFormat="1" x14ac:dyDescent="0.2">
      <c r="A47" s="69" t="s">
        <v>108</v>
      </c>
      <c r="B47" s="25" t="s">
        <v>109</v>
      </c>
      <c r="C47" s="120"/>
      <c r="D47" s="72"/>
      <c r="E47" s="24"/>
      <c r="F47" s="24"/>
      <c r="G47" s="24"/>
      <c r="H47" s="24"/>
      <c r="I47" s="24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</row>
    <row r="48" spans="1:53" s="71" customFormat="1" x14ac:dyDescent="0.2">
      <c r="A48" s="69" t="s">
        <v>36</v>
      </c>
      <c r="B48" s="25" t="s">
        <v>37</v>
      </c>
      <c r="C48" s="130">
        <f>1096.5*A6</f>
        <v>84400.236599999989</v>
      </c>
      <c r="D48" s="24"/>
      <c r="E48" s="103">
        <v>48783.16</v>
      </c>
      <c r="F48" s="128">
        <f>607.5*A6</f>
        <v>46760.732999999993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</row>
    <row r="49" spans="1:53" s="71" customFormat="1" x14ac:dyDescent="0.2">
      <c r="A49" s="69" t="s">
        <v>86</v>
      </c>
      <c r="B49" s="25" t="s">
        <v>35</v>
      </c>
      <c r="C49" s="70">
        <f>3250*$A$6</f>
        <v>250160.3</v>
      </c>
      <c r="D49" s="77"/>
      <c r="E49" s="24"/>
      <c r="F49" s="24"/>
      <c r="G49" s="95">
        <f t="shared" ref="G49:M49" si="4">$C$49/5</f>
        <v>50032.06</v>
      </c>
      <c r="H49" s="95">
        <f t="shared" si="4"/>
        <v>50032.06</v>
      </c>
      <c r="I49" s="24"/>
      <c r="K49" s="24"/>
      <c r="L49" s="95">
        <f>$C$49/5</f>
        <v>50032.06</v>
      </c>
      <c r="M49" s="95">
        <f t="shared" si="4"/>
        <v>50032.06</v>
      </c>
      <c r="N49" s="108">
        <f>$C$49/5+2400*A6</f>
        <v>234765.81999999998</v>
      </c>
      <c r="O49" s="24"/>
      <c r="P49" s="100">
        <f>4050*A6</f>
        <v>311738.21999999997</v>
      </c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s="71" customFormat="1" x14ac:dyDescent="0.2">
      <c r="A50" s="69" t="s">
        <v>111</v>
      </c>
      <c r="B50" s="25" t="s">
        <v>112</v>
      </c>
      <c r="C50" s="70"/>
      <c r="D50" s="77"/>
      <c r="E50" s="100">
        <v>25000</v>
      </c>
      <c r="F50" s="24"/>
      <c r="G50" s="100">
        <v>25000</v>
      </c>
      <c r="H50" s="24"/>
      <c r="I50" s="100">
        <v>25000</v>
      </c>
      <c r="J50" s="24"/>
      <c r="K50" s="24"/>
      <c r="L50" s="24"/>
      <c r="M50" s="100">
        <v>25000</v>
      </c>
      <c r="N50" s="100">
        <v>27173</v>
      </c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</row>
    <row r="51" spans="1:53" s="71" customFormat="1" x14ac:dyDescent="0.2">
      <c r="A51" s="69" t="s">
        <v>29</v>
      </c>
      <c r="B51" s="25" t="s">
        <v>42</v>
      </c>
      <c r="C51" s="70">
        <v>20000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s="71" customFormat="1" x14ac:dyDescent="0.2">
      <c r="A52" s="69" t="s">
        <v>29</v>
      </c>
      <c r="B52" s="25" t="s">
        <v>43</v>
      </c>
      <c r="C52" s="70">
        <v>439750</v>
      </c>
      <c r="D52" s="24"/>
      <c r="E52" s="28"/>
      <c r="F52" s="28"/>
      <c r="G52" s="28"/>
      <c r="H52" s="28"/>
      <c r="I52" s="24"/>
      <c r="J52" s="24"/>
      <c r="K52" s="24"/>
      <c r="L52" s="24"/>
      <c r="M52" s="24"/>
      <c r="N52" s="24"/>
      <c r="O52" s="24"/>
      <c r="Q52" s="24"/>
      <c r="R52" s="24"/>
      <c r="S52" s="95">
        <v>100000</v>
      </c>
      <c r="T52" s="24"/>
      <c r="U52" s="95">
        <v>100000</v>
      </c>
      <c r="V52" s="95">
        <v>139750</v>
      </c>
      <c r="X52" s="24"/>
      <c r="Y52" s="24"/>
      <c r="Z52" s="95">
        <v>100000</v>
      </c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</row>
    <row r="53" spans="1:53" s="71" customFormat="1" x14ac:dyDescent="0.2">
      <c r="A53" s="69" t="s">
        <v>104</v>
      </c>
      <c r="B53" s="25" t="s">
        <v>105</v>
      </c>
      <c r="C53" s="70"/>
      <c r="D53" s="77"/>
      <c r="E53" s="28"/>
      <c r="F53" s="28"/>
      <c r="G53" s="28"/>
      <c r="H53" s="28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s="71" customFormat="1" x14ac:dyDescent="0.2">
      <c r="A54" s="69" t="s">
        <v>99</v>
      </c>
      <c r="B54" s="25" t="s">
        <v>100</v>
      </c>
      <c r="C54" s="70"/>
      <c r="D54" s="77"/>
      <c r="E54" s="100">
        <f>(581.75/2)*$A$3</f>
        <v>26182.2405</v>
      </c>
      <c r="G54" s="28"/>
      <c r="H54" s="100">
        <f>(581.75/2)*$A$3</f>
        <v>26182.2405</v>
      </c>
      <c r="I54" s="100">
        <f>(581.75*$A$3)/2</f>
        <v>26182.2405</v>
      </c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</row>
    <row r="55" spans="1:53" s="71" customFormat="1" x14ac:dyDescent="0.2">
      <c r="A55" s="69" t="s">
        <v>29</v>
      </c>
      <c r="B55" s="25" t="s">
        <v>55</v>
      </c>
      <c r="C55" s="70">
        <f>3530*A6-41253.4</f>
        <v>230459.17199999999</v>
      </c>
      <c r="D55" s="24"/>
      <c r="F55" s="95">
        <f>500*$A$6</f>
        <v>38486.199999999997</v>
      </c>
      <c r="I55" s="24"/>
      <c r="J55" s="24"/>
      <c r="K55" s="24"/>
      <c r="L55" s="24"/>
      <c r="M55" s="95">
        <f>500*$A$6</f>
        <v>38486.199999999997</v>
      </c>
      <c r="N55" s="95">
        <f>500*$A$6</f>
        <v>38486.199999999997</v>
      </c>
      <c r="O55" s="95">
        <f>500*$A$6</f>
        <v>38486.199999999997</v>
      </c>
      <c r="P55" s="95">
        <f>500*$A$6</f>
        <v>38486.199999999997</v>
      </c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s="71" customFormat="1" x14ac:dyDescent="0.2">
      <c r="A56" s="69" t="s">
        <v>40</v>
      </c>
      <c r="B56" s="25" t="s">
        <v>44</v>
      </c>
      <c r="C56" s="70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>
        <v>1878</v>
      </c>
      <c r="S56" s="24"/>
      <c r="T56" s="24"/>
      <c r="U56" s="24"/>
      <c r="V56" s="24"/>
      <c r="W56" s="24"/>
      <c r="X56" s="24"/>
      <c r="Y56" s="24"/>
      <c r="Z56" s="24"/>
      <c r="AA56" s="24"/>
      <c r="AB56" s="100">
        <v>2090</v>
      </c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</row>
    <row r="57" spans="1:53" s="71" customFormat="1" x14ac:dyDescent="0.2">
      <c r="A57" s="69" t="s">
        <v>90</v>
      </c>
      <c r="B57" s="25" t="s">
        <v>91</v>
      </c>
      <c r="C57" s="70"/>
      <c r="D57" s="77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>
        <v>1012000</v>
      </c>
      <c r="S57" s="24"/>
      <c r="T57" s="24"/>
      <c r="U57" s="24"/>
      <c r="V57" s="24"/>
      <c r="W57" s="24"/>
      <c r="Y57" s="24"/>
      <c r="Z57" s="24">
        <v>1012000</v>
      </c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s="71" customFormat="1" x14ac:dyDescent="0.2">
      <c r="A58" s="69" t="s">
        <v>106</v>
      </c>
      <c r="B58" s="25" t="s">
        <v>107</v>
      </c>
      <c r="C58" s="70"/>
      <c r="D58" s="77"/>
      <c r="E58" s="100">
        <v>20000</v>
      </c>
      <c r="G58" s="100">
        <v>20000</v>
      </c>
      <c r="H58" s="24"/>
      <c r="I58" s="100">
        <v>20000</v>
      </c>
      <c r="J58" s="24"/>
      <c r="K58" s="24"/>
      <c r="L58" s="24"/>
      <c r="M58" s="100">
        <v>10000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</row>
    <row r="59" spans="1:53" s="71" customFormat="1" x14ac:dyDescent="0.2">
      <c r="A59" s="69" t="s">
        <v>102</v>
      </c>
      <c r="B59" s="25" t="s">
        <v>103</v>
      </c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s="71" customFormat="1" x14ac:dyDescent="0.2">
      <c r="A60" s="132" t="s">
        <v>113</v>
      </c>
      <c r="B60" s="133" t="s">
        <v>114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</row>
    <row r="61" spans="1:53" s="71" customFormat="1" x14ac:dyDescent="0.2">
      <c r="A61" s="69" t="s">
        <v>34</v>
      </c>
      <c r="B61" s="25" t="s">
        <v>45</v>
      </c>
      <c r="C61" s="70"/>
      <c r="D61" s="77"/>
      <c r="E61" s="112"/>
      <c r="F61" s="106">
        <v>75000</v>
      </c>
      <c r="H61" s="106">
        <v>75000</v>
      </c>
      <c r="J61" s="24"/>
      <c r="K61" s="24"/>
      <c r="L61" s="106">
        <v>100000</v>
      </c>
      <c r="N61" s="106">
        <v>100000</v>
      </c>
      <c r="P61" s="106">
        <v>75000</v>
      </c>
      <c r="Q61" s="24"/>
      <c r="R61" s="24"/>
      <c r="S61" s="108">
        <v>114400</v>
      </c>
      <c r="T61" s="24"/>
      <c r="U61" s="106">
        <v>175000</v>
      </c>
      <c r="V61" s="24"/>
      <c r="X61" s="24"/>
      <c r="Y61" s="24"/>
      <c r="Z61" s="106">
        <v>75000</v>
      </c>
      <c r="AA61" s="108">
        <v>325000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s="71" customFormat="1" x14ac:dyDescent="0.2">
      <c r="A62" s="69" t="s">
        <v>101</v>
      </c>
      <c r="B62" s="25"/>
      <c r="C62" s="70"/>
      <c r="D62" s="77"/>
      <c r="E62" s="24"/>
      <c r="G62" s="24"/>
      <c r="H62" s="24"/>
      <c r="I62" s="24"/>
      <c r="J62" s="24"/>
      <c r="K62" s="24"/>
      <c r="L62" s="24"/>
      <c r="M62" s="24"/>
      <c r="N62" s="100">
        <v>180000</v>
      </c>
      <c r="O62" s="24"/>
      <c r="P62" s="100">
        <v>50000</v>
      </c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</row>
    <row r="63" spans="1:53" s="71" customFormat="1" x14ac:dyDescent="0.2">
      <c r="A63" s="69" t="s">
        <v>38</v>
      </c>
      <c r="B63" s="25" t="s">
        <v>39</v>
      </c>
      <c r="C63" s="70">
        <f>432200-68000-25000-70000</f>
        <v>269200</v>
      </c>
      <c r="D63" s="24"/>
      <c r="E63" s="100">
        <v>100000</v>
      </c>
      <c r="F63" s="95">
        <v>61500</v>
      </c>
      <c r="G63" s="95">
        <v>26400</v>
      </c>
      <c r="H63" s="24"/>
      <c r="I63" s="24"/>
      <c r="J63" s="24"/>
      <c r="K63" s="24"/>
      <c r="L63" s="95">
        <v>115000</v>
      </c>
      <c r="M63" s="100">
        <v>24000</v>
      </c>
      <c r="N63" s="24"/>
      <c r="O63" s="100">
        <v>16000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s="71" customFormat="1" x14ac:dyDescent="0.2">
      <c r="A64" s="69" t="s">
        <v>74</v>
      </c>
      <c r="B64" s="25" t="s">
        <v>83</v>
      </c>
      <c r="C64" s="70"/>
      <c r="D64" s="24"/>
      <c r="E64" s="24"/>
      <c r="F64" s="24"/>
      <c r="G64" s="24"/>
      <c r="H64" s="24"/>
      <c r="I64" s="24"/>
      <c r="J64" s="24"/>
      <c r="L64" s="98">
        <f>104492.6-69560</f>
        <v>34932.600000000006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100">
        <v>3567000</v>
      </c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</row>
    <row r="65" spans="1:53" s="73" customFormat="1" ht="2.25" customHeight="1" x14ac:dyDescent="0.2">
      <c r="A65" s="78"/>
      <c r="B65" s="79"/>
      <c r="C65" s="75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 t="s">
        <v>89</v>
      </c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</row>
    <row r="66" spans="1:53" s="94" customFormat="1" ht="33.75" x14ac:dyDescent="0.2">
      <c r="A66" s="91" t="s">
        <v>60</v>
      </c>
      <c r="B66" s="92" t="s">
        <v>58</v>
      </c>
      <c r="C66" s="93">
        <v>248639.70012000017</v>
      </c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</row>
    <row r="67" spans="1:53" s="94" customFormat="1" ht="33.75" x14ac:dyDescent="0.2">
      <c r="A67" s="91" t="s">
        <v>60</v>
      </c>
      <c r="B67" s="92" t="s">
        <v>59</v>
      </c>
      <c r="C67" s="93">
        <v>0</v>
      </c>
      <c r="D67" s="93"/>
      <c r="E67" s="93"/>
      <c r="F67" s="93"/>
      <c r="G67" s="93"/>
      <c r="H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</row>
    <row r="68" spans="1:53" s="5" customFormat="1" ht="2.25" customHeight="1" x14ac:dyDescent="0.2">
      <c r="A68" s="42"/>
      <c r="B68" s="12"/>
      <c r="C68" s="68"/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</row>
    <row r="69" spans="1:53" s="5" customFormat="1" x14ac:dyDescent="0.2">
      <c r="A69" s="36" t="s">
        <v>49</v>
      </c>
      <c r="B69" s="12"/>
      <c r="C69" s="13"/>
      <c r="D69" s="26"/>
      <c r="E69" s="13"/>
      <c r="F69" s="13"/>
      <c r="G69" s="13"/>
      <c r="H69" s="13"/>
      <c r="I69" s="13"/>
      <c r="J69" s="13"/>
      <c r="K69" s="126">
        <v>1369064.01</v>
      </c>
      <c r="L69" s="13"/>
      <c r="M69" s="13"/>
      <c r="N69" s="13"/>
      <c r="O69" s="13"/>
      <c r="P69" s="13">
        <v>1300000</v>
      </c>
      <c r="Q69" s="13"/>
      <c r="R69" s="13"/>
      <c r="S69" s="13"/>
      <c r="T69" s="13"/>
      <c r="U69" s="13"/>
      <c r="V69" s="13"/>
      <c r="W69" s="13"/>
      <c r="Y69" s="13"/>
      <c r="Z69" s="13"/>
      <c r="AA69" s="13">
        <v>1490000</v>
      </c>
      <c r="AB69" s="13"/>
      <c r="AC69" s="13"/>
      <c r="AD69" s="13"/>
      <c r="AE69" s="13"/>
      <c r="AF69" s="13"/>
      <c r="AG69" s="13"/>
      <c r="AH69" s="13"/>
      <c r="AI69" s="13"/>
      <c r="AJ69" s="13">
        <v>1490000</v>
      </c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</row>
    <row r="70" spans="1:53" s="5" customFormat="1" x14ac:dyDescent="0.2">
      <c r="A70" s="36" t="s">
        <v>57</v>
      </c>
      <c r="B70" s="12"/>
      <c r="C70" s="68"/>
      <c r="D70" s="26"/>
      <c r="E70" s="13"/>
      <c r="F70" s="13"/>
      <c r="G70" s="13">
        <v>1200614.75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</row>
    <row r="71" spans="1:53" s="5" customFormat="1" x14ac:dyDescent="0.2">
      <c r="A71" s="36" t="s">
        <v>61</v>
      </c>
      <c r="B71" s="12"/>
      <c r="C71" s="68"/>
      <c r="D71" s="26"/>
      <c r="F71" s="13"/>
      <c r="G71" s="13">
        <v>390000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>
        <v>112000</v>
      </c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</row>
    <row r="72" spans="1:53" s="5" customFormat="1" ht="2.25" customHeigh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</row>
    <row r="73" spans="1:53" s="5" customFormat="1" x14ac:dyDescent="0.2">
      <c r="A73" s="36" t="s">
        <v>72</v>
      </c>
      <c r="B73" s="27" t="s">
        <v>73</v>
      </c>
      <c r="C73" s="62">
        <v>3637079.2460000003</v>
      </c>
      <c r="D73" s="35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</row>
    <row r="74" spans="1:53" s="5" customFormat="1" ht="2.25" customHeight="1" x14ac:dyDescent="0.2">
      <c r="A74" s="42"/>
      <c r="B74" s="12"/>
      <c r="C74" s="61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</row>
    <row r="75" spans="1:53" s="84" customFormat="1" x14ac:dyDescent="0.2">
      <c r="A75" s="81" t="s">
        <v>66</v>
      </c>
      <c r="B75" s="82"/>
      <c r="C75" s="63"/>
      <c r="D75" s="83"/>
      <c r="E75" s="83">
        <f>$C$5+E16-E25</f>
        <v>4210193.0694999993</v>
      </c>
      <c r="F75" s="83">
        <f t="shared" ref="F75:BA75" si="5">E75+F16-F25</f>
        <v>3504652.422214285</v>
      </c>
      <c r="G75" s="83">
        <f t="shared" si="5"/>
        <v>510495.05331828492</v>
      </c>
      <c r="H75" s="83">
        <f t="shared" si="5"/>
        <v>482844.03853257059</v>
      </c>
      <c r="I75" s="83">
        <f t="shared" si="5"/>
        <v>259289.44803257065</v>
      </c>
      <c r="J75" s="83">
        <f t="shared" si="5"/>
        <v>259289.44803257065</v>
      </c>
      <c r="K75" s="83">
        <f t="shared" si="5"/>
        <v>6444339.1756325718</v>
      </c>
      <c r="L75" s="83">
        <f t="shared" si="5"/>
        <v>5821983.5156325717</v>
      </c>
      <c r="M75" s="83">
        <f t="shared" si="5"/>
        <v>4871053.4756325716</v>
      </c>
      <c r="N75" s="83">
        <f t="shared" si="5"/>
        <v>3628079.9556325716</v>
      </c>
      <c r="O75" s="83">
        <f t="shared" si="5"/>
        <v>3127232.8530325717</v>
      </c>
      <c r="P75" s="83">
        <f t="shared" si="5"/>
        <v>696337.9330325718</v>
      </c>
      <c r="Q75" s="83">
        <f t="shared" si="5"/>
        <v>374480.82303257182</v>
      </c>
      <c r="R75" s="83">
        <f t="shared" si="5"/>
        <v>-639397.17696742818</v>
      </c>
      <c r="S75" s="83">
        <f t="shared" si="5"/>
        <v>-1133261.1769674281</v>
      </c>
      <c r="T75" s="83">
        <f t="shared" si="5"/>
        <v>-3791201.1769674281</v>
      </c>
      <c r="U75" s="83">
        <f t="shared" si="5"/>
        <v>-4652601.1769674281</v>
      </c>
      <c r="V75" s="83">
        <f t="shared" si="5"/>
        <v>-5067351.1769674281</v>
      </c>
      <c r="W75" s="83">
        <f t="shared" si="5"/>
        <v>-5179351.1769674281</v>
      </c>
      <c r="X75" s="83">
        <f t="shared" si="5"/>
        <v>1858148.8230325719</v>
      </c>
      <c r="Y75" s="83">
        <f t="shared" si="5"/>
        <v>1858148.8230325719</v>
      </c>
      <c r="Z75" s="83">
        <f t="shared" si="5"/>
        <v>-4892138.0769674284</v>
      </c>
      <c r="AA75" s="83">
        <f t="shared" si="5"/>
        <v>-6797362.0769674284</v>
      </c>
      <c r="AB75" s="83">
        <f t="shared" si="5"/>
        <v>-7644676.0769674284</v>
      </c>
      <c r="AC75" s="83">
        <f t="shared" si="5"/>
        <v>-7825836.0769674284</v>
      </c>
      <c r="AD75" s="83">
        <f t="shared" si="5"/>
        <v>-7825836.0769674284</v>
      </c>
      <c r="AE75" s="83">
        <f t="shared" si="5"/>
        <v>-7825836.0769674284</v>
      </c>
      <c r="AF75" s="83">
        <f t="shared" si="5"/>
        <v>-8185836.0769674284</v>
      </c>
      <c r="AG75" s="83">
        <f t="shared" si="5"/>
        <v>-5035416.0769674284</v>
      </c>
      <c r="AH75" s="83">
        <f t="shared" si="5"/>
        <v>-5035416.0769674284</v>
      </c>
      <c r="AI75" s="83">
        <f t="shared" si="5"/>
        <v>-5035416.0769674284</v>
      </c>
      <c r="AJ75" s="83">
        <f t="shared" si="5"/>
        <v>1357083.9230325716</v>
      </c>
      <c r="AK75" s="83">
        <f t="shared" si="5"/>
        <v>1357083.9230325716</v>
      </c>
      <c r="AL75" s="83">
        <f t="shared" si="5"/>
        <v>1357083.9230325716</v>
      </c>
      <c r="AM75" s="83">
        <f t="shared" si="5"/>
        <v>1357083.9230325716</v>
      </c>
      <c r="AN75" s="83">
        <f t="shared" si="5"/>
        <v>1357083.9230325716</v>
      </c>
      <c r="AO75" s="83">
        <f t="shared" si="5"/>
        <v>1357083.9230325716</v>
      </c>
      <c r="AP75" s="83">
        <f t="shared" si="5"/>
        <v>1357083.9230325716</v>
      </c>
      <c r="AQ75" s="83">
        <f t="shared" si="5"/>
        <v>1357083.9230325716</v>
      </c>
      <c r="AR75" s="83">
        <f t="shared" si="5"/>
        <v>1357083.9230325716</v>
      </c>
      <c r="AS75" s="83">
        <f t="shared" si="5"/>
        <v>1357083.9230325716</v>
      </c>
      <c r="AT75" s="83">
        <f t="shared" si="5"/>
        <v>1357083.9230325716</v>
      </c>
      <c r="AU75" s="83">
        <f t="shared" si="5"/>
        <v>1357083.9230325716</v>
      </c>
      <c r="AV75" s="83">
        <f t="shared" si="5"/>
        <v>1357083.9230325716</v>
      </c>
      <c r="AW75" s="83">
        <f t="shared" si="5"/>
        <v>1357083.9230325716</v>
      </c>
      <c r="AX75" s="83">
        <f t="shared" si="5"/>
        <v>1357083.9230325716</v>
      </c>
      <c r="AY75" s="83">
        <f t="shared" si="5"/>
        <v>1357083.9230325716</v>
      </c>
      <c r="AZ75" s="83">
        <f t="shared" si="5"/>
        <v>1357083.9230325716</v>
      </c>
      <c r="BA75" s="83">
        <f t="shared" si="5"/>
        <v>1357083.9230325716</v>
      </c>
    </row>
    <row r="77" spans="1:53" s="5" customFormat="1" ht="2.25" customHeight="1" x14ac:dyDescent="0.2">
      <c r="A77" s="42"/>
      <c r="B77" s="12"/>
      <c r="C77" s="68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</row>
    <row r="78" spans="1:53" s="89" customFormat="1" ht="11.25" customHeight="1" x14ac:dyDescent="0.2">
      <c r="A78" s="85" t="s">
        <v>65</v>
      </c>
      <c r="B78" s="86"/>
      <c r="C78" s="87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</row>
    <row r="79" spans="1:53" s="5" customFormat="1" ht="22.5" x14ac:dyDescent="0.2">
      <c r="A79" s="36" t="s">
        <v>67</v>
      </c>
      <c r="B79" s="27" t="s">
        <v>68</v>
      </c>
      <c r="C79" s="68">
        <v>3221210.79</v>
      </c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</row>
    <row r="80" spans="1:53" s="5" customFormat="1" x14ac:dyDescent="0.2">
      <c r="A80" s="36" t="s">
        <v>69</v>
      </c>
      <c r="B80" s="27" t="s">
        <v>70</v>
      </c>
      <c r="C80" s="68">
        <v>9814338.4000000004</v>
      </c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</row>
    <row r="81" spans="1:53" s="5" customFormat="1" x14ac:dyDescent="0.2">
      <c r="A81" s="36"/>
      <c r="B81" s="27"/>
      <c r="C81" s="68"/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</row>
    <row r="82" spans="1:53" s="5" customFormat="1" x14ac:dyDescent="0.2">
      <c r="A82" s="36"/>
      <c r="B82" s="27"/>
      <c r="C82" s="68"/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</row>
    <row r="84" spans="1:53" x14ac:dyDescent="0.25">
      <c r="B84" s="14"/>
    </row>
  </sheetData>
  <pageMargins left="0.7" right="0.7" top="0.75" bottom="0.75" header="0.3" footer="0.3"/>
  <pageSetup paperSize="9" orientation="portrait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86"/>
  <sheetViews>
    <sheetView topLeftCell="A24" workbookViewId="0">
      <selection activeCell="C53" sqref="C53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1.7109375" style="3" customWidth="1"/>
    <col min="6" max="13" width="11.7109375" style="3" bestFit="1" customWidth="1"/>
    <col min="14" max="38" width="10.85546875" style="3" bestFit="1" customWidth="1"/>
    <col min="39" max="39" width="11.7109375" style="3" bestFit="1" customWidth="1"/>
    <col min="40" max="56" width="10.85546875" style="3" bestFit="1" customWidth="1"/>
    <col min="57" max="16384" width="9" style="3"/>
  </cols>
  <sheetData>
    <row r="1" spans="1:56" ht="12" thickBot="1" x14ac:dyDescent="0.3"/>
    <row r="2" spans="1:56" s="1" customFormat="1" x14ac:dyDescent="0.2">
      <c r="A2" s="43" t="s">
        <v>50</v>
      </c>
      <c r="B2" s="15" t="s">
        <v>27</v>
      </c>
      <c r="C2" s="50">
        <v>5820655.8600000003</v>
      </c>
      <c r="E2" s="8"/>
      <c r="F2" s="8"/>
      <c r="G2" s="8"/>
      <c r="H2" s="8"/>
      <c r="I2" s="8"/>
    </row>
    <row r="3" spans="1:56" s="1" customFormat="1" ht="12" thickBot="1" x14ac:dyDescent="0.25">
      <c r="A3" s="44">
        <v>90.881299999999996</v>
      </c>
      <c r="B3" s="15" t="s">
        <v>28</v>
      </c>
      <c r="C3" s="50">
        <v>10778.95</v>
      </c>
      <c r="E3" s="9"/>
      <c r="F3" s="9"/>
      <c r="G3" s="9"/>
      <c r="H3" s="9"/>
      <c r="I3" s="9"/>
    </row>
    <row r="4" spans="1:56" s="8" customFormat="1" ht="12" thickBot="1" x14ac:dyDescent="0.25">
      <c r="A4" s="45"/>
      <c r="B4" s="15" t="s">
        <v>25</v>
      </c>
      <c r="C4" s="51">
        <v>0</v>
      </c>
    </row>
    <row r="5" spans="1:56" s="6" customFormat="1" x14ac:dyDescent="0.2">
      <c r="A5" s="43" t="s">
        <v>51</v>
      </c>
      <c r="B5" s="49" t="s">
        <v>26</v>
      </c>
      <c r="C5" s="52">
        <f>SUM(C2:C4)</f>
        <v>5831434.8100000005</v>
      </c>
    </row>
    <row r="6" spans="1:56" s="6" customFormat="1" ht="12" thickBot="1" x14ac:dyDescent="0.25">
      <c r="A6" s="44">
        <v>77.836600000000004</v>
      </c>
      <c r="B6" s="16"/>
      <c r="C6" s="53"/>
      <c r="D6" s="17"/>
    </row>
    <row r="7" spans="1:56" s="6" customFormat="1" ht="12" thickBot="1" x14ac:dyDescent="0.25">
      <c r="A7" s="105" t="s">
        <v>51</v>
      </c>
      <c r="B7" s="18" t="s">
        <v>62</v>
      </c>
      <c r="C7" s="54">
        <f>SUM(E16:BD16)</f>
        <v>28386822.112240002</v>
      </c>
    </row>
    <row r="8" spans="1:56" x14ac:dyDescent="0.25">
      <c r="A8" s="43" t="s">
        <v>52</v>
      </c>
      <c r="B8" s="18" t="s">
        <v>84</v>
      </c>
      <c r="C8" s="54">
        <f>SUM(E24:BD25)</f>
        <v>31440954.071317263</v>
      </c>
    </row>
    <row r="9" spans="1:56" ht="12" thickBot="1" x14ac:dyDescent="0.3">
      <c r="A9" s="44">
        <v>11.368499999999999</v>
      </c>
      <c r="B9" s="19" t="s">
        <v>64</v>
      </c>
      <c r="C9" s="55">
        <f>C5+C7-C8-C11</f>
        <v>-9439289.5480612591</v>
      </c>
    </row>
    <row r="10" spans="1:56" x14ac:dyDescent="0.25">
      <c r="A10" s="99" t="s">
        <v>80</v>
      </c>
      <c r="B10" s="18" t="s">
        <v>23</v>
      </c>
      <c r="C10" s="56">
        <f>C16</f>
        <v>0</v>
      </c>
    </row>
    <row r="11" spans="1:56" x14ac:dyDescent="0.25">
      <c r="A11" s="101" t="s">
        <v>87</v>
      </c>
      <c r="B11" s="18" t="s">
        <v>24</v>
      </c>
      <c r="C11" s="54">
        <f>C25</f>
        <v>12216592.398984</v>
      </c>
    </row>
    <row r="12" spans="1:56" x14ac:dyDescent="0.25">
      <c r="A12" s="107" t="s">
        <v>88</v>
      </c>
    </row>
    <row r="13" spans="1:56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s="2" customFormat="1" x14ac:dyDescent="0.25">
      <c r="A14" s="64"/>
      <c r="B14" s="65"/>
      <c r="C14" s="58" t="s">
        <v>56</v>
      </c>
      <c r="D14" s="66"/>
      <c r="E14" s="66">
        <v>46122</v>
      </c>
      <c r="F14" s="66">
        <v>46123</v>
      </c>
      <c r="G14" s="66">
        <v>46124</v>
      </c>
      <c r="H14" s="66">
        <v>46125</v>
      </c>
      <c r="I14" s="66">
        <v>46126</v>
      </c>
      <c r="J14" s="66">
        <v>46127</v>
      </c>
      <c r="K14" s="66">
        <v>46128</v>
      </c>
      <c r="L14" s="66">
        <v>46129</v>
      </c>
      <c r="M14" s="66">
        <v>46130</v>
      </c>
      <c r="N14" s="66">
        <v>46131</v>
      </c>
      <c r="O14" s="66">
        <v>46132</v>
      </c>
      <c r="P14" s="66">
        <v>46133</v>
      </c>
      <c r="Q14" s="66">
        <v>46134</v>
      </c>
      <c r="R14" s="66">
        <v>46135</v>
      </c>
      <c r="S14" s="66">
        <v>46136</v>
      </c>
      <c r="T14" s="66">
        <v>46137</v>
      </c>
      <c r="U14" s="66">
        <v>46138</v>
      </c>
      <c r="V14" s="66">
        <v>46139</v>
      </c>
      <c r="W14" s="66">
        <v>46140</v>
      </c>
      <c r="X14" s="66">
        <v>46141</v>
      </c>
      <c r="Y14" s="66">
        <v>46142</v>
      </c>
      <c r="Z14" s="66">
        <v>46143</v>
      </c>
      <c r="AA14" s="66">
        <v>46144</v>
      </c>
      <c r="AB14" s="66">
        <v>46145</v>
      </c>
      <c r="AC14" s="66">
        <v>46146</v>
      </c>
      <c r="AD14" s="66">
        <v>46147</v>
      </c>
      <c r="AE14" s="66">
        <v>46148</v>
      </c>
      <c r="AF14" s="66">
        <v>46149</v>
      </c>
      <c r="AG14" s="66">
        <v>46150</v>
      </c>
      <c r="AH14" s="66">
        <v>46151</v>
      </c>
      <c r="AI14" s="66">
        <v>46152</v>
      </c>
      <c r="AJ14" s="66">
        <v>46153</v>
      </c>
      <c r="AK14" s="66">
        <v>46154</v>
      </c>
      <c r="AL14" s="66">
        <v>46155</v>
      </c>
      <c r="AM14" s="66">
        <v>46156</v>
      </c>
      <c r="AN14" s="66">
        <v>46157</v>
      </c>
      <c r="AO14" s="66">
        <v>46158</v>
      </c>
      <c r="AP14" s="66">
        <v>46159</v>
      </c>
      <c r="AQ14" s="66">
        <v>46160</v>
      </c>
      <c r="AR14" s="66">
        <v>46161</v>
      </c>
      <c r="AS14" s="66">
        <v>46162</v>
      </c>
      <c r="AT14" s="66">
        <v>46163</v>
      </c>
      <c r="AU14" s="66">
        <v>46164</v>
      </c>
      <c r="AV14" s="66">
        <v>46165</v>
      </c>
      <c r="AW14" s="66">
        <v>46166</v>
      </c>
      <c r="AX14" s="66">
        <v>46167</v>
      </c>
      <c r="AY14" s="66">
        <v>46168</v>
      </c>
      <c r="AZ14" s="66">
        <v>46169</v>
      </c>
      <c r="BA14" s="66">
        <v>46170</v>
      </c>
      <c r="BB14" s="66">
        <v>46171</v>
      </c>
      <c r="BC14" s="66">
        <v>46172</v>
      </c>
      <c r="BD14" s="66">
        <v>46173</v>
      </c>
    </row>
    <row r="15" spans="1:56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</row>
    <row r="16" spans="1:56" s="2" customFormat="1" x14ac:dyDescent="0.25">
      <c r="A16" s="39" t="s">
        <v>0</v>
      </c>
      <c r="B16" s="20"/>
      <c r="C16" s="29">
        <f>SUM(C18:C23)</f>
        <v>0</v>
      </c>
      <c r="D16" s="29"/>
      <c r="E16" s="29">
        <f t="shared" ref="E16:AH16" si="0">SUM(E17:E24)</f>
        <v>0</v>
      </c>
      <c r="F16" s="29">
        <f t="shared" si="0"/>
        <v>0</v>
      </c>
      <c r="G16" s="29">
        <f t="shared" si="0"/>
        <v>0</v>
      </c>
      <c r="H16" s="29">
        <f t="shared" si="0"/>
        <v>1093500</v>
      </c>
      <c r="I16" s="29">
        <f t="shared" si="0"/>
        <v>500000</v>
      </c>
      <c r="J16" s="29">
        <f t="shared" si="0"/>
        <v>0</v>
      </c>
      <c r="K16" s="29">
        <f t="shared" si="0"/>
        <v>500000</v>
      </c>
      <c r="L16" s="29">
        <f t="shared" si="0"/>
        <v>0</v>
      </c>
      <c r="M16" s="29">
        <f t="shared" si="0"/>
        <v>0</v>
      </c>
      <c r="N16" s="29">
        <f t="shared" si="0"/>
        <v>8192476.6122399997</v>
      </c>
      <c r="O16" s="29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7037500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>SUM(AI17:AI24)</f>
        <v>0</v>
      </c>
      <c r="AJ16" s="29">
        <f t="shared" ref="AJ16:BD16" si="1">SUM(AJ17:AJ24)</f>
        <v>3180845.5</v>
      </c>
      <c r="AK16" s="29">
        <f t="shared" si="1"/>
        <v>0</v>
      </c>
      <c r="AL16" s="29">
        <f t="shared" si="1"/>
        <v>0</v>
      </c>
      <c r="AM16" s="29">
        <f t="shared" si="1"/>
        <v>7882500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29">
        <f t="shared" si="1"/>
        <v>0</v>
      </c>
      <c r="AR16" s="29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29">
        <f t="shared" si="1"/>
        <v>0</v>
      </c>
      <c r="AX16" s="29">
        <f t="shared" si="1"/>
        <v>0</v>
      </c>
      <c r="AY16" s="29">
        <f t="shared" si="1"/>
        <v>0</v>
      </c>
      <c r="AZ16" s="29">
        <f t="shared" si="1"/>
        <v>0</v>
      </c>
      <c r="BA16" s="29">
        <f t="shared" si="1"/>
        <v>0</v>
      </c>
      <c r="BB16" s="29">
        <f t="shared" si="1"/>
        <v>0</v>
      </c>
      <c r="BC16" s="29">
        <f t="shared" si="1"/>
        <v>0</v>
      </c>
      <c r="BD16" s="29">
        <f t="shared" si="1"/>
        <v>0</v>
      </c>
    </row>
    <row r="17" spans="1:56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</row>
    <row r="18" spans="1:56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>
        <v>500000</v>
      </c>
      <c r="K18" s="30">
        <v>500000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</row>
    <row r="19" spans="1:56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</row>
    <row r="20" spans="1:56" s="80" customFormat="1" ht="13.5" customHeight="1" x14ac:dyDescent="0.25">
      <c r="A20" s="40" t="s">
        <v>12</v>
      </c>
      <c r="B20" s="21"/>
      <c r="C20" s="32"/>
      <c r="D20" s="30"/>
      <c r="E20" s="3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>
        <v>7037500</v>
      </c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>
        <v>7882500</v>
      </c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</row>
    <row r="21" spans="1:56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>
        <v>1093500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</row>
    <row r="22" spans="1:56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3">
        <f>90144.8*A3</f>
        <v>8192476.6122399997</v>
      </c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</row>
    <row r="23" spans="1:56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>
        <f>35000*A3</f>
        <v>3180845.5</v>
      </c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</row>
    <row r="24" spans="1:56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</row>
    <row r="25" spans="1:56" s="4" customFormat="1" x14ac:dyDescent="0.2">
      <c r="A25" s="41" t="s">
        <v>1</v>
      </c>
      <c r="B25" s="22"/>
      <c r="C25" s="34">
        <f>SUM(C27:C75)</f>
        <v>12216592.398984</v>
      </c>
      <c r="D25" s="34"/>
      <c r="E25" s="34">
        <f t="shared" ref="E25:BD25" si="2">SUM(E26:E76)</f>
        <v>1338063.2580000001</v>
      </c>
      <c r="F25" s="34">
        <f t="shared" si="2"/>
        <v>390000</v>
      </c>
      <c r="G25" s="34">
        <f t="shared" si="2"/>
        <v>0</v>
      </c>
      <c r="H25" s="34">
        <f t="shared" si="2"/>
        <v>2340944.1703041666</v>
      </c>
      <c r="I25" s="34">
        <f t="shared" si="2"/>
        <v>1086668.025589881</v>
      </c>
      <c r="J25" s="34">
        <f t="shared" si="2"/>
        <v>1180241.8081375</v>
      </c>
      <c r="K25" s="34">
        <f t="shared" si="2"/>
        <v>768190.6542857145</v>
      </c>
      <c r="L25" s="34">
        <f t="shared" si="2"/>
        <v>364634.78</v>
      </c>
      <c r="M25" s="34">
        <f t="shared" si="2"/>
        <v>0</v>
      </c>
      <c r="N25" s="34">
        <f t="shared" si="2"/>
        <v>3864492.6</v>
      </c>
      <c r="O25" s="34">
        <f t="shared" si="2"/>
        <v>702092.97499999998</v>
      </c>
      <c r="P25" s="34">
        <f t="shared" si="2"/>
        <v>934026.68</v>
      </c>
      <c r="Q25" s="34">
        <f t="shared" si="2"/>
        <v>1545074.28</v>
      </c>
      <c r="R25" s="34">
        <f t="shared" si="2"/>
        <v>537512.6</v>
      </c>
      <c r="S25" s="34">
        <f t="shared" si="2"/>
        <v>1429872.23</v>
      </c>
      <c r="T25" s="34">
        <f t="shared" si="2"/>
        <v>321857.11</v>
      </c>
      <c r="U25" s="34">
        <f t="shared" si="2"/>
        <v>1013878</v>
      </c>
      <c r="V25" s="34">
        <f t="shared" si="2"/>
        <v>104464</v>
      </c>
      <c r="W25" s="34">
        <f t="shared" si="2"/>
        <v>2482940</v>
      </c>
      <c r="X25" s="34">
        <f t="shared" si="2"/>
        <v>311400</v>
      </c>
      <c r="Y25" s="34">
        <f t="shared" si="2"/>
        <v>0</v>
      </c>
      <c r="Z25" s="34">
        <f t="shared" si="2"/>
        <v>1387949</v>
      </c>
      <c r="AA25" s="34">
        <f t="shared" si="2"/>
        <v>2527000</v>
      </c>
      <c r="AB25" s="34">
        <f t="shared" si="2"/>
        <v>0</v>
      </c>
      <c r="AC25" s="34">
        <f t="shared" si="2"/>
        <v>4842337.9000000004</v>
      </c>
      <c r="AD25" s="34">
        <f t="shared" si="2"/>
        <v>0</v>
      </c>
      <c r="AE25" s="34">
        <f t="shared" si="2"/>
        <v>117314</v>
      </c>
      <c r="AF25" s="34">
        <f t="shared" si="2"/>
        <v>0</v>
      </c>
      <c r="AG25" s="34">
        <f t="shared" si="2"/>
        <v>0</v>
      </c>
      <c r="AH25" s="34">
        <f t="shared" si="2"/>
        <v>0</v>
      </c>
      <c r="AI25" s="34">
        <f t="shared" si="2"/>
        <v>360000</v>
      </c>
      <c r="AJ25" s="34">
        <f t="shared" si="2"/>
        <v>0</v>
      </c>
      <c r="AK25" s="34">
        <f t="shared" si="2"/>
        <v>0</v>
      </c>
      <c r="AL25" s="34">
        <f t="shared" si="2"/>
        <v>0</v>
      </c>
      <c r="AM25" s="34">
        <f t="shared" si="2"/>
        <v>1490000</v>
      </c>
      <c r="AN25" s="34">
        <f t="shared" si="2"/>
        <v>0</v>
      </c>
      <c r="AO25" s="34">
        <f t="shared" si="2"/>
        <v>0</v>
      </c>
      <c r="AP25" s="34">
        <f t="shared" si="2"/>
        <v>0</v>
      </c>
      <c r="AQ25" s="34">
        <f t="shared" si="2"/>
        <v>0</v>
      </c>
      <c r="AR25" s="34">
        <f t="shared" si="2"/>
        <v>0</v>
      </c>
      <c r="AS25" s="34">
        <f t="shared" si="2"/>
        <v>0</v>
      </c>
      <c r="AT25" s="34">
        <f t="shared" si="2"/>
        <v>0</v>
      </c>
      <c r="AU25" s="34">
        <f t="shared" si="2"/>
        <v>0</v>
      </c>
      <c r="AV25" s="34">
        <f t="shared" si="2"/>
        <v>0</v>
      </c>
      <c r="AW25" s="34">
        <f t="shared" si="2"/>
        <v>0</v>
      </c>
      <c r="AX25" s="34">
        <f t="shared" si="2"/>
        <v>0</v>
      </c>
      <c r="AY25" s="34">
        <f t="shared" si="2"/>
        <v>0</v>
      </c>
      <c r="AZ25" s="34">
        <f t="shared" si="2"/>
        <v>0</v>
      </c>
      <c r="BA25" s="34">
        <f t="shared" si="2"/>
        <v>0</v>
      </c>
      <c r="BB25" s="34">
        <f t="shared" si="2"/>
        <v>0</v>
      </c>
      <c r="BC25" s="34">
        <f t="shared" si="2"/>
        <v>0</v>
      </c>
      <c r="BD25" s="34">
        <f t="shared" si="2"/>
        <v>0</v>
      </c>
    </row>
    <row r="26" spans="1:56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</row>
    <row r="27" spans="1:56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</row>
    <row r="28" spans="1:56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</row>
    <row r="29" spans="1:56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</row>
    <row r="30" spans="1:56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90">
        <v>2000000</v>
      </c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</row>
    <row r="31" spans="1:56" s="1" customFormat="1" x14ac:dyDescent="0.2">
      <c r="A31" s="36" t="s">
        <v>7</v>
      </c>
      <c r="B31" s="23" t="s">
        <v>8</v>
      </c>
      <c r="C31" s="60"/>
      <c r="D31" s="24"/>
      <c r="E31" s="127">
        <v>360000</v>
      </c>
      <c r="F31" s="24"/>
      <c r="G31" s="24"/>
      <c r="H31" s="24">
        <v>850000</v>
      </c>
      <c r="I31" s="24"/>
      <c r="J31" s="24"/>
      <c r="K31" s="24"/>
      <c r="L31" s="24"/>
      <c r="M31" s="24"/>
      <c r="N31" s="24">
        <v>560000</v>
      </c>
      <c r="O31" s="24"/>
      <c r="P31" s="24"/>
      <c r="Q31" s="24"/>
      <c r="R31" s="24"/>
      <c r="S31" s="24"/>
      <c r="T31" s="24">
        <f>643714.22/2</f>
        <v>321857.11</v>
      </c>
      <c r="U31" s="24"/>
      <c r="V31" s="24"/>
      <c r="W31" s="24"/>
      <c r="X31" s="24"/>
      <c r="Y31" s="24"/>
      <c r="Z31" s="24"/>
      <c r="AA31" s="24"/>
      <c r="AB31" s="24"/>
      <c r="AC31" s="24">
        <v>560000</v>
      </c>
      <c r="AD31" s="24"/>
      <c r="AE31" s="24"/>
      <c r="AF31" s="24"/>
      <c r="AG31" s="24"/>
      <c r="AH31" s="24"/>
      <c r="AI31" s="24">
        <v>360000</v>
      </c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</row>
    <row r="32" spans="1:56" s="1" customFormat="1" x14ac:dyDescent="0.2">
      <c r="A32" s="36" t="s">
        <v>54</v>
      </c>
      <c r="B32" s="23"/>
      <c r="C32" s="60"/>
      <c r="D32" s="24"/>
      <c r="E32" s="100">
        <v>100000</v>
      </c>
      <c r="F32" s="24"/>
      <c r="G32" s="24"/>
      <c r="H32" s="24">
        <v>100113.9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</row>
    <row r="33" spans="1:56" s="1" customFormat="1" x14ac:dyDescent="0.2">
      <c r="A33" s="36" t="s">
        <v>71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>
        <v>200113.9</v>
      </c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</row>
    <row r="34" spans="1:56" s="1" customFormat="1" x14ac:dyDescent="0.2">
      <c r="A34" s="36" t="s">
        <v>53</v>
      </c>
      <c r="B34" s="23"/>
      <c r="C34" s="60"/>
      <c r="D34" s="24"/>
      <c r="E34" s="122">
        <v>100000</v>
      </c>
      <c r="F34" s="24"/>
      <c r="G34" s="24"/>
      <c r="H34" s="24">
        <v>100000</v>
      </c>
      <c r="I34" s="24">
        <v>100000</v>
      </c>
      <c r="J34" s="24">
        <v>145949.5</v>
      </c>
      <c r="K34" s="24"/>
      <c r="L34" s="111"/>
      <c r="M34" s="24"/>
      <c r="N34" s="24"/>
      <c r="O34" s="24">
        <v>80000</v>
      </c>
      <c r="P34" s="24">
        <v>80000</v>
      </c>
      <c r="Q34" s="24">
        <v>50000</v>
      </c>
      <c r="R34" s="24"/>
      <c r="S34" s="24"/>
      <c r="T34" s="24"/>
      <c r="U34" s="24"/>
      <c r="V34" s="24"/>
      <c r="W34" s="24"/>
      <c r="X34" s="24"/>
      <c r="Y34" s="24"/>
      <c r="Z34" s="24">
        <v>545949</v>
      </c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</row>
    <row r="35" spans="1:56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</row>
    <row r="36" spans="1:56" s="71" customFormat="1" x14ac:dyDescent="0.2">
      <c r="A36" s="69" t="s">
        <v>14</v>
      </c>
      <c r="B36" s="25" t="s">
        <v>30</v>
      </c>
      <c r="C36" s="70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>
        <v>730000</v>
      </c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</row>
    <row r="37" spans="1:56" s="71" customFormat="1" x14ac:dyDescent="0.2">
      <c r="A37" s="69" t="s">
        <v>97</v>
      </c>
      <c r="B37" s="25" t="s">
        <v>98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100">
        <v>311400</v>
      </c>
      <c r="R37" s="24"/>
      <c r="S37" s="24"/>
      <c r="T37" s="24"/>
      <c r="U37" s="24"/>
      <c r="V37" s="24"/>
      <c r="W37" s="24"/>
      <c r="X37" s="100">
        <v>311400</v>
      </c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</row>
    <row r="38" spans="1:56" s="71" customFormat="1" x14ac:dyDescent="0.2">
      <c r="A38" s="69" t="s">
        <v>17</v>
      </c>
      <c r="B38" s="25" t="s">
        <v>41</v>
      </c>
      <c r="C38" s="70">
        <v>1425000</v>
      </c>
      <c r="D38" s="24"/>
      <c r="E38" s="100">
        <v>50000</v>
      </c>
      <c r="F38" s="24"/>
      <c r="G38" s="24"/>
      <c r="H38" s="95">
        <v>200000</v>
      </c>
      <c r="I38" s="95">
        <v>100000</v>
      </c>
      <c r="J38" s="95">
        <f>100000+250000</f>
        <v>350000</v>
      </c>
      <c r="K38" s="95">
        <v>100000</v>
      </c>
      <c r="M38" s="24"/>
      <c r="N38" s="24"/>
      <c r="O38" s="95">
        <v>154050</v>
      </c>
      <c r="P38" s="108">
        <v>100440</v>
      </c>
      <c r="Q38" s="95">
        <f>195950+125000</f>
        <v>320950</v>
      </c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</row>
    <row r="39" spans="1:56" s="71" customFormat="1" x14ac:dyDescent="0.2">
      <c r="A39" s="69" t="s">
        <v>15</v>
      </c>
      <c r="B39" s="25" t="s">
        <v>31</v>
      </c>
      <c r="C39" s="70">
        <f>994688-75000-25000-25000</f>
        <v>869688</v>
      </c>
      <c r="D39" s="24"/>
      <c r="E39" s="100">
        <v>70000</v>
      </c>
      <c r="F39" s="24"/>
      <c r="G39" s="24"/>
      <c r="H39" s="108">
        <v>100000</v>
      </c>
      <c r="I39" s="108">
        <v>75000</v>
      </c>
      <c r="J39" s="108">
        <v>50000</v>
      </c>
      <c r="K39" s="108">
        <v>100000</v>
      </c>
      <c r="L39" s="108">
        <v>115224</v>
      </c>
      <c r="M39" s="24"/>
      <c r="N39" s="24"/>
      <c r="O39" s="108">
        <v>100000</v>
      </c>
      <c r="P39" s="108">
        <v>100000</v>
      </c>
      <c r="Q39" s="108">
        <v>100000</v>
      </c>
      <c r="R39" s="108">
        <v>100000</v>
      </c>
      <c r="S39" s="108">
        <f>100000+90224</f>
        <v>190224</v>
      </c>
      <c r="T39" s="24"/>
      <c r="U39" s="24"/>
      <c r="V39" s="108">
        <v>104464</v>
      </c>
      <c r="W39" s="108">
        <v>150000</v>
      </c>
      <c r="X39" s="24"/>
      <c r="Y39" s="24"/>
      <c r="Z39" s="24"/>
      <c r="AA39" s="24">
        <v>25000</v>
      </c>
      <c r="AB39" s="24"/>
      <c r="AC39" s="98">
        <v>515224</v>
      </c>
      <c r="AD39" s="24"/>
      <c r="AE39" s="24">
        <v>115224</v>
      </c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</row>
    <row r="40" spans="1:56" s="71" customFormat="1" x14ac:dyDescent="0.2">
      <c r="A40" s="69" t="s">
        <v>18</v>
      </c>
      <c r="B40" s="25" t="s">
        <v>32</v>
      </c>
      <c r="C40" s="70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</row>
    <row r="41" spans="1:56" s="73" customFormat="1" x14ac:dyDescent="0.2">
      <c r="A41" s="69" t="s">
        <v>21</v>
      </c>
      <c r="B41" s="25" t="s">
        <v>45</v>
      </c>
      <c r="C41" s="70">
        <f>110000*A9</f>
        <v>1250535</v>
      </c>
      <c r="D41" s="72"/>
      <c r="E41" s="100">
        <f>15000*A9</f>
        <v>170527.5</v>
      </c>
      <c r="F41" s="24"/>
      <c r="G41" s="24"/>
      <c r="H41" s="95">
        <f>71054.71+69756.71+100000</f>
        <v>240811.42</v>
      </c>
      <c r="I41" s="95">
        <f>1305799/7+5533+10000</f>
        <v>202075.71428571429</v>
      </c>
      <c r="J41" s="95">
        <f>5000*A9</f>
        <v>56842.499999999993</v>
      </c>
      <c r="K41" s="95">
        <f>1305799/7</f>
        <v>186542.71428571429</v>
      </c>
      <c r="L41" s="24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</row>
    <row r="42" spans="1:56" s="71" customFormat="1" x14ac:dyDescent="0.2">
      <c r="A42" s="69" t="s">
        <v>19</v>
      </c>
      <c r="B42" s="25" t="s">
        <v>46</v>
      </c>
      <c r="C42" s="70">
        <f>10250*A3</f>
        <v>931533.32499999995</v>
      </c>
      <c r="D42" s="24"/>
      <c r="E42" s="100">
        <f>500*A3</f>
        <v>45440.65</v>
      </c>
      <c r="F42" s="24"/>
      <c r="G42" s="24"/>
      <c r="H42" s="95">
        <f>500*$A$3</f>
        <v>45440.65</v>
      </c>
      <c r="I42" s="95">
        <f>1000*$A$3</f>
        <v>90881.3</v>
      </c>
      <c r="J42" s="95">
        <f>1400*$A$3</f>
        <v>127233.81999999999</v>
      </c>
      <c r="K42" s="95">
        <f>1000*$A$3</f>
        <v>90881.3</v>
      </c>
      <c r="L42" s="95">
        <f>600*$A$3</f>
        <v>54528.78</v>
      </c>
      <c r="M42" s="24"/>
      <c r="N42" s="24"/>
      <c r="O42" s="95">
        <f>750*$A$3</f>
        <v>68160.974999999991</v>
      </c>
      <c r="P42" s="95">
        <f>2000*$A$3</f>
        <v>181762.6</v>
      </c>
      <c r="Q42" s="95">
        <f>500*$A$3</f>
        <v>45440.65</v>
      </c>
      <c r="R42" s="95">
        <f>2000*$A$3</f>
        <v>181762.6</v>
      </c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</row>
    <row r="43" spans="1:56" s="71" customFormat="1" x14ac:dyDescent="0.2">
      <c r="A43" s="69" t="s">
        <v>16</v>
      </c>
      <c r="B43" s="25" t="s">
        <v>32</v>
      </c>
      <c r="C43" s="70">
        <f>1698230-499410-332940</f>
        <v>865880</v>
      </c>
      <c r="D43" s="24"/>
      <c r="E43" s="119">
        <v>75000</v>
      </c>
      <c r="F43" s="24"/>
      <c r="G43" s="24"/>
      <c r="H43" s="108">
        <f>66588+33294</f>
        <v>99882</v>
      </c>
      <c r="I43" s="108">
        <f>66588+33294-8176</f>
        <v>91706</v>
      </c>
      <c r="J43" s="108">
        <f>66588+33294</f>
        <v>99882</v>
      </c>
      <c r="K43" s="108">
        <f>66588+33294</f>
        <v>99882</v>
      </c>
      <c r="L43" s="108">
        <f>66588+33294</f>
        <v>99882</v>
      </c>
      <c r="M43" s="28"/>
      <c r="N43" s="28"/>
      <c r="O43" s="108">
        <f>66588+33294</f>
        <v>99882</v>
      </c>
      <c r="P43" s="108">
        <f>66588+33294</f>
        <v>99882</v>
      </c>
      <c r="Q43" s="108">
        <f>66588+33294</f>
        <v>99882</v>
      </c>
      <c r="R43" s="28"/>
      <c r="S43" s="95">
        <v>499410</v>
      </c>
      <c r="T43" s="24"/>
      <c r="U43" s="24"/>
      <c r="V43" s="24"/>
      <c r="W43" s="24">
        <v>332940</v>
      </c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</row>
    <row r="44" spans="1:56" s="71" customFormat="1" x14ac:dyDescent="0.2">
      <c r="A44" s="69" t="s">
        <v>85</v>
      </c>
      <c r="B44" s="25" t="s">
        <v>47</v>
      </c>
      <c r="C44" s="70">
        <f>2204.04*A6</f>
        <v>171554.97986399999</v>
      </c>
      <c r="D44" s="24"/>
      <c r="E44" s="100">
        <f>500*A6</f>
        <v>38918.300000000003</v>
      </c>
      <c r="G44" s="24"/>
      <c r="H44" s="100">
        <f>25000+10572.75+500*A6</f>
        <v>74491.05</v>
      </c>
      <c r="J44" s="95">
        <v>56144.3</v>
      </c>
      <c r="K44" s="95">
        <f>26372.55+250*F6</f>
        <v>26372.55</v>
      </c>
      <c r="L44" s="24"/>
      <c r="M44" s="24"/>
      <c r="N44" s="24"/>
      <c r="O44" s="24"/>
      <c r="P44" s="100">
        <v>218623.78</v>
      </c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</row>
    <row r="45" spans="1:56" s="73" customFormat="1" x14ac:dyDescent="0.2">
      <c r="A45" s="69" t="s">
        <v>22</v>
      </c>
      <c r="B45" s="25" t="s">
        <v>48</v>
      </c>
      <c r="C45" s="75"/>
      <c r="D45" s="72"/>
      <c r="E45" s="28"/>
      <c r="F45" s="24"/>
      <c r="G45" s="24"/>
      <c r="H45" s="100">
        <f>5000*$A$9</f>
        <v>56842.499999999993</v>
      </c>
      <c r="I45" s="100">
        <f>5906*$A$9</f>
        <v>67142.36099999999</v>
      </c>
      <c r="J45" s="100">
        <f>5000*$A$9</f>
        <v>56842.499999999993</v>
      </c>
      <c r="K45" s="24"/>
      <c r="L45" s="24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</row>
    <row r="46" spans="1:56" s="73" customFormat="1" x14ac:dyDescent="0.2">
      <c r="A46" s="69" t="s">
        <v>108</v>
      </c>
      <c r="B46" s="25" t="s">
        <v>109</v>
      </c>
      <c r="C46" s="120"/>
      <c r="D46" s="72"/>
      <c r="E46" s="100">
        <v>33610.5</v>
      </c>
      <c r="F46" s="24"/>
      <c r="G46" s="24"/>
      <c r="H46" s="24"/>
      <c r="I46" s="24"/>
      <c r="J46" s="24"/>
      <c r="K46" s="24"/>
      <c r="L46" s="24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</row>
    <row r="47" spans="1:56" s="71" customFormat="1" x14ac:dyDescent="0.2">
      <c r="A47" s="69" t="s">
        <v>36</v>
      </c>
      <c r="B47" s="25" t="s">
        <v>37</v>
      </c>
      <c r="C47" s="125"/>
      <c r="D47" s="24"/>
      <c r="E47" s="103">
        <v>47480.33</v>
      </c>
      <c r="F47" s="24"/>
      <c r="G47" s="24"/>
      <c r="H47" s="121">
        <f>(1827.5/3)*$A$6</f>
        <v>47415.462166666664</v>
      </c>
      <c r="I47" s="121">
        <f>(1827.5/3)*$A$6</f>
        <v>47415.462166666664</v>
      </c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</row>
    <row r="48" spans="1:56" s="71" customFormat="1" x14ac:dyDescent="0.2">
      <c r="A48" s="69" t="s">
        <v>86</v>
      </c>
      <c r="B48" s="25" t="s">
        <v>35</v>
      </c>
      <c r="C48" s="70">
        <f>3250*$A$6</f>
        <v>252968.95</v>
      </c>
      <c r="D48" s="77"/>
      <c r="E48" s="24"/>
      <c r="G48" s="24"/>
      <c r="H48" s="95">
        <f>$C$48/5</f>
        <v>50593.79</v>
      </c>
      <c r="I48" s="95">
        <f>$C$48/5</f>
        <v>50593.79</v>
      </c>
      <c r="J48" s="95">
        <f>$C$48/5</f>
        <v>50593.79</v>
      </c>
      <c r="K48" s="95">
        <f>$C$48/5</f>
        <v>50593.79</v>
      </c>
      <c r="L48" s="24"/>
      <c r="N48" s="24"/>
      <c r="O48" s="24"/>
      <c r="P48" s="24"/>
      <c r="Q48" s="108">
        <f>$C$48/5+2400*A6</f>
        <v>237401.63</v>
      </c>
      <c r="R48" s="24"/>
      <c r="S48" s="100">
        <f>4050*A6</f>
        <v>315238.23000000004</v>
      </c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</row>
    <row r="49" spans="1:56" s="71" customFormat="1" x14ac:dyDescent="0.2">
      <c r="A49" s="69" t="s">
        <v>78</v>
      </c>
      <c r="B49" s="25" t="s">
        <v>79</v>
      </c>
      <c r="C49" s="70"/>
      <c r="D49" s="77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</row>
    <row r="50" spans="1:56" s="71" customFormat="1" x14ac:dyDescent="0.2">
      <c r="A50" s="69" t="s">
        <v>29</v>
      </c>
      <c r="B50" s="25" t="s">
        <v>42</v>
      </c>
      <c r="C50" s="70">
        <v>20000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</row>
    <row r="51" spans="1:56" s="71" customFormat="1" x14ac:dyDescent="0.2">
      <c r="A51" s="69" t="s">
        <v>29</v>
      </c>
      <c r="B51" s="25" t="s">
        <v>43</v>
      </c>
      <c r="C51" s="70">
        <v>439750</v>
      </c>
      <c r="D51" s="24"/>
      <c r="E51" s="28"/>
      <c r="F51" s="28"/>
      <c r="G51" s="28"/>
      <c r="H51" s="28"/>
      <c r="I51" s="28"/>
      <c r="J51" s="28"/>
      <c r="K51" s="28"/>
      <c r="L51" s="24"/>
      <c r="M51" s="24"/>
      <c r="N51" s="24"/>
      <c r="O51" s="95">
        <v>100000</v>
      </c>
      <c r="P51" s="24"/>
      <c r="Q51" s="95">
        <v>100000</v>
      </c>
      <c r="R51" s="95">
        <v>139750</v>
      </c>
      <c r="S51" s="95">
        <v>100000</v>
      </c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</row>
    <row r="52" spans="1:56" s="71" customFormat="1" x14ac:dyDescent="0.2">
      <c r="A52" s="69" t="s">
        <v>104</v>
      </c>
      <c r="B52" s="25" t="s">
        <v>105</v>
      </c>
      <c r="C52" s="70"/>
      <c r="D52" s="77"/>
      <c r="E52" s="100">
        <v>11712</v>
      </c>
      <c r="F52" s="28"/>
      <c r="G52" s="28"/>
      <c r="H52" s="28"/>
      <c r="I52" s="28"/>
      <c r="J52" s="28"/>
      <c r="K52" s="28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</row>
    <row r="53" spans="1:56" s="71" customFormat="1" x14ac:dyDescent="0.2">
      <c r="A53" s="69" t="s">
        <v>99</v>
      </c>
      <c r="B53" s="25" t="s">
        <v>100</v>
      </c>
      <c r="C53" s="70"/>
      <c r="D53" s="77"/>
      <c r="E53" s="100">
        <v>26355.58</v>
      </c>
      <c r="F53" s="24"/>
      <c r="G53" s="24"/>
      <c r="H53" s="100">
        <f>(581.75/2)*$A$3</f>
        <v>26435.098137499997</v>
      </c>
      <c r="I53" s="100">
        <f>(581.75/2)*$A$3</f>
        <v>26435.098137499997</v>
      </c>
      <c r="J53" s="100">
        <f>(581.75*$A$3)/2</f>
        <v>26435.098137499997</v>
      </c>
      <c r="K53" s="28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</row>
    <row r="54" spans="1:56" s="71" customFormat="1" x14ac:dyDescent="0.2">
      <c r="A54" s="69" t="s">
        <v>29</v>
      </c>
      <c r="B54" s="25" t="s">
        <v>55</v>
      </c>
      <c r="C54" s="70">
        <f>3530*A6</f>
        <v>274763.19800000003</v>
      </c>
      <c r="D54" s="24"/>
      <c r="E54" s="100">
        <f>530*A6</f>
        <v>41253.398000000001</v>
      </c>
      <c r="F54" s="24"/>
      <c r="G54" s="24"/>
      <c r="H54" s="95">
        <f>500*$A$6</f>
        <v>38918.300000000003</v>
      </c>
      <c r="I54" s="95">
        <f>500*$A$6</f>
        <v>38918.300000000003</v>
      </c>
      <c r="J54" s="95">
        <f>500*$A$6</f>
        <v>38918.300000000003</v>
      </c>
      <c r="K54" s="95">
        <f>500*$A$6</f>
        <v>38918.300000000003</v>
      </c>
      <c r="L54" s="24"/>
      <c r="M54" s="24"/>
      <c r="N54" s="24"/>
      <c r="O54" s="24"/>
      <c r="P54" s="95">
        <f>500*$A$6</f>
        <v>38918.300000000003</v>
      </c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</row>
    <row r="55" spans="1:56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>
        <v>1878</v>
      </c>
      <c r="V55" s="24"/>
      <c r="W55" s="24"/>
      <c r="X55" s="24"/>
      <c r="Y55" s="24"/>
      <c r="Z55" s="24"/>
      <c r="AA55" s="24"/>
      <c r="AB55" s="24"/>
      <c r="AC55" s="24"/>
      <c r="AD55" s="24"/>
      <c r="AE55" s="100">
        <v>2090</v>
      </c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</row>
    <row r="56" spans="1:56" s="71" customFormat="1" x14ac:dyDescent="0.2">
      <c r="A56" s="69" t="s">
        <v>90</v>
      </c>
      <c r="B56" s="25" t="s">
        <v>91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>
        <v>1012000</v>
      </c>
      <c r="V56" s="24"/>
      <c r="W56" s="24"/>
      <c r="X56" s="24"/>
      <c r="Y56" s="24"/>
      <c r="Z56" s="24"/>
      <c r="AA56" s="24">
        <v>1012000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</row>
    <row r="57" spans="1:56" s="71" customFormat="1" x14ac:dyDescent="0.2">
      <c r="A57" s="69" t="s">
        <v>106</v>
      </c>
      <c r="B57" s="25" t="s">
        <v>107</v>
      </c>
      <c r="C57" s="70"/>
      <c r="D57" s="77"/>
      <c r="E57" s="100">
        <v>20000</v>
      </c>
      <c r="F57" s="24"/>
      <c r="G57" s="24"/>
      <c r="H57" s="100">
        <v>20000</v>
      </c>
      <c r="I57" s="100">
        <v>10000</v>
      </c>
      <c r="J57" s="100">
        <v>20000</v>
      </c>
      <c r="K57" s="24"/>
      <c r="L57" s="100">
        <v>20000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</row>
    <row r="58" spans="1:56" s="71" customFormat="1" x14ac:dyDescent="0.2">
      <c r="A58" s="69" t="s">
        <v>102</v>
      </c>
      <c r="B58" s="25" t="s">
        <v>103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</row>
    <row r="59" spans="1:56" s="71" customFormat="1" x14ac:dyDescent="0.2">
      <c r="A59" s="69" t="s">
        <v>96</v>
      </c>
      <c r="B59" s="25"/>
      <c r="C59" s="70"/>
      <c r="D59" s="77"/>
      <c r="E59" s="100">
        <v>2765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</row>
    <row r="60" spans="1:56" s="71" customFormat="1" x14ac:dyDescent="0.2">
      <c r="A60" s="69" t="s">
        <v>94</v>
      </c>
      <c r="B60" s="25" t="s">
        <v>95</v>
      </c>
      <c r="C60" s="70"/>
      <c r="D60" s="77"/>
      <c r="E60" s="24"/>
      <c r="F60" s="24"/>
      <c r="G60" s="24"/>
      <c r="H60" s="112"/>
      <c r="I60" s="112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</row>
    <row r="61" spans="1:56" s="71" customFormat="1" x14ac:dyDescent="0.2">
      <c r="A61" s="69" t="s">
        <v>34</v>
      </c>
      <c r="B61" s="25" t="s">
        <v>45</v>
      </c>
      <c r="C61" s="70"/>
      <c r="D61" s="77"/>
      <c r="E61" s="124">
        <v>75000</v>
      </c>
      <c r="F61" s="24"/>
      <c r="G61" s="24"/>
      <c r="H61" s="106">
        <v>75000</v>
      </c>
      <c r="I61" s="106">
        <v>75000</v>
      </c>
      <c r="J61" s="106">
        <v>75000</v>
      </c>
      <c r="K61" s="106">
        <v>75000</v>
      </c>
      <c r="L61" s="106">
        <v>75000</v>
      </c>
      <c r="M61" s="24"/>
      <c r="N61" s="24"/>
      <c r="O61" s="106">
        <v>100000</v>
      </c>
      <c r="P61" s="108">
        <v>114400</v>
      </c>
      <c r="Q61" s="106">
        <v>100000</v>
      </c>
      <c r="R61" s="106">
        <v>100000</v>
      </c>
      <c r="S61" s="108">
        <v>325000</v>
      </c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</row>
    <row r="62" spans="1:56" s="71" customFormat="1" x14ac:dyDescent="0.2">
      <c r="A62" s="69" t="s">
        <v>81</v>
      </c>
      <c r="B62" s="25" t="s">
        <v>82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</row>
    <row r="63" spans="1:56" s="71" customFormat="1" x14ac:dyDescent="0.2">
      <c r="A63" s="69" t="s">
        <v>101</v>
      </c>
      <c r="B63" s="25"/>
      <c r="C63" s="70"/>
      <c r="D63" s="77"/>
      <c r="E63" s="24"/>
      <c r="F63" s="24"/>
      <c r="G63" s="24"/>
      <c r="H63" s="24"/>
      <c r="I63" s="100">
        <v>50000</v>
      </c>
      <c r="J63" s="24"/>
      <c r="K63" s="24"/>
      <c r="L63" s="24"/>
      <c r="M63" s="24"/>
      <c r="N63" s="24"/>
      <c r="O63" s="24"/>
      <c r="P63" s="24"/>
      <c r="Q63" s="100">
        <v>180000</v>
      </c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</row>
    <row r="64" spans="1:56" s="71" customFormat="1" x14ac:dyDescent="0.2">
      <c r="A64" s="69" t="s">
        <v>92</v>
      </c>
      <c r="B64" s="25" t="s">
        <v>93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</row>
    <row r="65" spans="1:56" s="71" customFormat="1" x14ac:dyDescent="0.2">
      <c r="A65" s="69" t="s">
        <v>38</v>
      </c>
      <c r="B65" s="25" t="s">
        <v>39</v>
      </c>
      <c r="C65" s="70">
        <f>432200-68000-25000</f>
        <v>339200</v>
      </c>
      <c r="D65" s="24"/>
      <c r="E65" s="100">
        <v>70000</v>
      </c>
      <c r="F65" s="24"/>
      <c r="G65" s="24"/>
      <c r="H65" s="95">
        <v>215000</v>
      </c>
      <c r="I65" s="95">
        <v>61500</v>
      </c>
      <c r="J65" s="95">
        <v>26400</v>
      </c>
      <c r="K65" s="24"/>
      <c r="L65" s="24"/>
      <c r="M65" s="24"/>
      <c r="N65" s="24"/>
      <c r="O65" s="28"/>
      <c r="P65" s="24"/>
      <c r="Q65" s="24"/>
      <c r="R65" s="100">
        <v>16000</v>
      </c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</row>
    <row r="66" spans="1:56" s="71" customFormat="1" x14ac:dyDescent="0.2">
      <c r="A66" s="69" t="s">
        <v>74</v>
      </c>
      <c r="B66" s="25" t="s">
        <v>83</v>
      </c>
      <c r="C66" s="70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98">
        <v>104492.6</v>
      </c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>
        <v>3567000</v>
      </c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</row>
    <row r="67" spans="1:56" s="73" customFormat="1" ht="2.25" customHeigh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 t="s">
        <v>89</v>
      </c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</row>
    <row r="68" spans="1:56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</row>
    <row r="69" spans="1:56" s="94" customFormat="1" ht="33.75" x14ac:dyDescent="0.2">
      <c r="A69" s="91" t="s">
        <v>60</v>
      </c>
      <c r="B69" s="92" t="s">
        <v>59</v>
      </c>
      <c r="C69" s="93">
        <v>0</v>
      </c>
      <c r="D69" s="93"/>
      <c r="E69" s="93"/>
      <c r="F69" s="93"/>
      <c r="G69" s="93"/>
      <c r="H69" s="93"/>
      <c r="I69" s="93"/>
      <c r="J69" s="93"/>
      <c r="K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</row>
    <row r="70" spans="1:56" s="5" customFormat="1" ht="2.25" customHeigh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</row>
    <row r="71" spans="1:56" s="5" customFormat="1" x14ac:dyDescent="0.2">
      <c r="A71" s="36" t="s">
        <v>49</v>
      </c>
      <c r="B71" s="12"/>
      <c r="C71" s="13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26">
        <v>3200000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>
        <v>1490000</v>
      </c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>
        <v>1490000</v>
      </c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</row>
    <row r="72" spans="1:56" s="5" customFormat="1" x14ac:dyDescent="0.2">
      <c r="A72" s="36" t="s">
        <v>57</v>
      </c>
      <c r="B72" s="12"/>
      <c r="C72" s="68">
        <v>1490000</v>
      </c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</row>
    <row r="73" spans="1:56" s="5" customFormat="1" x14ac:dyDescent="0.2">
      <c r="A73" s="36" t="s">
        <v>61</v>
      </c>
      <c r="B73" s="12"/>
      <c r="C73" s="68"/>
      <c r="D73" s="26"/>
      <c r="E73" s="13"/>
      <c r="F73" s="13">
        <v>390000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>
        <v>112000</v>
      </c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</row>
    <row r="74" spans="1:56" s="5" customFormat="1" ht="2.25" customHeight="1" x14ac:dyDescent="0.2">
      <c r="A74" s="42"/>
      <c r="B74" s="12"/>
      <c r="C74" s="68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</row>
    <row r="75" spans="1:56" s="5" customFormat="1" x14ac:dyDescent="0.2">
      <c r="A75" s="36" t="s">
        <v>72</v>
      </c>
      <c r="B75" s="27" t="s">
        <v>73</v>
      </c>
      <c r="C75" s="62">
        <v>3637079.2460000003</v>
      </c>
      <c r="D75" s="35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</row>
    <row r="76" spans="1:56" s="5" customFormat="1" ht="2.25" customHeight="1" x14ac:dyDescent="0.2">
      <c r="A76" s="42"/>
      <c r="B76" s="12"/>
      <c r="C76" s="61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</row>
    <row r="77" spans="1:56" s="84" customFormat="1" x14ac:dyDescent="0.2">
      <c r="A77" s="81" t="s">
        <v>66</v>
      </c>
      <c r="B77" s="82"/>
      <c r="C77" s="63"/>
      <c r="D77" s="83"/>
      <c r="E77" s="83">
        <f>$C$5+E16-E25</f>
        <v>4493371.5520000001</v>
      </c>
      <c r="F77" s="83">
        <f t="shared" ref="F77:BD77" si="3">E77+F16-F25</f>
        <v>4103371.5520000001</v>
      </c>
      <c r="G77" s="83">
        <f t="shared" si="3"/>
        <v>4103371.5520000001</v>
      </c>
      <c r="H77" s="83">
        <f t="shared" si="3"/>
        <v>2855927.3816958335</v>
      </c>
      <c r="I77" s="83">
        <f t="shared" si="3"/>
        <v>2269259.3561059525</v>
      </c>
      <c r="J77" s="83">
        <f t="shared" si="3"/>
        <v>1089017.5479684526</v>
      </c>
      <c r="K77" s="83">
        <f t="shared" si="3"/>
        <v>820826.89368273807</v>
      </c>
      <c r="L77" s="83">
        <f t="shared" si="3"/>
        <v>456192.11368273804</v>
      </c>
      <c r="M77" s="83">
        <f t="shared" si="3"/>
        <v>456192.11368273804</v>
      </c>
      <c r="N77" s="83">
        <f t="shared" si="3"/>
        <v>4784176.1259227376</v>
      </c>
      <c r="O77" s="83">
        <f t="shared" si="3"/>
        <v>4082083.1509227375</v>
      </c>
      <c r="P77" s="83">
        <f t="shared" si="3"/>
        <v>3148056.4709227374</v>
      </c>
      <c r="Q77" s="83">
        <f t="shared" si="3"/>
        <v>1602982.1909227374</v>
      </c>
      <c r="R77" s="83">
        <f t="shared" si="3"/>
        <v>1065469.5909227375</v>
      </c>
      <c r="S77" s="83">
        <f t="shared" si="3"/>
        <v>-364402.63907726249</v>
      </c>
      <c r="T77" s="83">
        <f t="shared" si="3"/>
        <v>-686259.74907726247</v>
      </c>
      <c r="U77" s="83">
        <f t="shared" si="3"/>
        <v>-1700137.7490772624</v>
      </c>
      <c r="V77" s="83">
        <f t="shared" si="3"/>
        <v>-1804601.7490772624</v>
      </c>
      <c r="W77" s="83">
        <f t="shared" si="3"/>
        <v>-4287541.7490772624</v>
      </c>
      <c r="X77" s="83">
        <f t="shared" si="3"/>
        <v>-4598941.7490772624</v>
      </c>
      <c r="Y77" s="83">
        <f t="shared" si="3"/>
        <v>-4598941.7490772624</v>
      </c>
      <c r="Z77" s="83">
        <f t="shared" si="3"/>
        <v>-5986890.7490772624</v>
      </c>
      <c r="AA77" s="83">
        <f t="shared" si="3"/>
        <v>-1476390.7490772624</v>
      </c>
      <c r="AB77" s="83">
        <f t="shared" si="3"/>
        <v>-1476390.7490772624</v>
      </c>
      <c r="AC77" s="83">
        <f t="shared" si="3"/>
        <v>-6318728.6490772627</v>
      </c>
      <c r="AD77" s="83">
        <f t="shared" si="3"/>
        <v>-6318728.6490772627</v>
      </c>
      <c r="AE77" s="83">
        <f t="shared" si="3"/>
        <v>-6436042.6490772627</v>
      </c>
      <c r="AF77" s="83">
        <f t="shared" si="3"/>
        <v>-6436042.6490772627</v>
      </c>
      <c r="AG77" s="83">
        <f t="shared" si="3"/>
        <v>-6436042.6490772627</v>
      </c>
      <c r="AH77" s="83">
        <f t="shared" si="3"/>
        <v>-6436042.6490772627</v>
      </c>
      <c r="AI77" s="83">
        <f t="shared" si="3"/>
        <v>-6796042.6490772627</v>
      </c>
      <c r="AJ77" s="83">
        <f t="shared" si="3"/>
        <v>-3615197.1490772627</v>
      </c>
      <c r="AK77" s="83">
        <f t="shared" si="3"/>
        <v>-3615197.1490772627</v>
      </c>
      <c r="AL77" s="83">
        <f t="shared" si="3"/>
        <v>-3615197.1490772627</v>
      </c>
      <c r="AM77" s="83">
        <f t="shared" si="3"/>
        <v>2777302.8509227373</v>
      </c>
      <c r="AN77" s="83">
        <f t="shared" si="3"/>
        <v>2777302.8509227373</v>
      </c>
      <c r="AO77" s="83">
        <f t="shared" si="3"/>
        <v>2777302.8509227373</v>
      </c>
      <c r="AP77" s="83">
        <f t="shared" si="3"/>
        <v>2777302.8509227373</v>
      </c>
      <c r="AQ77" s="83">
        <f t="shared" si="3"/>
        <v>2777302.8509227373</v>
      </c>
      <c r="AR77" s="83">
        <f t="shared" si="3"/>
        <v>2777302.8509227373</v>
      </c>
      <c r="AS77" s="83">
        <f t="shared" si="3"/>
        <v>2777302.8509227373</v>
      </c>
      <c r="AT77" s="83">
        <f t="shared" si="3"/>
        <v>2777302.8509227373</v>
      </c>
      <c r="AU77" s="83">
        <f t="shared" si="3"/>
        <v>2777302.8509227373</v>
      </c>
      <c r="AV77" s="83">
        <f t="shared" si="3"/>
        <v>2777302.8509227373</v>
      </c>
      <c r="AW77" s="83">
        <f t="shared" si="3"/>
        <v>2777302.8509227373</v>
      </c>
      <c r="AX77" s="83">
        <f t="shared" si="3"/>
        <v>2777302.8509227373</v>
      </c>
      <c r="AY77" s="83">
        <f t="shared" si="3"/>
        <v>2777302.8509227373</v>
      </c>
      <c r="AZ77" s="83">
        <f t="shared" si="3"/>
        <v>2777302.8509227373</v>
      </c>
      <c r="BA77" s="83">
        <f t="shared" si="3"/>
        <v>2777302.8509227373</v>
      </c>
      <c r="BB77" s="83">
        <f t="shared" si="3"/>
        <v>2777302.8509227373</v>
      </c>
      <c r="BC77" s="83">
        <f t="shared" si="3"/>
        <v>2777302.8509227373</v>
      </c>
      <c r="BD77" s="83">
        <f t="shared" si="3"/>
        <v>2777302.8509227373</v>
      </c>
    </row>
    <row r="79" spans="1:56" s="5" customFormat="1" ht="2.25" customHeight="1" x14ac:dyDescent="0.2">
      <c r="A79" s="42"/>
      <c r="B79" s="12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</row>
    <row r="80" spans="1:56" s="89" customFormat="1" ht="11.25" customHeight="1" x14ac:dyDescent="0.2">
      <c r="A80" s="85" t="s">
        <v>65</v>
      </c>
      <c r="B80" s="86"/>
      <c r="C80" s="87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</row>
    <row r="81" spans="1:56" s="5" customFormat="1" ht="22.5" x14ac:dyDescent="0.2">
      <c r="A81" s="36" t="s">
        <v>67</v>
      </c>
      <c r="B81" s="27" t="s">
        <v>68</v>
      </c>
      <c r="C81" s="68">
        <v>3221210.79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</row>
    <row r="82" spans="1:56" s="5" customFormat="1" x14ac:dyDescent="0.2">
      <c r="A82" s="36" t="s">
        <v>69</v>
      </c>
      <c r="B82" s="27" t="s">
        <v>70</v>
      </c>
      <c r="C82" s="68">
        <v>9814338.4000000004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</row>
    <row r="83" spans="1:56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</row>
    <row r="84" spans="1:56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</row>
    <row r="86" spans="1:56" x14ac:dyDescent="0.25">
      <c r="B86" s="14"/>
    </row>
  </sheetData>
  <pageMargins left="0.7" right="0.7" top="0.75" bottom="0.75" header="0.3" footer="0.3"/>
  <pageSetup paperSize="9" orientation="portrait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86"/>
  <sheetViews>
    <sheetView workbookViewId="0">
      <selection activeCell="C38" sqref="C38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7" width="11.7109375" style="3" customWidth="1"/>
    <col min="8" max="15" width="11.7109375" style="3" bestFit="1" customWidth="1"/>
    <col min="16" max="40" width="10.85546875" style="3" bestFit="1" customWidth="1"/>
    <col min="41" max="41" width="11.7109375" style="3" bestFit="1" customWidth="1"/>
    <col min="42" max="58" width="10.85546875" style="3" bestFit="1" customWidth="1"/>
    <col min="59" max="16384" width="9" style="3"/>
  </cols>
  <sheetData>
    <row r="1" spans="1:58" ht="12" thickBot="1" x14ac:dyDescent="0.3"/>
    <row r="2" spans="1:58" s="1" customFormat="1" x14ac:dyDescent="0.2">
      <c r="A2" s="43" t="s">
        <v>50</v>
      </c>
      <c r="B2" s="15" t="s">
        <v>27</v>
      </c>
      <c r="C2" s="50">
        <v>1199683.56</v>
      </c>
      <c r="E2" s="8"/>
      <c r="F2" s="8"/>
      <c r="G2" s="8"/>
      <c r="H2" s="8"/>
      <c r="I2" s="8"/>
      <c r="J2" s="8"/>
      <c r="K2" s="8"/>
    </row>
    <row r="3" spans="1:58" s="1" customFormat="1" ht="12" thickBot="1" x14ac:dyDescent="0.25">
      <c r="A3" s="44">
        <v>91.003399999999999</v>
      </c>
      <c r="B3" s="15" t="s">
        <v>28</v>
      </c>
      <c r="C3" s="50">
        <v>10778.95</v>
      </c>
      <c r="E3" s="9"/>
      <c r="F3" s="9"/>
      <c r="G3" s="9"/>
      <c r="H3" s="9"/>
      <c r="I3" s="9"/>
      <c r="J3" s="9"/>
      <c r="K3" s="9"/>
    </row>
    <row r="4" spans="1:58" s="8" customFormat="1" ht="12" thickBot="1" x14ac:dyDescent="0.25">
      <c r="A4" s="45"/>
      <c r="B4" s="15" t="s">
        <v>25</v>
      </c>
      <c r="C4" s="51">
        <v>0</v>
      </c>
    </row>
    <row r="5" spans="1:58" s="6" customFormat="1" x14ac:dyDescent="0.2">
      <c r="A5" s="43" t="s">
        <v>51</v>
      </c>
      <c r="B5" s="49" t="s">
        <v>26</v>
      </c>
      <c r="C5" s="52">
        <f>SUM(C2:C4)</f>
        <v>1210462.51</v>
      </c>
    </row>
    <row r="6" spans="1:58" s="6" customFormat="1" ht="12" thickBot="1" x14ac:dyDescent="0.25">
      <c r="A6" s="44">
        <v>78.727699999999999</v>
      </c>
      <c r="B6" s="16"/>
      <c r="C6" s="53"/>
      <c r="D6" s="17"/>
    </row>
    <row r="7" spans="1:58" s="6" customFormat="1" ht="12" thickBot="1" x14ac:dyDescent="0.25">
      <c r="A7" s="105" t="s">
        <v>51</v>
      </c>
      <c r="B7" s="18" t="s">
        <v>62</v>
      </c>
      <c r="C7" s="54">
        <f>SUM(E16:BF16)</f>
        <v>34183602.292319998</v>
      </c>
    </row>
    <row r="8" spans="1:58" x14ac:dyDescent="0.25">
      <c r="A8" s="43" t="s">
        <v>52</v>
      </c>
      <c r="B8" s="18" t="s">
        <v>84</v>
      </c>
      <c r="C8" s="54">
        <f>SUM(E24:BF25)</f>
        <v>31740371.623392854</v>
      </c>
    </row>
    <row r="9" spans="1:58" ht="12" thickBot="1" x14ac:dyDescent="0.3">
      <c r="A9" s="44">
        <v>11.4481</v>
      </c>
      <c r="B9" s="19" t="s">
        <v>64</v>
      </c>
      <c r="C9" s="55">
        <f>C5+C7-C8-C11</f>
        <v>-8770500.8481928594</v>
      </c>
    </row>
    <row r="10" spans="1:58" x14ac:dyDescent="0.25">
      <c r="A10" s="99" t="s">
        <v>80</v>
      </c>
      <c r="B10" s="18" t="s">
        <v>23</v>
      </c>
      <c r="C10" s="56">
        <f>C16</f>
        <v>4875000</v>
      </c>
    </row>
    <row r="11" spans="1:58" x14ac:dyDescent="0.25">
      <c r="A11" s="101" t="s">
        <v>87</v>
      </c>
      <c r="B11" s="18" t="s">
        <v>24</v>
      </c>
      <c r="C11" s="54">
        <f>C25</f>
        <v>12424194.027120002</v>
      </c>
    </row>
    <row r="12" spans="1:58" x14ac:dyDescent="0.25">
      <c r="A12" s="107" t="s">
        <v>88</v>
      </c>
    </row>
    <row r="13" spans="1:58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</row>
    <row r="14" spans="1:58" s="2" customFormat="1" x14ac:dyDescent="0.25">
      <c r="A14" s="64"/>
      <c r="B14" s="65"/>
      <c r="C14" s="58" t="s">
        <v>56</v>
      </c>
      <c r="D14" s="66"/>
      <c r="E14" s="66">
        <v>46120</v>
      </c>
      <c r="F14" s="66">
        <v>46121</v>
      </c>
      <c r="G14" s="66">
        <v>46122</v>
      </c>
      <c r="H14" s="66">
        <v>46123</v>
      </c>
      <c r="I14" s="66">
        <v>46124</v>
      </c>
      <c r="J14" s="66">
        <v>46125</v>
      </c>
      <c r="K14" s="66">
        <v>46126</v>
      </c>
      <c r="L14" s="66">
        <v>46127</v>
      </c>
      <c r="M14" s="66">
        <v>46128</v>
      </c>
      <c r="N14" s="66">
        <v>46129</v>
      </c>
      <c r="O14" s="66">
        <v>46130</v>
      </c>
      <c r="P14" s="66">
        <v>46131</v>
      </c>
      <c r="Q14" s="66">
        <v>46132</v>
      </c>
      <c r="R14" s="66">
        <v>46133</v>
      </c>
      <c r="S14" s="66">
        <v>46134</v>
      </c>
      <c r="T14" s="66">
        <v>46135</v>
      </c>
      <c r="U14" s="66">
        <v>46136</v>
      </c>
      <c r="V14" s="66">
        <v>46137</v>
      </c>
      <c r="W14" s="66">
        <v>46138</v>
      </c>
      <c r="X14" s="66">
        <v>46139</v>
      </c>
      <c r="Y14" s="66">
        <v>46140</v>
      </c>
      <c r="Z14" s="66">
        <v>46141</v>
      </c>
      <c r="AA14" s="66">
        <v>46142</v>
      </c>
      <c r="AB14" s="66">
        <v>46143</v>
      </c>
      <c r="AC14" s="66">
        <v>46144</v>
      </c>
      <c r="AD14" s="66">
        <v>46145</v>
      </c>
      <c r="AE14" s="66">
        <v>46146</v>
      </c>
      <c r="AF14" s="66">
        <v>46147</v>
      </c>
      <c r="AG14" s="66">
        <v>46148</v>
      </c>
      <c r="AH14" s="66">
        <v>46149</v>
      </c>
      <c r="AI14" s="66">
        <v>46150</v>
      </c>
      <c r="AJ14" s="66">
        <v>46151</v>
      </c>
      <c r="AK14" s="66">
        <v>46152</v>
      </c>
      <c r="AL14" s="66">
        <v>46153</v>
      </c>
      <c r="AM14" s="66">
        <v>46154</v>
      </c>
      <c r="AN14" s="66">
        <v>46155</v>
      </c>
      <c r="AO14" s="66">
        <v>46156</v>
      </c>
      <c r="AP14" s="66">
        <v>46157</v>
      </c>
      <c r="AQ14" s="66">
        <v>46158</v>
      </c>
      <c r="AR14" s="66">
        <v>46159</v>
      </c>
      <c r="AS14" s="66">
        <v>46160</v>
      </c>
      <c r="AT14" s="66">
        <v>46161</v>
      </c>
      <c r="AU14" s="66">
        <v>46162</v>
      </c>
      <c r="AV14" s="66">
        <v>46163</v>
      </c>
      <c r="AW14" s="66">
        <v>46164</v>
      </c>
      <c r="AX14" s="66">
        <v>46165</v>
      </c>
      <c r="AY14" s="66">
        <v>46166</v>
      </c>
      <c r="AZ14" s="66">
        <v>46167</v>
      </c>
      <c r="BA14" s="66">
        <v>46168</v>
      </c>
      <c r="BB14" s="66">
        <v>46169</v>
      </c>
      <c r="BC14" s="66">
        <v>46170</v>
      </c>
      <c r="BD14" s="66">
        <v>46171</v>
      </c>
      <c r="BE14" s="66">
        <v>46172</v>
      </c>
      <c r="BF14" s="66">
        <v>46173</v>
      </c>
    </row>
    <row r="15" spans="1:58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x14ac:dyDescent="0.25">
      <c r="A16" s="39" t="s">
        <v>0</v>
      </c>
      <c r="B16" s="20"/>
      <c r="C16" s="29">
        <f>SUM(C18:C23)</f>
        <v>4875000</v>
      </c>
      <c r="D16" s="29"/>
      <c r="E16" s="29">
        <f t="shared" ref="E16:AJ16" si="0">SUM(E17:E24)</f>
        <v>500000</v>
      </c>
      <c r="F16" s="29">
        <f t="shared" si="0"/>
        <v>500000</v>
      </c>
      <c r="G16" s="29">
        <f t="shared" si="0"/>
        <v>4875000</v>
      </c>
      <c r="H16" s="29">
        <f t="shared" si="0"/>
        <v>0</v>
      </c>
      <c r="I16" s="29">
        <f t="shared" si="0"/>
        <v>0</v>
      </c>
      <c r="J16" s="29">
        <f t="shared" si="0"/>
        <v>500000</v>
      </c>
      <c r="K16" s="29">
        <f t="shared" si="0"/>
        <v>1000000</v>
      </c>
      <c r="L16" s="29">
        <f t="shared" si="0"/>
        <v>500000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29">
        <f t="shared" si="0"/>
        <v>8203483.29232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7037500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29">
        <f>SUM(AK17:AK24)</f>
        <v>0</v>
      </c>
      <c r="AL16" s="29">
        <f t="shared" ref="AL16:BF16" si="1">SUM(AL17:AL24)</f>
        <v>3185119</v>
      </c>
      <c r="AM16" s="29">
        <f t="shared" si="1"/>
        <v>0</v>
      </c>
      <c r="AN16" s="29">
        <f t="shared" si="1"/>
        <v>0</v>
      </c>
      <c r="AO16" s="29">
        <f t="shared" si="1"/>
        <v>7882500</v>
      </c>
      <c r="AP16" s="29">
        <f t="shared" si="1"/>
        <v>0</v>
      </c>
      <c r="AQ16" s="29">
        <f t="shared" si="1"/>
        <v>0</v>
      </c>
      <c r="AR16" s="29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29">
        <f t="shared" si="1"/>
        <v>0</v>
      </c>
      <c r="AX16" s="29">
        <f t="shared" si="1"/>
        <v>0</v>
      </c>
      <c r="AY16" s="29">
        <f t="shared" si="1"/>
        <v>0</v>
      </c>
      <c r="AZ16" s="29">
        <f t="shared" si="1"/>
        <v>0</v>
      </c>
      <c r="BA16" s="29">
        <f t="shared" si="1"/>
        <v>0</v>
      </c>
      <c r="BB16" s="29">
        <f t="shared" si="1"/>
        <v>0</v>
      </c>
      <c r="BC16" s="29">
        <f t="shared" si="1"/>
        <v>0</v>
      </c>
      <c r="BD16" s="29">
        <f t="shared" si="1"/>
        <v>0</v>
      </c>
      <c r="BE16" s="29">
        <f t="shared" si="1"/>
        <v>0</v>
      </c>
      <c r="BF16" s="29">
        <f t="shared" si="1"/>
        <v>0</v>
      </c>
    </row>
    <row r="17" spans="1:58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80" customFormat="1" x14ac:dyDescent="0.25">
      <c r="A18" s="40" t="s">
        <v>9</v>
      </c>
      <c r="B18" s="21"/>
      <c r="C18" s="59"/>
      <c r="D18" s="30"/>
      <c r="E18" s="30">
        <v>500000</v>
      </c>
      <c r="F18" s="30">
        <v>500000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</row>
    <row r="19" spans="1:58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>
        <v>500000</v>
      </c>
      <c r="K19" s="30">
        <v>1000000</v>
      </c>
      <c r="L19" s="80">
        <v>500000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</row>
    <row r="20" spans="1:58" s="80" customFormat="1" ht="13.5" customHeight="1" x14ac:dyDescent="0.25">
      <c r="A20" s="40" t="s">
        <v>12</v>
      </c>
      <c r="B20" s="21"/>
      <c r="C20" s="32">
        <v>4875000</v>
      </c>
      <c r="D20" s="30"/>
      <c r="E20" s="30"/>
      <c r="F20" s="30"/>
      <c r="G20" s="32">
        <v>4875000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>
        <v>7037500</v>
      </c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>
        <v>7882500</v>
      </c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</row>
    <row r="21" spans="1:58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</row>
    <row r="22" spans="1:58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3">
        <f>90144.8*A3</f>
        <v>8203483.29232</v>
      </c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</row>
    <row r="23" spans="1:58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>
        <f>35000*A3</f>
        <v>3185119</v>
      </c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</row>
    <row r="24" spans="1:58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4" customFormat="1" x14ac:dyDescent="0.2">
      <c r="A25" s="41" t="s">
        <v>1</v>
      </c>
      <c r="B25" s="22"/>
      <c r="C25" s="34">
        <f>SUM(C27:C75)</f>
        <v>12424194.027120002</v>
      </c>
      <c r="D25" s="34"/>
      <c r="E25" s="34">
        <f t="shared" ref="E25:BF25" si="2">SUM(E26:E76)</f>
        <v>1925041.4142857143</v>
      </c>
      <c r="F25" s="34">
        <f t="shared" si="2"/>
        <v>810137.56757499999</v>
      </c>
      <c r="G25" s="34">
        <f t="shared" si="2"/>
        <v>4751523.1892964281</v>
      </c>
      <c r="H25" s="34">
        <f t="shared" si="2"/>
        <v>390000</v>
      </c>
      <c r="I25" s="34">
        <f t="shared" si="2"/>
        <v>0</v>
      </c>
      <c r="J25" s="34">
        <f t="shared" si="2"/>
        <v>1468376.4049999998</v>
      </c>
      <c r="K25" s="34">
        <f t="shared" si="2"/>
        <v>1178254.4992857142</v>
      </c>
      <c r="L25" s="34">
        <f t="shared" si="2"/>
        <v>1310347.648975</v>
      </c>
      <c r="M25" s="34">
        <f t="shared" si="2"/>
        <v>592275.61897499999</v>
      </c>
      <c r="N25" s="34">
        <f t="shared" si="2"/>
        <v>796175.48499999999</v>
      </c>
      <c r="O25" s="34">
        <f t="shared" si="2"/>
        <v>318847.185</v>
      </c>
      <c r="P25" s="34">
        <f t="shared" si="2"/>
        <v>2264492.6</v>
      </c>
      <c r="Q25" s="34">
        <f t="shared" si="2"/>
        <v>583932</v>
      </c>
      <c r="R25" s="34">
        <f t="shared" si="2"/>
        <v>494722</v>
      </c>
      <c r="S25" s="34">
        <f t="shared" si="2"/>
        <v>661282</v>
      </c>
      <c r="T25" s="34">
        <f t="shared" si="2"/>
        <v>315882</v>
      </c>
      <c r="U25" s="34">
        <f t="shared" si="2"/>
        <v>199882</v>
      </c>
      <c r="V25" s="34">
        <f t="shared" si="2"/>
        <v>321857.11</v>
      </c>
      <c r="W25" s="34">
        <f t="shared" si="2"/>
        <v>1013878</v>
      </c>
      <c r="X25" s="34">
        <f t="shared" si="2"/>
        <v>104464</v>
      </c>
      <c r="Y25" s="34">
        <f t="shared" si="2"/>
        <v>2000000</v>
      </c>
      <c r="Z25" s="34">
        <f t="shared" si="2"/>
        <v>311400</v>
      </c>
      <c r="AA25" s="34">
        <f t="shared" si="2"/>
        <v>0</v>
      </c>
      <c r="AB25" s="34">
        <f t="shared" si="2"/>
        <v>657949</v>
      </c>
      <c r="AC25" s="34">
        <f t="shared" si="2"/>
        <v>2527000</v>
      </c>
      <c r="AD25" s="34">
        <f t="shared" si="2"/>
        <v>0</v>
      </c>
      <c r="AE25" s="34">
        <f t="shared" si="2"/>
        <v>1275337.8999999999</v>
      </c>
      <c r="AF25" s="34">
        <f t="shared" si="2"/>
        <v>0</v>
      </c>
      <c r="AG25" s="34">
        <f t="shared" si="2"/>
        <v>3617314</v>
      </c>
      <c r="AH25" s="34">
        <f t="shared" si="2"/>
        <v>0</v>
      </c>
      <c r="AI25" s="34">
        <f t="shared" si="2"/>
        <v>0</v>
      </c>
      <c r="AJ25" s="34">
        <f t="shared" si="2"/>
        <v>0</v>
      </c>
      <c r="AK25" s="34">
        <f t="shared" si="2"/>
        <v>360000</v>
      </c>
      <c r="AL25" s="34">
        <f t="shared" si="2"/>
        <v>0</v>
      </c>
      <c r="AM25" s="34">
        <f t="shared" si="2"/>
        <v>0</v>
      </c>
      <c r="AN25" s="34">
        <f t="shared" si="2"/>
        <v>0</v>
      </c>
      <c r="AO25" s="34">
        <f t="shared" si="2"/>
        <v>1490000</v>
      </c>
      <c r="AP25" s="34">
        <f t="shared" si="2"/>
        <v>0</v>
      </c>
      <c r="AQ25" s="34">
        <f t="shared" si="2"/>
        <v>0</v>
      </c>
      <c r="AR25" s="34">
        <f t="shared" si="2"/>
        <v>0</v>
      </c>
      <c r="AS25" s="34">
        <f t="shared" si="2"/>
        <v>0</v>
      </c>
      <c r="AT25" s="34">
        <f t="shared" si="2"/>
        <v>0</v>
      </c>
      <c r="AU25" s="34">
        <f t="shared" si="2"/>
        <v>0</v>
      </c>
      <c r="AV25" s="34">
        <f t="shared" si="2"/>
        <v>0</v>
      </c>
      <c r="AW25" s="34">
        <f t="shared" si="2"/>
        <v>0</v>
      </c>
      <c r="AX25" s="34">
        <f t="shared" si="2"/>
        <v>0</v>
      </c>
      <c r="AY25" s="34">
        <f t="shared" si="2"/>
        <v>0</v>
      </c>
      <c r="AZ25" s="34">
        <f t="shared" si="2"/>
        <v>0</v>
      </c>
      <c r="BA25" s="34">
        <f t="shared" si="2"/>
        <v>0</v>
      </c>
      <c r="BB25" s="34">
        <f t="shared" si="2"/>
        <v>0</v>
      </c>
      <c r="BC25" s="34">
        <f t="shared" si="2"/>
        <v>0</v>
      </c>
      <c r="BD25" s="34">
        <f t="shared" si="2"/>
        <v>0</v>
      </c>
      <c r="BE25" s="34">
        <f t="shared" si="2"/>
        <v>0</v>
      </c>
      <c r="BF25" s="34">
        <f t="shared" si="2"/>
        <v>0</v>
      </c>
    </row>
    <row r="26" spans="1:58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</row>
    <row r="27" spans="1:58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90">
        <v>2000000</v>
      </c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s="1" customFormat="1" x14ac:dyDescent="0.2">
      <c r="A31" s="36" t="s">
        <v>7</v>
      </c>
      <c r="B31" s="23" t="s">
        <v>8</v>
      </c>
      <c r="C31" s="60"/>
      <c r="D31" s="24"/>
      <c r="E31" s="114">
        <v>900000</v>
      </c>
      <c r="F31" s="24"/>
      <c r="G31" s="114">
        <v>360000</v>
      </c>
      <c r="H31" s="24"/>
      <c r="I31" s="24"/>
      <c r="J31" s="24"/>
      <c r="K31" s="24"/>
      <c r="L31" s="24"/>
      <c r="M31" s="24"/>
      <c r="N31" s="24"/>
      <c r="O31" s="24"/>
      <c r="P31" s="24">
        <v>560000</v>
      </c>
      <c r="Q31" s="24"/>
      <c r="R31" s="24"/>
      <c r="S31" s="24"/>
      <c r="T31" s="24"/>
      <c r="U31" s="24"/>
      <c r="V31" s="24">
        <f>643714.22/2</f>
        <v>321857.11</v>
      </c>
      <c r="W31" s="24"/>
      <c r="X31" s="24"/>
      <c r="Y31" s="24"/>
      <c r="Z31" s="24"/>
      <c r="AA31" s="24"/>
      <c r="AB31" s="24"/>
      <c r="AC31" s="24"/>
      <c r="AD31" s="24"/>
      <c r="AE31" s="24">
        <v>560000</v>
      </c>
      <c r="AF31" s="24"/>
      <c r="AG31" s="24"/>
      <c r="AH31" s="24"/>
      <c r="AI31" s="24"/>
      <c r="AJ31" s="24"/>
      <c r="AK31" s="24">
        <v>360000</v>
      </c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s="1" customFormat="1" x14ac:dyDescent="0.2">
      <c r="A32" s="36" t="s">
        <v>54</v>
      </c>
      <c r="B32" s="23"/>
      <c r="C32" s="60"/>
      <c r="D32" s="24"/>
      <c r="E32" s="24">
        <v>100113.9</v>
      </c>
      <c r="F32" s="24"/>
      <c r="G32" s="24">
        <v>100000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s="1" customFormat="1" x14ac:dyDescent="0.2">
      <c r="A33" s="36" t="s">
        <v>71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>
        <v>200113.9</v>
      </c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" customFormat="1" x14ac:dyDescent="0.2">
      <c r="A34" s="36" t="s">
        <v>53</v>
      </c>
      <c r="B34" s="23"/>
      <c r="C34" s="60"/>
      <c r="D34" s="24"/>
      <c r="E34" s="111">
        <v>100000</v>
      </c>
      <c r="F34" s="111">
        <v>100000</v>
      </c>
      <c r="G34" s="111">
        <f>145949.5+50000+50000</f>
        <v>245949.5</v>
      </c>
      <c r="H34" s="24"/>
      <c r="I34" s="24"/>
      <c r="J34" s="24"/>
      <c r="K34" s="24"/>
      <c r="L34" s="24"/>
      <c r="M34" s="24"/>
      <c r="N34" s="24"/>
      <c r="O34" s="24"/>
      <c r="P34" s="24"/>
      <c r="Q34" s="24">
        <v>80000</v>
      </c>
      <c r="R34" s="24">
        <v>80000</v>
      </c>
      <c r="S34" s="24">
        <v>50000</v>
      </c>
      <c r="T34" s="24"/>
      <c r="U34" s="24"/>
      <c r="V34" s="24"/>
      <c r="W34" s="24"/>
      <c r="X34" s="24"/>
      <c r="Y34" s="24"/>
      <c r="Z34" s="24"/>
      <c r="AA34" s="24"/>
      <c r="AB34" s="24">
        <v>545949</v>
      </c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71" customFormat="1" x14ac:dyDescent="0.2">
      <c r="A36" s="69" t="s">
        <v>14</v>
      </c>
      <c r="B36" s="25" t="s">
        <v>30</v>
      </c>
      <c r="C36" s="70"/>
      <c r="D36" s="24"/>
      <c r="E36" s="24"/>
      <c r="F36" s="24"/>
      <c r="G36" s="24"/>
      <c r="H36" s="24"/>
      <c r="I36" s="24"/>
      <c r="J36" s="24"/>
      <c r="K36" s="24"/>
      <c r="L36" s="24">
        <v>730000</v>
      </c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71" customFormat="1" x14ac:dyDescent="0.2">
      <c r="A37" s="69" t="s">
        <v>97</v>
      </c>
      <c r="B37" s="25" t="s">
        <v>98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100">
        <v>311400</v>
      </c>
      <c r="T37" s="24"/>
      <c r="U37" s="24"/>
      <c r="V37" s="24"/>
      <c r="W37" s="24"/>
      <c r="X37" s="24"/>
      <c r="Y37" s="24"/>
      <c r="Z37" s="100">
        <v>311400</v>
      </c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71" customFormat="1" x14ac:dyDescent="0.2">
      <c r="A38" s="69" t="s">
        <v>17</v>
      </c>
      <c r="B38" s="25" t="s">
        <v>41</v>
      </c>
      <c r="C38" s="70">
        <f>1575440-25000-25000</f>
        <v>1525440</v>
      </c>
      <c r="D38" s="24"/>
      <c r="E38" s="95">
        <v>75000</v>
      </c>
      <c r="F38" s="95">
        <v>100000</v>
      </c>
      <c r="G38" s="95">
        <v>250000</v>
      </c>
      <c r="H38" s="24"/>
      <c r="I38" s="24"/>
      <c r="J38" s="95">
        <v>200000</v>
      </c>
      <c r="K38" s="95">
        <v>100000</v>
      </c>
      <c r="L38" s="95">
        <v>100000</v>
      </c>
      <c r="M38" s="95">
        <v>100000</v>
      </c>
      <c r="N38" s="95">
        <f>195950+125000</f>
        <v>320950</v>
      </c>
      <c r="O38" s="24"/>
      <c r="P38" s="24"/>
      <c r="Q38" s="95">
        <v>154050</v>
      </c>
      <c r="R38" s="108">
        <v>100440</v>
      </c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</row>
    <row r="39" spans="1:58" s="71" customFormat="1" x14ac:dyDescent="0.2">
      <c r="A39" s="69" t="s">
        <v>15</v>
      </c>
      <c r="B39" s="25" t="s">
        <v>31</v>
      </c>
      <c r="C39" s="70">
        <f>994688-75000-25000</f>
        <v>894688</v>
      </c>
      <c r="D39" s="24"/>
      <c r="E39" s="108">
        <v>50000</v>
      </c>
      <c r="F39" s="108">
        <v>100000</v>
      </c>
      <c r="G39" s="108">
        <f>90224+75000</f>
        <v>165224</v>
      </c>
      <c r="H39" s="24"/>
      <c r="I39" s="24"/>
      <c r="J39" s="108">
        <v>100000</v>
      </c>
      <c r="K39" s="108">
        <v>75000</v>
      </c>
      <c r="L39" s="108">
        <v>50000</v>
      </c>
      <c r="M39" s="108">
        <v>100000</v>
      </c>
      <c r="N39" s="108">
        <v>115224</v>
      </c>
      <c r="O39" s="24"/>
      <c r="P39" s="24"/>
      <c r="Q39" s="108">
        <v>100000</v>
      </c>
      <c r="R39" s="108">
        <v>100000</v>
      </c>
      <c r="S39" s="108">
        <v>100000</v>
      </c>
      <c r="T39" s="108">
        <v>100000</v>
      </c>
      <c r="U39" s="108">
        <v>100000</v>
      </c>
      <c r="V39" s="24"/>
      <c r="W39" s="24"/>
      <c r="X39" s="108">
        <v>104464</v>
      </c>
      <c r="Y39" s="24"/>
      <c r="Z39" s="24"/>
      <c r="AA39" s="24"/>
      <c r="AB39" s="24"/>
      <c r="AC39" s="24">
        <v>25000</v>
      </c>
      <c r="AD39" s="24"/>
      <c r="AE39" s="98">
        <v>515224</v>
      </c>
      <c r="AF39" s="24"/>
      <c r="AG39" s="24">
        <v>115224</v>
      </c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</row>
    <row r="40" spans="1:58" s="71" customFormat="1" x14ac:dyDescent="0.2">
      <c r="A40" s="69" t="s">
        <v>18</v>
      </c>
      <c r="B40" s="25" t="s">
        <v>32</v>
      </c>
      <c r="C40" s="70"/>
      <c r="D40" s="24"/>
      <c r="E40" s="28"/>
      <c r="F40" s="28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</row>
    <row r="41" spans="1:58" s="73" customFormat="1" x14ac:dyDescent="0.2">
      <c r="A41" s="69" t="s">
        <v>21</v>
      </c>
      <c r="B41" s="25" t="s">
        <v>45</v>
      </c>
      <c r="C41" s="70">
        <f>110000*A9</f>
        <v>1259291</v>
      </c>
      <c r="D41" s="72"/>
      <c r="E41" s="95">
        <f>1305799/7</f>
        <v>186542.71428571429</v>
      </c>
      <c r="F41" s="95">
        <v>100000</v>
      </c>
      <c r="G41" s="95">
        <f>(1305799/7)*2</f>
        <v>373085.42857142858</v>
      </c>
      <c r="H41" s="24"/>
      <c r="I41" s="24"/>
      <c r="J41" s="95">
        <f>71054.71+69756.71+100000</f>
        <v>240811.42</v>
      </c>
      <c r="K41" s="95">
        <f>1305799/7+5533</f>
        <v>192075.71428571429</v>
      </c>
      <c r="L41" s="95">
        <f>5000*A9</f>
        <v>57240.5</v>
      </c>
      <c r="M41" s="24"/>
      <c r="N41" s="24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</row>
    <row r="42" spans="1:58" s="71" customFormat="1" x14ac:dyDescent="0.2">
      <c r="A42" s="69" t="s">
        <v>19</v>
      </c>
      <c r="B42" s="25" t="s">
        <v>46</v>
      </c>
      <c r="C42" s="70">
        <v>950509.15</v>
      </c>
      <c r="D42" s="24"/>
      <c r="E42" s="95">
        <v>100000</v>
      </c>
      <c r="F42" s="95">
        <v>75000</v>
      </c>
      <c r="G42" s="95">
        <v>200000</v>
      </c>
      <c r="H42" s="24"/>
      <c r="I42" s="24"/>
      <c r="J42" s="24">
        <v>305134</v>
      </c>
      <c r="K42" s="24">
        <v>150000</v>
      </c>
      <c r="L42" s="24">
        <v>49181.53</v>
      </c>
      <c r="M42" s="95">
        <v>75000</v>
      </c>
      <c r="N42" s="24"/>
      <c r="O42" s="24"/>
      <c r="P42" s="24"/>
      <c r="Q42" s="24">
        <v>50000</v>
      </c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</row>
    <row r="43" spans="1:58" s="71" customFormat="1" x14ac:dyDescent="0.2">
      <c r="A43" s="69" t="s">
        <v>16</v>
      </c>
      <c r="B43" s="25" t="s">
        <v>32</v>
      </c>
      <c r="C43" s="70">
        <f>231200+665880-25000-50000-25000</f>
        <v>797080</v>
      </c>
      <c r="D43" s="24"/>
      <c r="E43" s="95">
        <v>40000</v>
      </c>
      <c r="F43" s="95">
        <v>25000</v>
      </c>
      <c r="G43" s="95">
        <f>40600+499410</f>
        <v>540010</v>
      </c>
      <c r="H43" s="24"/>
      <c r="I43" s="24"/>
      <c r="J43" s="28">
        <f>66588+33294</f>
        <v>99882</v>
      </c>
      <c r="K43" s="28">
        <f>66588+33294</f>
        <v>99882</v>
      </c>
      <c r="L43" s="28">
        <f>66588+33294</f>
        <v>99882</v>
      </c>
      <c r="M43" s="28">
        <f>66588+33294</f>
        <v>99882</v>
      </c>
      <c r="N43" s="28">
        <f>66588+33294</f>
        <v>99882</v>
      </c>
      <c r="O43" s="28"/>
      <c r="P43" s="28"/>
      <c r="Q43" s="28">
        <f>66588+33294</f>
        <v>99882</v>
      </c>
      <c r="R43" s="28">
        <f>66588+33294</f>
        <v>99882</v>
      </c>
      <c r="S43" s="28">
        <f>66588+33294</f>
        <v>99882</v>
      </c>
      <c r="T43" s="28">
        <f>66588+33294</f>
        <v>99882</v>
      </c>
      <c r="U43" s="28">
        <f>66588+33294</f>
        <v>99882</v>
      </c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</row>
    <row r="44" spans="1:58" s="71" customFormat="1" x14ac:dyDescent="0.2">
      <c r="A44" s="69" t="s">
        <v>85</v>
      </c>
      <c r="B44" s="25" t="s">
        <v>47</v>
      </c>
      <c r="C44" s="70">
        <f>277152.75-750*A6-500*A6</f>
        <v>178743.125</v>
      </c>
      <c r="D44" s="24"/>
      <c r="E44" s="95">
        <v>56144.3</v>
      </c>
      <c r="F44" s="95">
        <f>26372.55+250*A6</f>
        <v>46054.474999999999</v>
      </c>
      <c r="G44" s="28">
        <f>500*A6</f>
        <v>39363.85</v>
      </c>
      <c r="I44" s="24"/>
      <c r="J44" s="100">
        <f>25000+10572.75+500*A6</f>
        <v>74936.600000000006</v>
      </c>
      <c r="K44" s="100">
        <v>218623.78</v>
      </c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</row>
    <row r="45" spans="1:58" s="73" customFormat="1" x14ac:dyDescent="0.2">
      <c r="A45" s="69" t="s">
        <v>22</v>
      </c>
      <c r="B45" s="25" t="s">
        <v>48</v>
      </c>
      <c r="C45" s="75"/>
      <c r="D45" s="72"/>
      <c r="E45" s="100">
        <f>5000*$A$9</f>
        <v>57240.5</v>
      </c>
      <c r="F45" s="100">
        <f>5906*$A$9</f>
        <v>67612.478600000002</v>
      </c>
      <c r="G45" s="100">
        <f>5000*$A$9</f>
        <v>57240.5</v>
      </c>
      <c r="H45" s="24"/>
      <c r="I45" s="24"/>
      <c r="J45" s="24"/>
      <c r="K45" s="24"/>
      <c r="L45" s="24"/>
      <c r="M45" s="24"/>
      <c r="N45" s="24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</row>
    <row r="46" spans="1:58" s="73" customFormat="1" x14ac:dyDescent="0.2">
      <c r="A46" s="69" t="s">
        <v>108</v>
      </c>
      <c r="B46" s="25" t="s">
        <v>109</v>
      </c>
      <c r="C46" s="120"/>
      <c r="D46" s="72"/>
      <c r="E46" s="28"/>
      <c r="F46" s="28"/>
      <c r="G46" s="100">
        <v>33610.5</v>
      </c>
      <c r="H46" s="24"/>
      <c r="I46" s="24"/>
      <c r="J46" s="24"/>
      <c r="K46" s="24"/>
      <c r="L46" s="24"/>
      <c r="M46" s="24"/>
      <c r="N46" s="24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</row>
    <row r="47" spans="1:58" s="71" customFormat="1" x14ac:dyDescent="0.2">
      <c r="A47" s="69" t="s">
        <v>36</v>
      </c>
      <c r="B47" s="25" t="s">
        <v>37</v>
      </c>
      <c r="C47" s="70"/>
      <c r="D47" s="24"/>
      <c r="E47" s="24"/>
      <c r="F47" s="28"/>
      <c r="G47" s="121">
        <f>2577.5*$A$6-500*A6</f>
        <v>163556.79674999998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</row>
    <row r="48" spans="1:58" s="71" customFormat="1" x14ac:dyDescent="0.2">
      <c r="A48" s="69" t="s">
        <v>86</v>
      </c>
      <c r="B48" s="25" t="s">
        <v>35</v>
      </c>
      <c r="C48" s="70">
        <f>3250*$A$6</f>
        <v>255865.02499999999</v>
      </c>
      <c r="D48" s="77"/>
      <c r="E48" s="24"/>
      <c r="F48" s="24"/>
      <c r="G48" s="24"/>
      <c r="I48" s="24"/>
      <c r="J48" s="95">
        <f>$C$48/5</f>
        <v>51173.004999999997</v>
      </c>
      <c r="K48" s="95">
        <f>$C$48/5</f>
        <v>51173.004999999997</v>
      </c>
      <c r="L48" s="95">
        <f>$C$48/5</f>
        <v>51173.004999999997</v>
      </c>
      <c r="M48" s="95">
        <f>$C$48/5</f>
        <v>51173.004999999997</v>
      </c>
      <c r="N48" s="108">
        <f>$C$48/5+2400*A6</f>
        <v>240119.48500000002</v>
      </c>
      <c r="O48" s="100">
        <f>4050*A6</f>
        <v>318847.185</v>
      </c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</row>
    <row r="49" spans="1:58" s="71" customFormat="1" x14ac:dyDescent="0.2">
      <c r="A49" s="69" t="s">
        <v>78</v>
      </c>
      <c r="B49" s="25" t="s">
        <v>79</v>
      </c>
      <c r="C49" s="70"/>
      <c r="D49" s="77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</row>
    <row r="50" spans="1:58" s="71" customFormat="1" x14ac:dyDescent="0.2">
      <c r="A50" s="69" t="s">
        <v>29</v>
      </c>
      <c r="B50" s="25" t="s">
        <v>42</v>
      </c>
      <c r="C50" s="70">
        <v>20000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</row>
    <row r="51" spans="1:58" s="71" customFormat="1" x14ac:dyDescent="0.2">
      <c r="A51" s="69" t="s">
        <v>29</v>
      </c>
      <c r="B51" s="25" t="s">
        <v>43</v>
      </c>
      <c r="C51" s="70">
        <v>439750</v>
      </c>
      <c r="D51" s="24"/>
      <c r="E51" s="95">
        <v>100000</v>
      </c>
      <c r="F51" s="24"/>
      <c r="G51" s="95">
        <v>100000</v>
      </c>
      <c r="H51" s="24"/>
      <c r="I51" s="24"/>
      <c r="J51" s="24"/>
      <c r="K51" s="24"/>
      <c r="L51" s="95">
        <v>100000</v>
      </c>
      <c r="M51" s="95">
        <v>139750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</row>
    <row r="52" spans="1:58" s="71" customFormat="1" x14ac:dyDescent="0.2">
      <c r="A52" s="69" t="s">
        <v>104</v>
      </c>
      <c r="B52" s="25" t="s">
        <v>105</v>
      </c>
      <c r="C52" s="70"/>
      <c r="D52" s="77"/>
      <c r="F52" s="24"/>
      <c r="G52" s="100">
        <v>11712</v>
      </c>
      <c r="H52" s="28"/>
      <c r="I52" s="28"/>
      <c r="J52" s="28"/>
      <c r="K52" s="28"/>
      <c r="L52" s="28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</row>
    <row r="53" spans="1:58" s="71" customFormat="1" x14ac:dyDescent="0.2">
      <c r="A53" s="69" t="s">
        <v>99</v>
      </c>
      <c r="B53" s="25" t="s">
        <v>100</v>
      </c>
      <c r="C53" s="70"/>
      <c r="D53" s="77"/>
      <c r="E53" s="28"/>
      <c r="F53" s="100">
        <f>(581.75/2)*$A$3</f>
        <v>26470.613975</v>
      </c>
      <c r="G53" s="100">
        <f>(581.75/2)*$A$3</f>
        <v>26470.613975</v>
      </c>
      <c r="H53" s="24"/>
      <c r="I53" s="24"/>
      <c r="J53" s="24"/>
      <c r="K53" s="24"/>
      <c r="L53" s="100">
        <f>(581.75*$A$3)/2</f>
        <v>26470.613975</v>
      </c>
      <c r="M53" s="100">
        <f>(581.75*$A$3)/2</f>
        <v>26470.613975</v>
      </c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</row>
    <row r="54" spans="1:58" s="71" customFormat="1" x14ac:dyDescent="0.2">
      <c r="A54" s="69" t="s">
        <v>29</v>
      </c>
      <c r="B54" s="25" t="s">
        <v>55</v>
      </c>
      <c r="C54" s="76">
        <f>3530*A6</f>
        <v>277908.78100000002</v>
      </c>
      <c r="D54" s="24"/>
      <c r="E54" s="95">
        <v>50000</v>
      </c>
      <c r="F54" s="24"/>
      <c r="G54" s="95">
        <v>75000</v>
      </c>
      <c r="H54" s="24"/>
      <c r="I54" s="24"/>
      <c r="J54" s="95">
        <v>161439.38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</row>
    <row r="55" spans="1:58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>
        <v>1878</v>
      </c>
      <c r="X55" s="24"/>
      <c r="Y55" s="24"/>
      <c r="Z55" s="24"/>
      <c r="AA55" s="24"/>
      <c r="AB55" s="24"/>
      <c r="AC55" s="24"/>
      <c r="AD55" s="24"/>
      <c r="AE55" s="24"/>
      <c r="AF55" s="24"/>
      <c r="AG55" s="100">
        <v>2090</v>
      </c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</row>
    <row r="56" spans="1:58" s="71" customFormat="1" x14ac:dyDescent="0.2">
      <c r="A56" s="69" t="s">
        <v>90</v>
      </c>
      <c r="B56" s="25" t="s">
        <v>91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>
        <v>1012000</v>
      </c>
      <c r="X56" s="24"/>
      <c r="Y56" s="24"/>
      <c r="Z56" s="24"/>
      <c r="AA56" s="24"/>
      <c r="AB56" s="24"/>
      <c r="AC56" s="24">
        <v>1012000</v>
      </c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</row>
    <row r="57" spans="1:58" s="71" customFormat="1" x14ac:dyDescent="0.2">
      <c r="A57" s="69" t="s">
        <v>106</v>
      </c>
      <c r="B57" s="25" t="s">
        <v>107</v>
      </c>
      <c r="C57" s="70"/>
      <c r="D57" s="77"/>
      <c r="E57" s="100">
        <v>10000</v>
      </c>
      <c r="F57" s="100">
        <v>20000</v>
      </c>
      <c r="G57" s="24"/>
      <c r="H57" s="24"/>
      <c r="I57" s="24"/>
      <c r="J57" s="100">
        <v>20000</v>
      </c>
      <c r="K57" s="24"/>
      <c r="L57" s="100">
        <v>20000</v>
      </c>
      <c r="M57" s="24"/>
      <c r="N57" s="100">
        <v>20000</v>
      </c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</row>
    <row r="58" spans="1:58" s="71" customFormat="1" x14ac:dyDescent="0.2">
      <c r="A58" s="69" t="s">
        <v>102</v>
      </c>
      <c r="B58" s="25" t="s">
        <v>103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</row>
    <row r="59" spans="1:58" s="71" customFormat="1" x14ac:dyDescent="0.2">
      <c r="A59" s="69" t="s">
        <v>96</v>
      </c>
      <c r="B59" s="25"/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</row>
    <row r="60" spans="1:58" s="71" customFormat="1" x14ac:dyDescent="0.2">
      <c r="A60" s="69" t="s">
        <v>94</v>
      </c>
      <c r="B60" s="25" t="s">
        <v>95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</row>
    <row r="61" spans="1:58" s="71" customFormat="1" x14ac:dyDescent="0.2">
      <c r="A61" s="69" t="s">
        <v>34</v>
      </c>
      <c r="B61" s="25" t="s">
        <v>45</v>
      </c>
      <c r="C61" s="70"/>
      <c r="D61" s="77"/>
      <c r="E61" s="106">
        <v>100000</v>
      </c>
      <c r="F61" s="106">
        <v>150000</v>
      </c>
      <c r="G61" s="106">
        <v>475000</v>
      </c>
      <c r="H61" s="24"/>
      <c r="I61" s="24"/>
      <c r="J61" s="112"/>
      <c r="N61" s="24"/>
      <c r="O61" s="24"/>
      <c r="P61" s="24"/>
      <c r="Q61" s="106">
        <v>100000</v>
      </c>
      <c r="R61" s="108">
        <v>114400</v>
      </c>
      <c r="S61" s="106">
        <v>100000</v>
      </c>
      <c r="T61" s="106">
        <v>100000</v>
      </c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</row>
    <row r="62" spans="1:58" s="71" customFormat="1" x14ac:dyDescent="0.2">
      <c r="A62" s="69" t="s">
        <v>81</v>
      </c>
      <c r="B62" s="25" t="s">
        <v>82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</row>
    <row r="63" spans="1:58" s="71" customFormat="1" x14ac:dyDescent="0.2">
      <c r="A63" s="69" t="s">
        <v>101</v>
      </c>
      <c r="B63" s="25"/>
      <c r="C63" s="70"/>
      <c r="D63" s="77"/>
      <c r="E63" s="24"/>
      <c r="F63" s="24"/>
      <c r="G63" s="24"/>
      <c r="H63" s="24"/>
      <c r="I63" s="24"/>
      <c r="J63" s="24"/>
      <c r="K63" s="100">
        <v>230000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</row>
    <row r="64" spans="1:58" s="71" customFormat="1" x14ac:dyDescent="0.2">
      <c r="A64" s="69" t="s">
        <v>92</v>
      </c>
      <c r="B64" s="25" t="s">
        <v>93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</row>
    <row r="65" spans="1:58" s="71" customFormat="1" x14ac:dyDescent="0.2">
      <c r="A65" s="69" t="s">
        <v>38</v>
      </c>
      <c r="B65" s="25" t="s">
        <v>39</v>
      </c>
      <c r="C65" s="70">
        <f>432200-68000-25000</f>
        <v>339200</v>
      </c>
      <c r="D65" s="24"/>
      <c r="E65" s="28"/>
      <c r="F65" s="28"/>
      <c r="G65" s="95">
        <v>45300</v>
      </c>
      <c r="H65" s="24"/>
      <c r="I65" s="24"/>
      <c r="J65" s="95">
        <v>215000</v>
      </c>
      <c r="K65" s="95">
        <v>61500</v>
      </c>
      <c r="L65" s="95">
        <v>26400</v>
      </c>
      <c r="M65" s="24"/>
      <c r="N65" s="24"/>
      <c r="O65" s="24"/>
      <c r="P65" s="24"/>
      <c r="Q65" s="28"/>
      <c r="R65" s="24"/>
      <c r="S65" s="24"/>
      <c r="T65" s="100">
        <v>16000</v>
      </c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</row>
    <row r="66" spans="1:58" s="71" customFormat="1" x14ac:dyDescent="0.2">
      <c r="A66" s="69" t="s">
        <v>74</v>
      </c>
      <c r="B66" s="25" t="s">
        <v>83</v>
      </c>
      <c r="C66" s="70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98">
        <v>104492.6</v>
      </c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>
        <v>3500000</v>
      </c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</row>
    <row r="67" spans="1:58" s="73" customFormat="1" ht="2.25" customHeigh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 t="s">
        <v>89</v>
      </c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</row>
    <row r="68" spans="1:58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</row>
    <row r="69" spans="1:58" s="94" customFormat="1" ht="33.75" x14ac:dyDescent="0.2">
      <c r="A69" s="91" t="s">
        <v>60</v>
      </c>
      <c r="B69" s="92" t="s">
        <v>59</v>
      </c>
      <c r="C69" s="93">
        <v>0</v>
      </c>
      <c r="D69" s="93"/>
      <c r="E69" s="93"/>
      <c r="F69" s="93"/>
      <c r="G69" s="93"/>
      <c r="H69" s="93"/>
      <c r="I69" s="93"/>
      <c r="J69" s="93"/>
      <c r="K69" s="93"/>
      <c r="L69" s="93"/>
      <c r="M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</row>
    <row r="70" spans="1:58" s="5" customFormat="1" ht="2.25" customHeigh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</row>
    <row r="71" spans="1:58" s="5" customFormat="1" x14ac:dyDescent="0.2">
      <c r="A71" s="36" t="s">
        <v>49</v>
      </c>
      <c r="B71" s="12"/>
      <c r="C71" s="13">
        <v>1600000</v>
      </c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>
        <v>1600000</v>
      </c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>
        <v>1490000</v>
      </c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>
        <v>1490000</v>
      </c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</row>
    <row r="72" spans="1:58" s="5" customFormat="1" x14ac:dyDescent="0.2">
      <c r="A72" s="36" t="s">
        <v>57</v>
      </c>
      <c r="B72" s="12"/>
      <c r="C72" s="68"/>
      <c r="D72" s="26"/>
      <c r="E72" s="13"/>
      <c r="F72" s="13"/>
      <c r="G72" s="13">
        <v>1490000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</row>
    <row r="73" spans="1:58" s="5" customFormat="1" x14ac:dyDescent="0.2">
      <c r="A73" s="36" t="s">
        <v>61</v>
      </c>
      <c r="B73" s="12"/>
      <c r="C73" s="68"/>
      <c r="D73" s="26"/>
      <c r="E73" s="13"/>
      <c r="F73" s="13"/>
      <c r="G73" s="13"/>
      <c r="H73" s="13">
        <v>390000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>
        <v>112000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</row>
    <row r="74" spans="1:58" s="5" customFormat="1" ht="2.25" customHeight="1" x14ac:dyDescent="0.2">
      <c r="A74" s="42"/>
      <c r="B74" s="12"/>
      <c r="C74" s="68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</row>
    <row r="75" spans="1:58" s="5" customFormat="1" x14ac:dyDescent="0.2">
      <c r="A75" s="36" t="s">
        <v>72</v>
      </c>
      <c r="B75" s="27" t="s">
        <v>73</v>
      </c>
      <c r="C75" s="62">
        <v>3637079.2460000003</v>
      </c>
      <c r="D75" s="35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</row>
    <row r="76" spans="1:58" s="5" customFormat="1" ht="2.25" customHeight="1" x14ac:dyDescent="0.2">
      <c r="A76" s="42"/>
      <c r="B76" s="12"/>
      <c r="C76" s="61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</row>
    <row r="77" spans="1:58" s="84" customFormat="1" x14ac:dyDescent="0.2">
      <c r="A77" s="81" t="s">
        <v>66</v>
      </c>
      <c r="B77" s="82"/>
      <c r="C77" s="63"/>
      <c r="D77" s="83"/>
      <c r="E77" s="83">
        <f>$C$5+E16-E25</f>
        <v>-214578.90428571426</v>
      </c>
      <c r="F77" s="83">
        <f t="shared" ref="F77:BF77" si="3">E77+F16-F25</f>
        <v>-524716.47186071426</v>
      </c>
      <c r="G77" s="83">
        <f t="shared" si="3"/>
        <v>-401239.66115714237</v>
      </c>
      <c r="H77" s="83">
        <f t="shared" si="3"/>
        <v>-791239.66115714237</v>
      </c>
      <c r="I77" s="83">
        <f t="shared" si="3"/>
        <v>-791239.66115714237</v>
      </c>
      <c r="J77" s="83">
        <f t="shared" si="3"/>
        <v>-1759616.0661571422</v>
      </c>
      <c r="K77" s="83">
        <f t="shared" si="3"/>
        <v>-1937870.5654428564</v>
      </c>
      <c r="L77" s="83">
        <f t="shared" si="3"/>
        <v>-2748218.2144178562</v>
      </c>
      <c r="M77" s="83">
        <f t="shared" si="3"/>
        <v>-3340493.8333928562</v>
      </c>
      <c r="N77" s="83">
        <f t="shared" si="3"/>
        <v>-4136669.318392856</v>
      </c>
      <c r="O77" s="83">
        <f t="shared" si="3"/>
        <v>-4455516.5033928556</v>
      </c>
      <c r="P77" s="83">
        <f t="shared" si="3"/>
        <v>1483474.1889271443</v>
      </c>
      <c r="Q77" s="83">
        <f t="shared" si="3"/>
        <v>899542.18892714428</v>
      </c>
      <c r="R77" s="83">
        <f t="shared" si="3"/>
        <v>404820.18892714428</v>
      </c>
      <c r="S77" s="83">
        <f t="shared" si="3"/>
        <v>-256461.81107285572</v>
      </c>
      <c r="T77" s="83">
        <f t="shared" si="3"/>
        <v>-572343.81107285572</v>
      </c>
      <c r="U77" s="83">
        <f t="shared" si="3"/>
        <v>-772225.81107285572</v>
      </c>
      <c r="V77" s="83">
        <f t="shared" si="3"/>
        <v>-1094082.9210728556</v>
      </c>
      <c r="W77" s="83">
        <f t="shared" si="3"/>
        <v>-2107960.9210728556</v>
      </c>
      <c r="X77" s="83">
        <f t="shared" si="3"/>
        <v>-2212424.9210728556</v>
      </c>
      <c r="Y77" s="83">
        <f t="shared" si="3"/>
        <v>-4212424.9210728556</v>
      </c>
      <c r="Z77" s="83">
        <f t="shared" si="3"/>
        <v>-4523824.9210728556</v>
      </c>
      <c r="AA77" s="83">
        <f t="shared" si="3"/>
        <v>-4523824.9210728556</v>
      </c>
      <c r="AB77" s="83">
        <f t="shared" si="3"/>
        <v>-5181773.9210728556</v>
      </c>
      <c r="AC77" s="83">
        <f t="shared" si="3"/>
        <v>-671273.92107285559</v>
      </c>
      <c r="AD77" s="83">
        <f t="shared" si="3"/>
        <v>-671273.92107285559</v>
      </c>
      <c r="AE77" s="83">
        <f t="shared" si="3"/>
        <v>-1946611.8210728555</v>
      </c>
      <c r="AF77" s="83">
        <f t="shared" si="3"/>
        <v>-1946611.8210728555</v>
      </c>
      <c r="AG77" s="83">
        <f t="shared" si="3"/>
        <v>-5563925.821072856</v>
      </c>
      <c r="AH77" s="83">
        <f t="shared" si="3"/>
        <v>-5563925.821072856</v>
      </c>
      <c r="AI77" s="83">
        <f t="shared" si="3"/>
        <v>-5563925.821072856</v>
      </c>
      <c r="AJ77" s="83">
        <f t="shared" si="3"/>
        <v>-5563925.821072856</v>
      </c>
      <c r="AK77" s="83">
        <f t="shared" si="3"/>
        <v>-5923925.821072856</v>
      </c>
      <c r="AL77" s="83">
        <f t="shared" si="3"/>
        <v>-2738806.821072856</v>
      </c>
      <c r="AM77" s="83">
        <f t="shared" si="3"/>
        <v>-2738806.821072856</v>
      </c>
      <c r="AN77" s="83">
        <f t="shared" si="3"/>
        <v>-2738806.821072856</v>
      </c>
      <c r="AO77" s="83">
        <f t="shared" si="3"/>
        <v>3653693.178927144</v>
      </c>
      <c r="AP77" s="83">
        <f t="shared" si="3"/>
        <v>3653693.178927144</v>
      </c>
      <c r="AQ77" s="83">
        <f t="shared" si="3"/>
        <v>3653693.178927144</v>
      </c>
      <c r="AR77" s="83">
        <f t="shared" si="3"/>
        <v>3653693.178927144</v>
      </c>
      <c r="AS77" s="83">
        <f t="shared" si="3"/>
        <v>3653693.178927144</v>
      </c>
      <c r="AT77" s="83">
        <f t="shared" si="3"/>
        <v>3653693.178927144</v>
      </c>
      <c r="AU77" s="83">
        <f t="shared" si="3"/>
        <v>3653693.178927144</v>
      </c>
      <c r="AV77" s="83">
        <f t="shared" si="3"/>
        <v>3653693.178927144</v>
      </c>
      <c r="AW77" s="83">
        <f t="shared" si="3"/>
        <v>3653693.178927144</v>
      </c>
      <c r="AX77" s="83">
        <f t="shared" si="3"/>
        <v>3653693.178927144</v>
      </c>
      <c r="AY77" s="83">
        <f t="shared" si="3"/>
        <v>3653693.178927144</v>
      </c>
      <c r="AZ77" s="83">
        <f t="shared" si="3"/>
        <v>3653693.178927144</v>
      </c>
      <c r="BA77" s="83">
        <f t="shared" si="3"/>
        <v>3653693.178927144</v>
      </c>
      <c r="BB77" s="83">
        <f t="shared" si="3"/>
        <v>3653693.178927144</v>
      </c>
      <c r="BC77" s="83">
        <f t="shared" si="3"/>
        <v>3653693.178927144</v>
      </c>
      <c r="BD77" s="83">
        <f t="shared" si="3"/>
        <v>3653693.178927144</v>
      </c>
      <c r="BE77" s="83">
        <f t="shared" si="3"/>
        <v>3653693.178927144</v>
      </c>
      <c r="BF77" s="83">
        <f t="shared" si="3"/>
        <v>3653693.178927144</v>
      </c>
    </row>
    <row r="79" spans="1:58" s="5" customFormat="1" ht="2.25" customHeight="1" x14ac:dyDescent="0.2">
      <c r="A79" s="42"/>
      <c r="B79" s="12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</row>
    <row r="80" spans="1:58" s="89" customFormat="1" ht="11.25" customHeight="1" x14ac:dyDescent="0.2">
      <c r="A80" s="85" t="s">
        <v>65</v>
      </c>
      <c r="B80" s="86"/>
      <c r="C80" s="87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</row>
    <row r="81" spans="1:58" s="5" customFormat="1" ht="22.5" x14ac:dyDescent="0.2">
      <c r="A81" s="36" t="s">
        <v>67</v>
      </c>
      <c r="B81" s="27" t="s">
        <v>68</v>
      </c>
      <c r="C81" s="68">
        <v>3221210.79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</row>
    <row r="82" spans="1:58" s="5" customFormat="1" x14ac:dyDescent="0.2">
      <c r="A82" s="36" t="s">
        <v>69</v>
      </c>
      <c r="B82" s="27" t="s">
        <v>70</v>
      </c>
      <c r="C82" s="68">
        <v>9814338.4000000004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</row>
    <row r="83" spans="1:58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</row>
    <row r="84" spans="1:58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</row>
    <row r="86" spans="1:58" x14ac:dyDescent="0.25">
      <c r="B86" s="14"/>
    </row>
  </sheetData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G86"/>
  <sheetViews>
    <sheetView topLeftCell="A8" workbookViewId="0">
      <selection activeCell="C39" sqref="C39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1.7109375" style="3" bestFit="1" customWidth="1"/>
    <col min="6" max="8" width="11.7109375" style="3" customWidth="1"/>
    <col min="9" max="16" width="11.7109375" style="3" bestFit="1" customWidth="1"/>
    <col min="17" max="41" width="10.85546875" style="3" bestFit="1" customWidth="1"/>
    <col min="42" max="42" width="11.7109375" style="3" bestFit="1" customWidth="1"/>
    <col min="43" max="59" width="10.85546875" style="3" bestFit="1" customWidth="1"/>
    <col min="60" max="16384" width="9" style="3"/>
  </cols>
  <sheetData>
    <row r="1" spans="1:59" ht="12" thickBot="1" x14ac:dyDescent="0.3"/>
    <row r="2" spans="1:59" s="1" customFormat="1" x14ac:dyDescent="0.2">
      <c r="A2" s="43" t="s">
        <v>50</v>
      </c>
      <c r="B2" s="15" t="s">
        <v>27</v>
      </c>
      <c r="C2" s="50">
        <v>1199683.56</v>
      </c>
      <c r="E2" s="8"/>
      <c r="F2" s="8"/>
      <c r="G2" s="8"/>
      <c r="H2" s="8"/>
      <c r="I2" s="8"/>
      <c r="J2" s="8"/>
      <c r="K2" s="8"/>
      <c r="L2" s="8"/>
    </row>
    <row r="3" spans="1:59" s="1" customFormat="1" ht="12" thickBot="1" x14ac:dyDescent="0.25">
      <c r="A3" s="44">
        <v>91.003399999999999</v>
      </c>
      <c r="B3" s="15" t="s">
        <v>28</v>
      </c>
      <c r="C3" s="50">
        <v>10778.95</v>
      </c>
      <c r="E3" s="9"/>
      <c r="F3" s="9"/>
      <c r="G3" s="9"/>
      <c r="H3" s="9"/>
      <c r="I3" s="9"/>
      <c r="J3" s="9"/>
      <c r="K3" s="9"/>
      <c r="L3" s="9"/>
    </row>
    <row r="4" spans="1:59" s="8" customFormat="1" ht="12" thickBot="1" x14ac:dyDescent="0.25">
      <c r="A4" s="45"/>
      <c r="B4" s="15" t="s">
        <v>25</v>
      </c>
      <c r="C4" s="51">
        <v>0</v>
      </c>
    </row>
    <row r="5" spans="1:59" s="6" customFormat="1" x14ac:dyDescent="0.2">
      <c r="A5" s="43" t="s">
        <v>51</v>
      </c>
      <c r="B5" s="49" t="s">
        <v>26</v>
      </c>
      <c r="C5" s="52">
        <f>SUM(C2:C4)</f>
        <v>1210462.51</v>
      </c>
    </row>
    <row r="6" spans="1:59" s="6" customFormat="1" ht="12" thickBot="1" x14ac:dyDescent="0.25">
      <c r="A6" s="44">
        <v>78.727699999999999</v>
      </c>
      <c r="B6" s="16"/>
      <c r="C6" s="53"/>
      <c r="D6" s="17"/>
    </row>
    <row r="7" spans="1:59" s="6" customFormat="1" ht="12" thickBot="1" x14ac:dyDescent="0.25">
      <c r="A7" s="105" t="s">
        <v>51</v>
      </c>
      <c r="B7" s="18" t="s">
        <v>62</v>
      </c>
      <c r="C7" s="54">
        <f>SUM(E16:BG16)</f>
        <v>34183602.292319998</v>
      </c>
    </row>
    <row r="8" spans="1:59" x14ac:dyDescent="0.25">
      <c r="A8" s="43" t="s">
        <v>52</v>
      </c>
      <c r="B8" s="18" t="s">
        <v>84</v>
      </c>
      <c r="C8" s="54">
        <f>SUM(E24:BG25)</f>
        <v>31939068.095442854</v>
      </c>
    </row>
    <row r="9" spans="1:59" ht="12" thickBot="1" x14ac:dyDescent="0.3">
      <c r="A9" s="44">
        <v>11.4481</v>
      </c>
      <c r="B9" s="19" t="s">
        <v>64</v>
      </c>
      <c r="C9" s="55">
        <f>C5+C7-C8-C11</f>
        <v>-9108561.1702428572</v>
      </c>
    </row>
    <row r="10" spans="1:59" x14ac:dyDescent="0.25">
      <c r="A10" s="99" t="s">
        <v>80</v>
      </c>
      <c r="B10" s="18" t="s">
        <v>23</v>
      </c>
      <c r="C10" s="56">
        <f>C16</f>
        <v>4875000</v>
      </c>
    </row>
    <row r="11" spans="1:59" x14ac:dyDescent="0.25">
      <c r="A11" s="101" t="s">
        <v>87</v>
      </c>
      <c r="B11" s="18" t="s">
        <v>24</v>
      </c>
      <c r="C11" s="54">
        <f>C25</f>
        <v>12563557.877119999</v>
      </c>
    </row>
    <row r="12" spans="1:59" x14ac:dyDescent="0.25">
      <c r="A12" s="107" t="s">
        <v>88</v>
      </c>
    </row>
    <row r="13" spans="1:59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</row>
    <row r="14" spans="1:59" s="2" customFormat="1" x14ac:dyDescent="0.25">
      <c r="A14" s="64"/>
      <c r="B14" s="65"/>
      <c r="C14" s="58" t="s">
        <v>56</v>
      </c>
      <c r="D14" s="66"/>
      <c r="E14" s="66">
        <v>46119</v>
      </c>
      <c r="F14" s="66">
        <v>46120</v>
      </c>
      <c r="G14" s="66">
        <v>46121</v>
      </c>
      <c r="H14" s="66">
        <v>46122</v>
      </c>
      <c r="I14" s="66">
        <v>46123</v>
      </c>
      <c r="J14" s="66">
        <v>46124</v>
      </c>
      <c r="K14" s="66">
        <v>46125</v>
      </c>
      <c r="L14" s="66">
        <v>46126</v>
      </c>
      <c r="M14" s="66">
        <v>46127</v>
      </c>
      <c r="N14" s="66">
        <v>46128</v>
      </c>
      <c r="O14" s="66">
        <v>46129</v>
      </c>
      <c r="P14" s="66">
        <v>46130</v>
      </c>
      <c r="Q14" s="66">
        <v>46131</v>
      </c>
      <c r="R14" s="66">
        <v>46132</v>
      </c>
      <c r="S14" s="66">
        <v>46133</v>
      </c>
      <c r="T14" s="66">
        <v>46134</v>
      </c>
      <c r="U14" s="66">
        <v>46135</v>
      </c>
      <c r="V14" s="66">
        <v>46136</v>
      </c>
      <c r="W14" s="66">
        <v>46137</v>
      </c>
      <c r="X14" s="66">
        <v>46138</v>
      </c>
      <c r="Y14" s="66">
        <v>46139</v>
      </c>
      <c r="Z14" s="66">
        <v>46140</v>
      </c>
      <c r="AA14" s="66">
        <v>46141</v>
      </c>
      <c r="AB14" s="66">
        <v>46142</v>
      </c>
      <c r="AC14" s="66">
        <v>46143</v>
      </c>
      <c r="AD14" s="66">
        <v>46144</v>
      </c>
      <c r="AE14" s="66">
        <v>46145</v>
      </c>
      <c r="AF14" s="66">
        <v>46146</v>
      </c>
      <c r="AG14" s="66">
        <v>46147</v>
      </c>
      <c r="AH14" s="66">
        <v>46148</v>
      </c>
      <c r="AI14" s="66">
        <v>46149</v>
      </c>
      <c r="AJ14" s="66">
        <v>46150</v>
      </c>
      <c r="AK14" s="66">
        <v>46151</v>
      </c>
      <c r="AL14" s="66">
        <v>46152</v>
      </c>
      <c r="AM14" s="66">
        <v>46153</v>
      </c>
      <c r="AN14" s="66">
        <v>46154</v>
      </c>
      <c r="AO14" s="66">
        <v>46155</v>
      </c>
      <c r="AP14" s="66">
        <v>46156</v>
      </c>
      <c r="AQ14" s="66">
        <v>46157</v>
      </c>
      <c r="AR14" s="66">
        <v>46158</v>
      </c>
      <c r="AS14" s="66">
        <v>46159</v>
      </c>
      <c r="AT14" s="66">
        <v>46160</v>
      </c>
      <c r="AU14" s="66">
        <v>46161</v>
      </c>
      <c r="AV14" s="66">
        <v>46162</v>
      </c>
      <c r="AW14" s="66">
        <v>46163</v>
      </c>
      <c r="AX14" s="66">
        <v>46164</v>
      </c>
      <c r="AY14" s="66">
        <v>46165</v>
      </c>
      <c r="AZ14" s="66">
        <v>46166</v>
      </c>
      <c r="BA14" s="66">
        <v>46167</v>
      </c>
      <c r="BB14" s="66">
        <v>46168</v>
      </c>
      <c r="BC14" s="66">
        <v>46169</v>
      </c>
      <c r="BD14" s="66">
        <v>46170</v>
      </c>
      <c r="BE14" s="66">
        <v>46171</v>
      </c>
      <c r="BF14" s="66">
        <v>46172</v>
      </c>
      <c r="BG14" s="66">
        <v>46173</v>
      </c>
    </row>
    <row r="15" spans="1:59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</row>
    <row r="16" spans="1:59" s="2" customFormat="1" x14ac:dyDescent="0.25">
      <c r="A16" s="39" t="s">
        <v>0</v>
      </c>
      <c r="B16" s="20"/>
      <c r="C16" s="29">
        <f>SUM(C18:C23)</f>
        <v>4875000</v>
      </c>
      <c r="D16" s="29"/>
      <c r="E16" s="29">
        <f t="shared" ref="E16:AK16" si="0">SUM(E17:E24)</f>
        <v>0</v>
      </c>
      <c r="F16" s="29">
        <f t="shared" si="0"/>
        <v>500000</v>
      </c>
      <c r="G16" s="29">
        <f t="shared" si="0"/>
        <v>500000</v>
      </c>
      <c r="H16" s="29">
        <f t="shared" si="0"/>
        <v>4875000</v>
      </c>
      <c r="I16" s="29">
        <f t="shared" si="0"/>
        <v>0</v>
      </c>
      <c r="J16" s="29">
        <f t="shared" si="0"/>
        <v>0</v>
      </c>
      <c r="K16" s="29">
        <f t="shared" si="0"/>
        <v>500000</v>
      </c>
      <c r="L16" s="29">
        <f t="shared" si="0"/>
        <v>1000000</v>
      </c>
      <c r="M16" s="29">
        <f t="shared" si="0"/>
        <v>500000</v>
      </c>
      <c r="N16" s="29">
        <f t="shared" si="0"/>
        <v>0</v>
      </c>
      <c r="O16" s="29">
        <f t="shared" si="0"/>
        <v>0</v>
      </c>
      <c r="P16" s="29">
        <f t="shared" si="0"/>
        <v>0</v>
      </c>
      <c r="Q16" s="29">
        <f t="shared" si="0"/>
        <v>8203483.29232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7037500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29">
        <f t="shared" si="0"/>
        <v>0</v>
      </c>
      <c r="AL16" s="29">
        <f>SUM(AL17:AL24)</f>
        <v>0</v>
      </c>
      <c r="AM16" s="29">
        <f t="shared" ref="AM16:BG16" si="1">SUM(AM17:AM24)</f>
        <v>3185119</v>
      </c>
      <c r="AN16" s="29">
        <f t="shared" si="1"/>
        <v>0</v>
      </c>
      <c r="AO16" s="29">
        <f t="shared" si="1"/>
        <v>0</v>
      </c>
      <c r="AP16" s="29">
        <f t="shared" si="1"/>
        <v>7882500</v>
      </c>
      <c r="AQ16" s="29">
        <f t="shared" si="1"/>
        <v>0</v>
      </c>
      <c r="AR16" s="29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29">
        <f t="shared" si="1"/>
        <v>0</v>
      </c>
      <c r="AX16" s="29">
        <f t="shared" si="1"/>
        <v>0</v>
      </c>
      <c r="AY16" s="29">
        <f t="shared" si="1"/>
        <v>0</v>
      </c>
      <c r="AZ16" s="29">
        <f t="shared" si="1"/>
        <v>0</v>
      </c>
      <c r="BA16" s="29">
        <f t="shared" si="1"/>
        <v>0</v>
      </c>
      <c r="BB16" s="29">
        <f t="shared" si="1"/>
        <v>0</v>
      </c>
      <c r="BC16" s="29">
        <f t="shared" si="1"/>
        <v>0</v>
      </c>
      <c r="BD16" s="29">
        <f t="shared" si="1"/>
        <v>0</v>
      </c>
      <c r="BE16" s="29">
        <f t="shared" si="1"/>
        <v>0</v>
      </c>
      <c r="BF16" s="29">
        <f t="shared" si="1"/>
        <v>0</v>
      </c>
      <c r="BG16" s="29">
        <f t="shared" si="1"/>
        <v>0</v>
      </c>
    </row>
    <row r="17" spans="1:59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</row>
    <row r="18" spans="1:59" s="80" customFormat="1" x14ac:dyDescent="0.25">
      <c r="A18" s="40" t="s">
        <v>9</v>
      </c>
      <c r="B18" s="21"/>
      <c r="C18" s="59"/>
      <c r="D18" s="30"/>
      <c r="E18" s="30"/>
      <c r="F18" s="30">
        <v>500000</v>
      </c>
      <c r="G18" s="30">
        <v>500000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</row>
    <row r="19" spans="1:59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>
        <v>500000</v>
      </c>
      <c r="L19" s="30">
        <v>1000000</v>
      </c>
      <c r="M19" s="80">
        <v>500000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</row>
    <row r="20" spans="1:59" s="80" customFormat="1" ht="13.5" customHeight="1" x14ac:dyDescent="0.25">
      <c r="A20" s="40" t="s">
        <v>12</v>
      </c>
      <c r="B20" s="21"/>
      <c r="C20" s="32">
        <v>4875000</v>
      </c>
      <c r="D20" s="30"/>
      <c r="E20" s="30"/>
      <c r="F20" s="30"/>
      <c r="G20" s="30"/>
      <c r="H20" s="32">
        <v>4875000</v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>
        <v>7037500</v>
      </c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>
        <v>7882500</v>
      </c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</row>
    <row r="21" spans="1:59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</row>
    <row r="22" spans="1:59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3">
        <f>90144.8*A3</f>
        <v>8203483.29232</v>
      </c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</row>
    <row r="23" spans="1:59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>
        <f>35000*A3</f>
        <v>3185119</v>
      </c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</row>
    <row r="24" spans="1:59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</row>
    <row r="25" spans="1:59" s="4" customFormat="1" x14ac:dyDescent="0.2">
      <c r="A25" s="41" t="s">
        <v>1</v>
      </c>
      <c r="B25" s="22"/>
      <c r="C25" s="34">
        <f>SUM(C27:C75)</f>
        <v>12563557.877119999</v>
      </c>
      <c r="D25" s="34"/>
      <c r="E25" s="34">
        <f t="shared" ref="E25:BG25" si="2">SUM(E26:E76)</f>
        <v>253727.7</v>
      </c>
      <c r="F25" s="34">
        <f t="shared" si="2"/>
        <v>1925041.4142857143</v>
      </c>
      <c r="G25" s="34">
        <f t="shared" si="2"/>
        <v>810137.56757499999</v>
      </c>
      <c r="H25" s="34">
        <f t="shared" si="2"/>
        <v>4751523.1892964281</v>
      </c>
      <c r="I25" s="34">
        <f t="shared" si="2"/>
        <v>390000</v>
      </c>
      <c r="J25" s="34">
        <f t="shared" si="2"/>
        <v>0</v>
      </c>
      <c r="K25" s="34">
        <f t="shared" si="2"/>
        <v>1468376.4049999998</v>
      </c>
      <c r="L25" s="34">
        <f t="shared" si="2"/>
        <v>1178254.4992857142</v>
      </c>
      <c r="M25" s="34">
        <f t="shared" si="2"/>
        <v>1283877.0349999999</v>
      </c>
      <c r="N25" s="34">
        <f t="shared" si="2"/>
        <v>565805.005</v>
      </c>
      <c r="O25" s="34">
        <f t="shared" si="2"/>
        <v>796175.48499999999</v>
      </c>
      <c r="P25" s="34">
        <f t="shared" si="2"/>
        <v>318847.185</v>
      </c>
      <c r="Q25" s="34">
        <f t="shared" si="2"/>
        <v>2264492.6</v>
      </c>
      <c r="R25" s="34">
        <f t="shared" si="2"/>
        <v>583932</v>
      </c>
      <c r="S25" s="34">
        <f t="shared" si="2"/>
        <v>494722</v>
      </c>
      <c r="T25" s="34">
        <f t="shared" si="2"/>
        <v>661282</v>
      </c>
      <c r="U25" s="34">
        <f t="shared" si="2"/>
        <v>315882</v>
      </c>
      <c r="V25" s="34">
        <f t="shared" si="2"/>
        <v>199882</v>
      </c>
      <c r="W25" s="34">
        <f t="shared" si="2"/>
        <v>321857.11</v>
      </c>
      <c r="X25" s="34">
        <f t="shared" si="2"/>
        <v>1013878</v>
      </c>
      <c r="Y25" s="34">
        <f t="shared" si="2"/>
        <v>104464</v>
      </c>
      <c r="Z25" s="34">
        <f t="shared" si="2"/>
        <v>2000000</v>
      </c>
      <c r="AA25" s="34">
        <f t="shared" si="2"/>
        <v>311400</v>
      </c>
      <c r="AB25" s="34">
        <f t="shared" si="2"/>
        <v>0</v>
      </c>
      <c r="AC25" s="34">
        <f t="shared" si="2"/>
        <v>657949</v>
      </c>
      <c r="AD25" s="34">
        <f t="shared" si="2"/>
        <v>2527000</v>
      </c>
      <c r="AE25" s="34">
        <f t="shared" si="2"/>
        <v>0</v>
      </c>
      <c r="AF25" s="34">
        <f t="shared" si="2"/>
        <v>1275337.8999999999</v>
      </c>
      <c r="AG25" s="34">
        <f t="shared" si="2"/>
        <v>0</v>
      </c>
      <c r="AH25" s="34">
        <f t="shared" si="2"/>
        <v>3615224</v>
      </c>
      <c r="AI25" s="34">
        <f t="shared" si="2"/>
        <v>0</v>
      </c>
      <c r="AJ25" s="34">
        <f t="shared" si="2"/>
        <v>0</v>
      </c>
      <c r="AK25" s="34">
        <f t="shared" si="2"/>
        <v>0</v>
      </c>
      <c r="AL25" s="34">
        <f t="shared" si="2"/>
        <v>360000</v>
      </c>
      <c r="AM25" s="34">
        <f t="shared" si="2"/>
        <v>0</v>
      </c>
      <c r="AN25" s="34">
        <f t="shared" si="2"/>
        <v>0</v>
      </c>
      <c r="AO25" s="34">
        <f t="shared" si="2"/>
        <v>0</v>
      </c>
      <c r="AP25" s="34">
        <f t="shared" si="2"/>
        <v>1490000</v>
      </c>
      <c r="AQ25" s="34">
        <f t="shared" si="2"/>
        <v>0</v>
      </c>
      <c r="AR25" s="34">
        <f t="shared" si="2"/>
        <v>0</v>
      </c>
      <c r="AS25" s="34">
        <f t="shared" si="2"/>
        <v>0</v>
      </c>
      <c r="AT25" s="34">
        <f t="shared" si="2"/>
        <v>0</v>
      </c>
      <c r="AU25" s="34">
        <f t="shared" si="2"/>
        <v>0</v>
      </c>
      <c r="AV25" s="34">
        <f t="shared" si="2"/>
        <v>0</v>
      </c>
      <c r="AW25" s="34">
        <f t="shared" si="2"/>
        <v>0</v>
      </c>
      <c r="AX25" s="34">
        <f t="shared" si="2"/>
        <v>0</v>
      </c>
      <c r="AY25" s="34">
        <f t="shared" si="2"/>
        <v>0</v>
      </c>
      <c r="AZ25" s="34">
        <f t="shared" si="2"/>
        <v>0</v>
      </c>
      <c r="BA25" s="34">
        <f t="shared" si="2"/>
        <v>0</v>
      </c>
      <c r="BB25" s="34">
        <f t="shared" si="2"/>
        <v>0</v>
      </c>
      <c r="BC25" s="34">
        <f t="shared" si="2"/>
        <v>0</v>
      </c>
      <c r="BD25" s="34">
        <f t="shared" si="2"/>
        <v>0</v>
      </c>
      <c r="BE25" s="34">
        <f t="shared" si="2"/>
        <v>0</v>
      </c>
      <c r="BF25" s="34">
        <f t="shared" si="2"/>
        <v>0</v>
      </c>
      <c r="BG25" s="34">
        <f t="shared" si="2"/>
        <v>0</v>
      </c>
    </row>
    <row r="26" spans="1:59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</row>
    <row r="27" spans="1:59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</row>
    <row r="28" spans="1:59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</row>
    <row r="29" spans="1:59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</row>
    <row r="30" spans="1:59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90">
        <v>2000000</v>
      </c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</row>
    <row r="31" spans="1:59" s="1" customFormat="1" x14ac:dyDescent="0.2">
      <c r="A31" s="36" t="s">
        <v>7</v>
      </c>
      <c r="B31" s="23" t="s">
        <v>8</v>
      </c>
      <c r="C31" s="60"/>
      <c r="D31" s="24"/>
      <c r="E31" s="114"/>
      <c r="F31" s="114">
        <v>900000</v>
      </c>
      <c r="G31" s="24"/>
      <c r="H31" s="114">
        <v>360000</v>
      </c>
      <c r="I31" s="24"/>
      <c r="J31" s="24"/>
      <c r="K31" s="24"/>
      <c r="L31" s="24"/>
      <c r="M31" s="24"/>
      <c r="N31" s="24"/>
      <c r="O31" s="24"/>
      <c r="P31" s="24"/>
      <c r="Q31" s="24">
        <v>560000</v>
      </c>
      <c r="R31" s="24"/>
      <c r="S31" s="24"/>
      <c r="T31" s="24"/>
      <c r="U31" s="24"/>
      <c r="V31" s="24"/>
      <c r="W31" s="24">
        <f>643714.22/2</f>
        <v>321857.11</v>
      </c>
      <c r="X31" s="24"/>
      <c r="Y31" s="24"/>
      <c r="Z31" s="24"/>
      <c r="AA31" s="24"/>
      <c r="AB31" s="24"/>
      <c r="AC31" s="24"/>
      <c r="AD31" s="24"/>
      <c r="AE31" s="24"/>
      <c r="AF31" s="24">
        <v>560000</v>
      </c>
      <c r="AG31" s="24"/>
      <c r="AH31" s="24"/>
      <c r="AI31" s="24"/>
      <c r="AJ31" s="24"/>
      <c r="AK31" s="24"/>
      <c r="AL31" s="24">
        <v>360000</v>
      </c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1:59" s="1" customFormat="1" x14ac:dyDescent="0.2">
      <c r="A32" s="36" t="s">
        <v>54</v>
      </c>
      <c r="B32" s="23"/>
      <c r="C32" s="60"/>
      <c r="D32" s="24"/>
      <c r="F32" s="24">
        <v>100113.9</v>
      </c>
      <c r="G32" s="24"/>
      <c r="H32" s="24">
        <v>100000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</row>
    <row r="33" spans="1:59" s="1" customFormat="1" x14ac:dyDescent="0.2">
      <c r="A33" s="36" t="s">
        <v>71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>
        <v>200113.9</v>
      </c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</row>
    <row r="34" spans="1:59" s="1" customFormat="1" x14ac:dyDescent="0.2">
      <c r="A34" s="36" t="s">
        <v>53</v>
      </c>
      <c r="B34" s="23"/>
      <c r="C34" s="60"/>
      <c r="D34" s="24"/>
      <c r="E34" s="122">
        <v>50000</v>
      </c>
      <c r="F34" s="111">
        <v>100000</v>
      </c>
      <c r="G34" s="111">
        <v>100000</v>
      </c>
      <c r="H34" s="111">
        <f>145949.5+50000+50000</f>
        <v>245949.5</v>
      </c>
      <c r="I34" s="24"/>
      <c r="J34" s="24"/>
      <c r="K34" s="24"/>
      <c r="L34" s="24"/>
      <c r="M34" s="24"/>
      <c r="N34" s="24"/>
      <c r="O34" s="24"/>
      <c r="P34" s="24"/>
      <c r="Q34" s="24"/>
      <c r="R34" s="24">
        <v>80000</v>
      </c>
      <c r="S34" s="24">
        <v>80000</v>
      </c>
      <c r="T34" s="24">
        <v>50000</v>
      </c>
      <c r="U34" s="24"/>
      <c r="V34" s="24"/>
      <c r="W34" s="24"/>
      <c r="X34" s="24"/>
      <c r="Y34" s="24"/>
      <c r="Z34" s="24"/>
      <c r="AA34" s="24"/>
      <c r="AB34" s="24"/>
      <c r="AC34" s="24">
        <v>545949</v>
      </c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</row>
    <row r="35" spans="1:59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</row>
    <row r="36" spans="1:59" s="71" customFormat="1" x14ac:dyDescent="0.2">
      <c r="A36" s="69" t="s">
        <v>14</v>
      </c>
      <c r="B36" s="25" t="s">
        <v>30</v>
      </c>
      <c r="C36" s="70"/>
      <c r="D36" s="24"/>
      <c r="E36" s="24"/>
      <c r="F36" s="24"/>
      <c r="G36" s="24"/>
      <c r="H36" s="24"/>
      <c r="I36" s="24"/>
      <c r="J36" s="24"/>
      <c r="K36" s="24"/>
      <c r="L36" s="24"/>
      <c r="M36" s="24">
        <v>730000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</row>
    <row r="37" spans="1:59" s="71" customFormat="1" x14ac:dyDescent="0.2">
      <c r="A37" s="69" t="s">
        <v>97</v>
      </c>
      <c r="B37" s="25" t="s">
        <v>98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100">
        <v>311400</v>
      </c>
      <c r="U37" s="24"/>
      <c r="V37" s="24"/>
      <c r="W37" s="24"/>
      <c r="X37" s="24"/>
      <c r="Y37" s="24"/>
      <c r="Z37" s="24"/>
      <c r="AA37" s="100">
        <v>311400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</row>
    <row r="38" spans="1:59" s="71" customFormat="1" x14ac:dyDescent="0.2">
      <c r="A38" s="69" t="s">
        <v>17</v>
      </c>
      <c r="B38" s="25" t="s">
        <v>41</v>
      </c>
      <c r="C38" s="70">
        <f>1575440-25000</f>
        <v>1550440</v>
      </c>
      <c r="D38" s="24"/>
      <c r="E38" s="100">
        <v>25000</v>
      </c>
      <c r="F38" s="95">
        <v>75000</v>
      </c>
      <c r="G38" s="95">
        <v>100000</v>
      </c>
      <c r="H38" s="95">
        <v>250000</v>
      </c>
      <c r="I38" s="24"/>
      <c r="J38" s="24"/>
      <c r="K38" s="95">
        <v>200000</v>
      </c>
      <c r="L38" s="95">
        <v>100000</v>
      </c>
      <c r="M38" s="95">
        <v>100000</v>
      </c>
      <c r="N38" s="95">
        <v>100000</v>
      </c>
      <c r="O38" s="95">
        <f>195950+125000</f>
        <v>320950</v>
      </c>
      <c r="P38" s="24"/>
      <c r="Q38" s="24"/>
      <c r="R38" s="95">
        <v>154050</v>
      </c>
      <c r="S38" s="108">
        <v>100440</v>
      </c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</row>
    <row r="39" spans="1:59" s="71" customFormat="1" x14ac:dyDescent="0.2">
      <c r="A39" s="69" t="s">
        <v>15</v>
      </c>
      <c r="B39" s="25" t="s">
        <v>31</v>
      </c>
      <c r="C39" s="70">
        <f>994688-75000</f>
        <v>919688</v>
      </c>
      <c r="D39" s="24"/>
      <c r="E39" s="100">
        <v>25000</v>
      </c>
      <c r="F39" s="108">
        <v>50000</v>
      </c>
      <c r="G39" s="108">
        <v>100000</v>
      </c>
      <c r="H39" s="108">
        <f>90224+75000</f>
        <v>165224</v>
      </c>
      <c r="I39" s="24"/>
      <c r="J39" s="24"/>
      <c r="K39" s="108">
        <v>100000</v>
      </c>
      <c r="L39" s="108">
        <v>75000</v>
      </c>
      <c r="M39" s="108">
        <v>50000</v>
      </c>
      <c r="N39" s="108">
        <v>100000</v>
      </c>
      <c r="O39" s="108">
        <v>115224</v>
      </c>
      <c r="P39" s="24"/>
      <c r="Q39" s="24"/>
      <c r="R39" s="108">
        <v>100000</v>
      </c>
      <c r="S39" s="108">
        <v>100000</v>
      </c>
      <c r="T39" s="108">
        <v>100000</v>
      </c>
      <c r="U39" s="108">
        <v>100000</v>
      </c>
      <c r="V39" s="108">
        <v>100000</v>
      </c>
      <c r="W39" s="24"/>
      <c r="X39" s="24"/>
      <c r="Y39" s="108">
        <v>104464</v>
      </c>
      <c r="Z39" s="24"/>
      <c r="AA39" s="24"/>
      <c r="AB39" s="24"/>
      <c r="AC39" s="24"/>
      <c r="AD39" s="24">
        <v>25000</v>
      </c>
      <c r="AE39" s="24"/>
      <c r="AF39" s="98">
        <v>515224</v>
      </c>
      <c r="AG39" s="24"/>
      <c r="AH39" s="24">
        <v>115224</v>
      </c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</row>
    <row r="40" spans="1:59" s="71" customFormat="1" x14ac:dyDescent="0.2">
      <c r="A40" s="69" t="s">
        <v>18</v>
      </c>
      <c r="B40" s="25" t="s">
        <v>32</v>
      </c>
      <c r="C40" s="70"/>
      <c r="D40" s="24"/>
      <c r="E40" s="28"/>
      <c r="F40" s="28"/>
      <c r="G40" s="28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</row>
    <row r="41" spans="1:59" s="73" customFormat="1" x14ac:dyDescent="0.2">
      <c r="A41" s="69" t="s">
        <v>21</v>
      </c>
      <c r="B41" s="25" t="s">
        <v>45</v>
      </c>
      <c r="C41" s="70">
        <f>110000*A9</f>
        <v>1259291</v>
      </c>
      <c r="D41" s="72"/>
      <c r="E41" s="28"/>
      <c r="F41" s="95">
        <f>1305799/7</f>
        <v>186542.71428571429</v>
      </c>
      <c r="G41" s="95">
        <v>100000</v>
      </c>
      <c r="H41" s="95">
        <f>(1305799/7)*2</f>
        <v>373085.42857142858</v>
      </c>
      <c r="I41" s="24"/>
      <c r="J41" s="24"/>
      <c r="K41" s="95">
        <f>71054.71+69756.71+100000</f>
        <v>240811.42</v>
      </c>
      <c r="L41" s="95">
        <f>1305799/7+5533</f>
        <v>192075.71428571429</v>
      </c>
      <c r="M41" s="95">
        <f>5000*A9</f>
        <v>57240.5</v>
      </c>
      <c r="N41" s="24"/>
      <c r="O41" s="24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</row>
    <row r="42" spans="1:59" s="71" customFormat="1" x14ac:dyDescent="0.2">
      <c r="A42" s="69" t="s">
        <v>19</v>
      </c>
      <c r="B42" s="25" t="s">
        <v>46</v>
      </c>
      <c r="C42" s="70">
        <v>950509.15</v>
      </c>
      <c r="D42" s="24"/>
      <c r="E42" s="28"/>
      <c r="F42" s="95">
        <v>100000</v>
      </c>
      <c r="G42" s="95">
        <v>75000</v>
      </c>
      <c r="H42" s="95">
        <v>200000</v>
      </c>
      <c r="I42" s="24"/>
      <c r="J42" s="24"/>
      <c r="K42" s="24">
        <v>305134</v>
      </c>
      <c r="L42" s="24">
        <v>150000</v>
      </c>
      <c r="M42" s="24">
        <v>49181.53</v>
      </c>
      <c r="N42" s="95">
        <v>75000</v>
      </c>
      <c r="O42" s="24"/>
      <c r="P42" s="24"/>
      <c r="Q42" s="24"/>
      <c r="R42" s="24">
        <v>50000</v>
      </c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</row>
    <row r="43" spans="1:59" s="71" customFormat="1" x14ac:dyDescent="0.2">
      <c r="A43" s="69" t="s">
        <v>16</v>
      </c>
      <c r="B43" s="25" t="s">
        <v>32</v>
      </c>
      <c r="C43" s="70">
        <f>231200+665880-25000-50000</f>
        <v>822080</v>
      </c>
      <c r="D43" s="24"/>
      <c r="E43" s="123">
        <v>25000</v>
      </c>
      <c r="F43" s="95">
        <v>40000</v>
      </c>
      <c r="G43" s="95">
        <v>25000</v>
      </c>
      <c r="H43" s="95">
        <f>40600+499410</f>
        <v>540010</v>
      </c>
      <c r="I43" s="24"/>
      <c r="J43" s="24"/>
      <c r="K43" s="28">
        <f>66588+33294</f>
        <v>99882</v>
      </c>
      <c r="L43" s="28">
        <f>66588+33294</f>
        <v>99882</v>
      </c>
      <c r="M43" s="28">
        <f>66588+33294</f>
        <v>99882</v>
      </c>
      <c r="N43" s="28">
        <f>66588+33294</f>
        <v>99882</v>
      </c>
      <c r="O43" s="28">
        <f>66588+33294</f>
        <v>99882</v>
      </c>
      <c r="P43" s="28"/>
      <c r="Q43" s="28"/>
      <c r="R43" s="28">
        <f>66588+33294</f>
        <v>99882</v>
      </c>
      <c r="S43" s="28">
        <f>66588+33294</f>
        <v>99882</v>
      </c>
      <c r="T43" s="28">
        <f>66588+33294</f>
        <v>99882</v>
      </c>
      <c r="U43" s="28">
        <f>66588+33294</f>
        <v>99882</v>
      </c>
      <c r="V43" s="28">
        <f>66588+33294</f>
        <v>99882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</row>
    <row r="44" spans="1:59" s="71" customFormat="1" x14ac:dyDescent="0.2">
      <c r="A44" s="69" t="s">
        <v>85</v>
      </c>
      <c r="B44" s="25" t="s">
        <v>47</v>
      </c>
      <c r="C44" s="70">
        <f>277152.75-750*A6</f>
        <v>218106.97500000001</v>
      </c>
      <c r="D44" s="24"/>
      <c r="E44" s="100">
        <f>500*A6</f>
        <v>39363.85</v>
      </c>
      <c r="F44" s="95">
        <v>56144.3</v>
      </c>
      <c r="G44" s="95">
        <f>26372.55+250*A6</f>
        <v>46054.474999999999</v>
      </c>
      <c r="H44" s="28">
        <f>500*A6</f>
        <v>39363.85</v>
      </c>
      <c r="J44" s="24"/>
      <c r="K44" s="100">
        <f>25000+10572.75+500*A6</f>
        <v>74936.600000000006</v>
      </c>
      <c r="L44" s="100">
        <v>218623.78</v>
      </c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</row>
    <row r="45" spans="1:59" s="73" customFormat="1" x14ac:dyDescent="0.2">
      <c r="A45" s="69" t="s">
        <v>22</v>
      </c>
      <c r="B45" s="25" t="s">
        <v>48</v>
      </c>
      <c r="C45" s="75"/>
      <c r="D45" s="72"/>
      <c r="F45" s="100">
        <f>5000*$A$9</f>
        <v>57240.5</v>
      </c>
      <c r="G45" s="100">
        <f>5906*$A$9</f>
        <v>67612.478600000002</v>
      </c>
      <c r="H45" s="100">
        <f>5000*$A$9</f>
        <v>57240.5</v>
      </c>
      <c r="I45" s="24"/>
      <c r="J45" s="24"/>
      <c r="K45" s="24"/>
      <c r="L45" s="24"/>
      <c r="M45" s="24"/>
      <c r="N45" s="24"/>
      <c r="O45" s="24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</row>
    <row r="46" spans="1:59" s="73" customFormat="1" x14ac:dyDescent="0.2">
      <c r="A46" s="69" t="s">
        <v>108</v>
      </c>
      <c r="B46" s="25" t="s">
        <v>109</v>
      </c>
      <c r="C46" s="120"/>
      <c r="D46" s="72"/>
      <c r="E46" s="28"/>
      <c r="F46" s="28"/>
      <c r="G46" s="28"/>
      <c r="H46" s="100">
        <v>33610.5</v>
      </c>
      <c r="I46" s="24"/>
      <c r="J46" s="24"/>
      <c r="K46" s="24"/>
      <c r="L46" s="24"/>
      <c r="M46" s="24"/>
      <c r="N46" s="24"/>
      <c r="O46" s="24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</row>
    <row r="47" spans="1:59" s="71" customFormat="1" x14ac:dyDescent="0.2">
      <c r="A47" s="69" t="s">
        <v>36</v>
      </c>
      <c r="B47" s="25" t="s">
        <v>37</v>
      </c>
      <c r="C47" s="70"/>
      <c r="D47" s="24"/>
      <c r="E47" s="100">
        <f>500*A6</f>
        <v>39363.85</v>
      </c>
      <c r="F47" s="24"/>
      <c r="G47" s="28"/>
      <c r="H47" s="121">
        <f>2577.5*$A$6-500*A6</f>
        <v>163556.79674999998</v>
      </c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</row>
    <row r="48" spans="1:59" s="71" customFormat="1" x14ac:dyDescent="0.2">
      <c r="A48" s="69" t="s">
        <v>86</v>
      </c>
      <c r="B48" s="25" t="s">
        <v>35</v>
      </c>
      <c r="C48" s="70">
        <f>3250*$A$6</f>
        <v>255865.02499999999</v>
      </c>
      <c r="D48" s="77"/>
      <c r="E48" s="24"/>
      <c r="F48" s="24"/>
      <c r="G48" s="24"/>
      <c r="H48" s="24"/>
      <c r="J48" s="24"/>
      <c r="K48" s="95">
        <f>$C$48/5</f>
        <v>51173.004999999997</v>
      </c>
      <c r="L48" s="95">
        <f>$C$48/5</f>
        <v>51173.004999999997</v>
      </c>
      <c r="M48" s="95">
        <f>$C$48/5</f>
        <v>51173.004999999997</v>
      </c>
      <c r="N48" s="95">
        <f>$C$48/5</f>
        <v>51173.004999999997</v>
      </c>
      <c r="O48" s="108">
        <f>$C$48/5+2400*A6</f>
        <v>240119.48500000002</v>
      </c>
      <c r="P48" s="100">
        <f>4050*A6</f>
        <v>318847.185</v>
      </c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</row>
    <row r="49" spans="1:59" s="71" customFormat="1" x14ac:dyDescent="0.2">
      <c r="A49" s="69" t="s">
        <v>78</v>
      </c>
      <c r="B49" s="25" t="s">
        <v>79</v>
      </c>
      <c r="C49" s="70"/>
      <c r="D49" s="77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</row>
    <row r="50" spans="1:59" s="71" customFormat="1" x14ac:dyDescent="0.2">
      <c r="A50" s="69" t="s">
        <v>29</v>
      </c>
      <c r="B50" s="25" t="s">
        <v>42</v>
      </c>
      <c r="C50" s="70">
        <v>20000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</row>
    <row r="51" spans="1:59" s="71" customFormat="1" x14ac:dyDescent="0.2">
      <c r="A51" s="69" t="s">
        <v>29</v>
      </c>
      <c r="B51" s="25" t="s">
        <v>43</v>
      </c>
      <c r="C51" s="70">
        <v>439750</v>
      </c>
      <c r="D51" s="24"/>
      <c r="E51" s="24"/>
      <c r="F51" s="95">
        <v>100000</v>
      </c>
      <c r="G51" s="24"/>
      <c r="H51" s="95">
        <v>100000</v>
      </c>
      <c r="I51" s="24"/>
      <c r="J51" s="24"/>
      <c r="K51" s="24"/>
      <c r="L51" s="24"/>
      <c r="M51" s="95">
        <v>100000</v>
      </c>
      <c r="N51" s="95">
        <v>139750</v>
      </c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</row>
    <row r="52" spans="1:59" s="71" customFormat="1" x14ac:dyDescent="0.2">
      <c r="A52" s="69" t="s">
        <v>104</v>
      </c>
      <c r="B52" s="25" t="s">
        <v>105</v>
      </c>
      <c r="C52" s="70"/>
      <c r="D52" s="77"/>
      <c r="E52" s="24"/>
      <c r="G52" s="24"/>
      <c r="H52" s="100">
        <v>11712</v>
      </c>
      <c r="I52" s="28"/>
      <c r="J52" s="28"/>
      <c r="K52" s="28"/>
      <c r="L52" s="28"/>
      <c r="M52" s="28"/>
      <c r="N52" s="28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</row>
    <row r="53" spans="1:59" s="71" customFormat="1" x14ac:dyDescent="0.2">
      <c r="A53" s="69" t="s">
        <v>99</v>
      </c>
      <c r="B53" s="25" t="s">
        <v>100</v>
      </c>
      <c r="C53" s="70"/>
      <c r="D53" s="77"/>
      <c r="E53" s="24"/>
      <c r="F53" s="28"/>
      <c r="G53" s="24">
        <f>(581.75/2)*$A$3</f>
        <v>26470.613975</v>
      </c>
      <c r="H53" s="24">
        <f>(581.75/2)*$A$3</f>
        <v>26470.613975</v>
      </c>
      <c r="I53" s="24"/>
      <c r="J53" s="24"/>
      <c r="K53" s="24"/>
      <c r="L53" s="24"/>
      <c r="M53" s="95"/>
      <c r="N53" s="95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</row>
    <row r="54" spans="1:59" s="71" customFormat="1" x14ac:dyDescent="0.2">
      <c r="A54" s="69" t="s">
        <v>29</v>
      </c>
      <c r="B54" s="25" t="s">
        <v>55</v>
      </c>
      <c r="C54" s="76">
        <f>3530*A6</f>
        <v>277908.78100000002</v>
      </c>
      <c r="D54" s="24"/>
      <c r="F54" s="95">
        <v>50000</v>
      </c>
      <c r="G54" s="24"/>
      <c r="H54" s="95">
        <v>75000</v>
      </c>
      <c r="I54" s="24"/>
      <c r="J54" s="24"/>
      <c r="K54" s="95">
        <v>161439.38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</row>
    <row r="55" spans="1:59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>
        <v>1878</v>
      </c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</row>
    <row r="56" spans="1:59" s="71" customFormat="1" x14ac:dyDescent="0.2">
      <c r="A56" s="69" t="s">
        <v>90</v>
      </c>
      <c r="B56" s="25" t="s">
        <v>91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>
        <v>1012000</v>
      </c>
      <c r="Y56" s="24"/>
      <c r="Z56" s="24"/>
      <c r="AA56" s="24"/>
      <c r="AB56" s="24"/>
      <c r="AC56" s="24"/>
      <c r="AD56" s="24">
        <v>1012000</v>
      </c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</row>
    <row r="57" spans="1:59" s="71" customFormat="1" x14ac:dyDescent="0.2">
      <c r="A57" s="69" t="s">
        <v>106</v>
      </c>
      <c r="B57" s="25" t="s">
        <v>107</v>
      </c>
      <c r="C57" s="70"/>
      <c r="D57" s="77"/>
      <c r="E57" s="24"/>
      <c r="F57" s="100">
        <v>10000</v>
      </c>
      <c r="G57" s="100">
        <v>20000</v>
      </c>
      <c r="H57" s="24"/>
      <c r="I57" s="24"/>
      <c r="J57" s="24"/>
      <c r="K57" s="100">
        <v>20000</v>
      </c>
      <c r="L57" s="24"/>
      <c r="M57" s="100">
        <v>20000</v>
      </c>
      <c r="N57" s="24"/>
      <c r="O57" s="100">
        <v>20000</v>
      </c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</row>
    <row r="58" spans="1:59" s="71" customFormat="1" x14ac:dyDescent="0.2">
      <c r="A58" s="69" t="s">
        <v>102</v>
      </c>
      <c r="B58" s="25" t="s">
        <v>103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</row>
    <row r="59" spans="1:59" s="71" customFormat="1" x14ac:dyDescent="0.2">
      <c r="A59" s="69" t="s">
        <v>96</v>
      </c>
      <c r="B59" s="25"/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</row>
    <row r="60" spans="1:59" s="71" customFormat="1" x14ac:dyDescent="0.2">
      <c r="A60" s="69" t="s">
        <v>94</v>
      </c>
      <c r="B60" s="25" t="s">
        <v>95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</row>
    <row r="61" spans="1:59" s="71" customFormat="1" x14ac:dyDescent="0.2">
      <c r="A61" s="69" t="s">
        <v>34</v>
      </c>
      <c r="B61" s="25" t="s">
        <v>45</v>
      </c>
      <c r="C61" s="70"/>
      <c r="D61" s="77"/>
      <c r="E61" s="124">
        <v>25000</v>
      </c>
      <c r="F61" s="106">
        <v>100000</v>
      </c>
      <c r="G61" s="106">
        <v>150000</v>
      </c>
      <c r="H61" s="106">
        <v>475000</v>
      </c>
      <c r="I61" s="24"/>
      <c r="J61" s="24"/>
      <c r="K61" s="112"/>
      <c r="O61" s="24"/>
      <c r="P61" s="24"/>
      <c r="Q61" s="24"/>
      <c r="R61" s="106">
        <v>100000</v>
      </c>
      <c r="S61" s="108">
        <v>114400</v>
      </c>
      <c r="T61" s="106">
        <v>100000</v>
      </c>
      <c r="U61" s="106">
        <v>100000</v>
      </c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</row>
    <row r="62" spans="1:59" s="71" customFormat="1" x14ac:dyDescent="0.2">
      <c r="A62" s="69" t="s">
        <v>81</v>
      </c>
      <c r="B62" s="25" t="s">
        <v>82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</row>
    <row r="63" spans="1:59" s="71" customFormat="1" x14ac:dyDescent="0.2">
      <c r="A63" s="69" t="s">
        <v>101</v>
      </c>
      <c r="B63" s="25"/>
      <c r="C63" s="70"/>
      <c r="D63" s="77"/>
      <c r="E63" s="24"/>
      <c r="F63" s="24"/>
      <c r="G63" s="24"/>
      <c r="H63" s="24"/>
      <c r="I63" s="24"/>
      <c r="J63" s="24"/>
      <c r="K63" s="24"/>
      <c r="L63" s="100">
        <v>230000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</row>
    <row r="64" spans="1:59" s="71" customFormat="1" x14ac:dyDescent="0.2">
      <c r="A64" s="69" t="s">
        <v>92</v>
      </c>
      <c r="B64" s="25" t="s">
        <v>93</v>
      </c>
      <c r="C64" s="70"/>
      <c r="D64" s="77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</row>
    <row r="65" spans="1:59" s="71" customFormat="1" x14ac:dyDescent="0.2">
      <c r="A65" s="69" t="s">
        <v>38</v>
      </c>
      <c r="B65" s="25" t="s">
        <v>39</v>
      </c>
      <c r="C65" s="70">
        <f>432200-68000</f>
        <v>364200</v>
      </c>
      <c r="D65" s="24"/>
      <c r="E65" s="100">
        <v>25000</v>
      </c>
      <c r="F65" s="28"/>
      <c r="G65" s="28"/>
      <c r="H65" s="95">
        <v>45300</v>
      </c>
      <c r="I65" s="24"/>
      <c r="J65" s="24"/>
      <c r="K65" s="95">
        <v>215000</v>
      </c>
      <c r="L65" s="95">
        <v>61500</v>
      </c>
      <c r="M65" s="95">
        <v>26400</v>
      </c>
      <c r="N65" s="24"/>
      <c r="O65" s="24"/>
      <c r="P65" s="24"/>
      <c r="Q65" s="24"/>
      <c r="R65" s="28"/>
      <c r="S65" s="24"/>
      <c r="T65" s="24"/>
      <c r="U65" s="100">
        <v>16000</v>
      </c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</row>
    <row r="66" spans="1:59" s="71" customFormat="1" x14ac:dyDescent="0.2">
      <c r="A66" s="69" t="s">
        <v>74</v>
      </c>
      <c r="B66" s="25" t="s">
        <v>83</v>
      </c>
      <c r="C66" s="70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98">
        <v>104492.6</v>
      </c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>
        <v>3500000</v>
      </c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</row>
    <row r="67" spans="1:59" s="73" customFormat="1" ht="2.25" customHeigh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 t="s">
        <v>89</v>
      </c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</row>
    <row r="68" spans="1:59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</row>
    <row r="69" spans="1:59" s="94" customFormat="1" ht="33.75" x14ac:dyDescent="0.2">
      <c r="A69" s="91" t="s">
        <v>60</v>
      </c>
      <c r="B69" s="92" t="s">
        <v>59</v>
      </c>
      <c r="C69" s="93">
        <v>0</v>
      </c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</row>
    <row r="70" spans="1:59" s="5" customFormat="1" ht="2.25" customHeigh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</row>
    <row r="71" spans="1:59" s="5" customFormat="1" x14ac:dyDescent="0.2">
      <c r="A71" s="36" t="s">
        <v>49</v>
      </c>
      <c r="B71" s="12"/>
      <c r="C71" s="13">
        <v>1600000</v>
      </c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>
        <v>1600000</v>
      </c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>
        <v>1490000</v>
      </c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>
        <v>1490000</v>
      </c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</row>
    <row r="72" spans="1:59" s="5" customFormat="1" x14ac:dyDescent="0.2">
      <c r="A72" s="36" t="s">
        <v>57</v>
      </c>
      <c r="B72" s="12"/>
      <c r="C72" s="68"/>
      <c r="D72" s="26"/>
      <c r="E72" s="13"/>
      <c r="F72" s="13"/>
      <c r="G72" s="13"/>
      <c r="H72" s="13">
        <v>1490000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</row>
    <row r="73" spans="1:59" s="5" customFormat="1" x14ac:dyDescent="0.2">
      <c r="A73" s="36" t="s">
        <v>61</v>
      </c>
      <c r="B73" s="12"/>
      <c r="C73" s="68"/>
      <c r="D73" s="26"/>
      <c r="E73" s="13"/>
      <c r="F73" s="13"/>
      <c r="G73" s="13"/>
      <c r="H73" s="13"/>
      <c r="I73" s="13">
        <v>390000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>
        <v>112000</v>
      </c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</row>
    <row r="74" spans="1:59" s="5" customFormat="1" ht="2.25" customHeight="1" x14ac:dyDescent="0.2">
      <c r="A74" s="42"/>
      <c r="B74" s="12"/>
      <c r="C74" s="68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</row>
    <row r="75" spans="1:59" s="5" customFormat="1" x14ac:dyDescent="0.2">
      <c r="A75" s="36" t="s">
        <v>72</v>
      </c>
      <c r="B75" s="27" t="s">
        <v>73</v>
      </c>
      <c r="C75" s="62">
        <v>3637079.2460000003</v>
      </c>
      <c r="D75" s="35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</row>
    <row r="76" spans="1:59" s="5" customFormat="1" ht="2.25" customHeight="1" x14ac:dyDescent="0.2">
      <c r="A76" s="42"/>
      <c r="B76" s="12"/>
      <c r="C76" s="61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</row>
    <row r="77" spans="1:59" s="84" customFormat="1" x14ac:dyDescent="0.2">
      <c r="A77" s="81" t="s">
        <v>66</v>
      </c>
      <c r="B77" s="82"/>
      <c r="C77" s="63"/>
      <c r="D77" s="83"/>
      <c r="E77" s="83">
        <f>$C$5+E16-E25</f>
        <v>956734.81</v>
      </c>
      <c r="F77" s="83">
        <f t="shared" ref="F77:BG77" si="3">E77+F16-F25</f>
        <v>-468306.60428571422</v>
      </c>
      <c r="G77" s="83">
        <f t="shared" si="3"/>
        <v>-778444.17186071421</v>
      </c>
      <c r="H77" s="83">
        <f t="shared" si="3"/>
        <v>-654967.36115714256</v>
      </c>
      <c r="I77" s="83">
        <f t="shared" si="3"/>
        <v>-1044967.3611571426</v>
      </c>
      <c r="J77" s="83">
        <f t="shared" si="3"/>
        <v>-1044967.3611571426</v>
      </c>
      <c r="K77" s="83">
        <f t="shared" si="3"/>
        <v>-2013343.7661571424</v>
      </c>
      <c r="L77" s="83">
        <f t="shared" si="3"/>
        <v>-2191598.2654428566</v>
      </c>
      <c r="M77" s="83">
        <f t="shared" si="3"/>
        <v>-2975475.3004428567</v>
      </c>
      <c r="N77" s="83">
        <f t="shared" si="3"/>
        <v>-3541280.3054428566</v>
      </c>
      <c r="O77" s="83">
        <f t="shared" si="3"/>
        <v>-4337455.790442857</v>
      </c>
      <c r="P77" s="83">
        <f t="shared" si="3"/>
        <v>-4656302.9754428566</v>
      </c>
      <c r="Q77" s="83">
        <f t="shared" si="3"/>
        <v>1282687.7168771434</v>
      </c>
      <c r="R77" s="83">
        <f t="shared" si="3"/>
        <v>698755.71687714336</v>
      </c>
      <c r="S77" s="83">
        <f t="shared" si="3"/>
        <v>204033.71687714336</v>
      </c>
      <c r="T77" s="83">
        <f t="shared" si="3"/>
        <v>-457248.28312285664</v>
      </c>
      <c r="U77" s="83">
        <f t="shared" si="3"/>
        <v>-773130.28312285664</v>
      </c>
      <c r="V77" s="83">
        <f t="shared" si="3"/>
        <v>-973012.28312285664</v>
      </c>
      <c r="W77" s="83">
        <f t="shared" si="3"/>
        <v>-1294869.3931228565</v>
      </c>
      <c r="X77" s="83">
        <f t="shared" si="3"/>
        <v>-2308747.3931228565</v>
      </c>
      <c r="Y77" s="83">
        <f t="shared" si="3"/>
        <v>-2413211.3931228565</v>
      </c>
      <c r="Z77" s="83">
        <f t="shared" si="3"/>
        <v>-4413211.3931228565</v>
      </c>
      <c r="AA77" s="83">
        <f t="shared" si="3"/>
        <v>-4724611.3931228565</v>
      </c>
      <c r="AB77" s="83">
        <f t="shared" si="3"/>
        <v>-4724611.3931228565</v>
      </c>
      <c r="AC77" s="83">
        <f t="shared" si="3"/>
        <v>-5382560.3931228565</v>
      </c>
      <c r="AD77" s="83">
        <f t="shared" si="3"/>
        <v>-872060.39312285651</v>
      </c>
      <c r="AE77" s="83">
        <f t="shared" si="3"/>
        <v>-872060.39312285651</v>
      </c>
      <c r="AF77" s="83">
        <f t="shared" si="3"/>
        <v>-2147398.2931228564</v>
      </c>
      <c r="AG77" s="83">
        <f t="shared" si="3"/>
        <v>-2147398.2931228564</v>
      </c>
      <c r="AH77" s="83">
        <f t="shared" si="3"/>
        <v>-5762622.2931228559</v>
      </c>
      <c r="AI77" s="83">
        <f t="shared" si="3"/>
        <v>-5762622.2931228559</v>
      </c>
      <c r="AJ77" s="83">
        <f t="shared" si="3"/>
        <v>-5762622.2931228559</v>
      </c>
      <c r="AK77" s="83">
        <f t="shared" si="3"/>
        <v>-5762622.2931228559</v>
      </c>
      <c r="AL77" s="83">
        <f t="shared" si="3"/>
        <v>-6122622.2931228559</v>
      </c>
      <c r="AM77" s="83">
        <f t="shared" si="3"/>
        <v>-2937503.2931228559</v>
      </c>
      <c r="AN77" s="83">
        <f t="shared" si="3"/>
        <v>-2937503.2931228559</v>
      </c>
      <c r="AO77" s="83">
        <f t="shared" si="3"/>
        <v>-2937503.2931228559</v>
      </c>
      <c r="AP77" s="83">
        <f t="shared" si="3"/>
        <v>3454996.7068771441</v>
      </c>
      <c r="AQ77" s="83">
        <f t="shared" si="3"/>
        <v>3454996.7068771441</v>
      </c>
      <c r="AR77" s="83">
        <f t="shared" si="3"/>
        <v>3454996.7068771441</v>
      </c>
      <c r="AS77" s="83">
        <f t="shared" si="3"/>
        <v>3454996.7068771441</v>
      </c>
      <c r="AT77" s="83">
        <f t="shared" si="3"/>
        <v>3454996.7068771441</v>
      </c>
      <c r="AU77" s="83">
        <f t="shared" si="3"/>
        <v>3454996.7068771441</v>
      </c>
      <c r="AV77" s="83">
        <f t="shared" si="3"/>
        <v>3454996.7068771441</v>
      </c>
      <c r="AW77" s="83">
        <f t="shared" si="3"/>
        <v>3454996.7068771441</v>
      </c>
      <c r="AX77" s="83">
        <f t="shared" si="3"/>
        <v>3454996.7068771441</v>
      </c>
      <c r="AY77" s="83">
        <f t="shared" si="3"/>
        <v>3454996.7068771441</v>
      </c>
      <c r="AZ77" s="83">
        <f t="shared" si="3"/>
        <v>3454996.7068771441</v>
      </c>
      <c r="BA77" s="83">
        <f t="shared" si="3"/>
        <v>3454996.7068771441</v>
      </c>
      <c r="BB77" s="83">
        <f t="shared" si="3"/>
        <v>3454996.7068771441</v>
      </c>
      <c r="BC77" s="83">
        <f t="shared" si="3"/>
        <v>3454996.7068771441</v>
      </c>
      <c r="BD77" s="83">
        <f t="shared" si="3"/>
        <v>3454996.7068771441</v>
      </c>
      <c r="BE77" s="83">
        <f t="shared" si="3"/>
        <v>3454996.7068771441</v>
      </c>
      <c r="BF77" s="83">
        <f t="shared" si="3"/>
        <v>3454996.7068771441</v>
      </c>
      <c r="BG77" s="83">
        <f t="shared" si="3"/>
        <v>3454996.7068771441</v>
      </c>
    </row>
    <row r="79" spans="1:59" s="5" customFormat="1" ht="2.25" customHeight="1" x14ac:dyDescent="0.2">
      <c r="A79" s="42"/>
      <c r="B79" s="12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</row>
    <row r="80" spans="1:59" s="89" customFormat="1" ht="11.25" customHeight="1" x14ac:dyDescent="0.2">
      <c r="A80" s="85" t="s">
        <v>65</v>
      </c>
      <c r="B80" s="86"/>
      <c r="C80" s="87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</row>
    <row r="81" spans="1:59" s="5" customFormat="1" ht="22.5" x14ac:dyDescent="0.2">
      <c r="A81" s="36" t="s">
        <v>67</v>
      </c>
      <c r="B81" s="27" t="s">
        <v>68</v>
      </c>
      <c r="C81" s="68">
        <v>3221210.79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</row>
    <row r="82" spans="1:59" s="5" customFormat="1" x14ac:dyDescent="0.2">
      <c r="A82" s="36" t="s">
        <v>69</v>
      </c>
      <c r="B82" s="27" t="s">
        <v>70</v>
      </c>
      <c r="C82" s="68">
        <v>9814338.4000000004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</row>
    <row r="83" spans="1:59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</row>
    <row r="84" spans="1:59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</row>
    <row r="86" spans="1:59" x14ac:dyDescent="0.25">
      <c r="B86" s="14"/>
    </row>
  </sheetData>
  <pageMargins left="0.7" right="0.7" top="0.75" bottom="0.75" header="0.3" footer="0.3"/>
  <pageSetup paperSize="9" orientation="portrait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86"/>
  <sheetViews>
    <sheetView topLeftCell="AO52" workbookViewId="0">
      <selection activeCell="C39" sqref="C39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6" width="11.7109375" style="3" bestFit="1" customWidth="1"/>
    <col min="7" max="9" width="11.7109375" style="3" customWidth="1"/>
    <col min="10" max="17" width="11.7109375" style="3" bestFit="1" customWidth="1"/>
    <col min="18" max="42" width="10.85546875" style="3" bestFit="1" customWidth="1"/>
    <col min="43" max="43" width="11.7109375" style="3" bestFit="1" customWidth="1"/>
    <col min="44" max="60" width="10.85546875" style="3" bestFit="1" customWidth="1"/>
    <col min="61" max="16384" width="9" style="3"/>
  </cols>
  <sheetData>
    <row r="1" spans="1:60" ht="12" thickBot="1" x14ac:dyDescent="0.3"/>
    <row r="2" spans="1:60" s="1" customFormat="1" x14ac:dyDescent="0.2">
      <c r="A2" s="43" t="s">
        <v>50</v>
      </c>
      <c r="B2" s="15" t="s">
        <v>27</v>
      </c>
      <c r="C2" s="50">
        <v>1600177.72</v>
      </c>
      <c r="E2" s="8"/>
      <c r="F2" s="8"/>
      <c r="G2" s="8"/>
      <c r="H2" s="8"/>
      <c r="I2" s="8"/>
      <c r="J2" s="8"/>
      <c r="K2" s="8"/>
      <c r="L2" s="8"/>
      <c r="M2" s="8"/>
    </row>
    <row r="3" spans="1:60" s="1" customFormat="1" ht="12" thickBot="1" x14ac:dyDescent="0.25">
      <c r="A3" s="44">
        <v>92.191500000000005</v>
      </c>
      <c r="B3" s="15" t="s">
        <v>28</v>
      </c>
      <c r="C3" s="50">
        <v>10778.95</v>
      </c>
      <c r="E3" s="9"/>
      <c r="F3" s="9"/>
      <c r="G3" s="9"/>
      <c r="H3" s="9"/>
      <c r="I3" s="9"/>
      <c r="J3" s="9"/>
      <c r="K3" s="9"/>
      <c r="L3" s="9"/>
      <c r="M3" s="9"/>
    </row>
    <row r="4" spans="1:60" s="8" customFormat="1" ht="12" thickBot="1" x14ac:dyDescent="0.25">
      <c r="A4" s="45"/>
      <c r="B4" s="15" t="s">
        <v>25</v>
      </c>
      <c r="C4" s="51">
        <v>0</v>
      </c>
    </row>
    <row r="5" spans="1:60" s="6" customFormat="1" x14ac:dyDescent="0.2">
      <c r="A5" s="43" t="s">
        <v>51</v>
      </c>
      <c r="B5" s="49" t="s">
        <v>26</v>
      </c>
      <c r="C5" s="52">
        <f>SUM(C2:C4)</f>
        <v>1610956.67</v>
      </c>
    </row>
    <row r="6" spans="1:60" s="6" customFormat="1" ht="12" thickBot="1" x14ac:dyDescent="0.25">
      <c r="A6" s="44">
        <v>79.729299999999995</v>
      </c>
      <c r="B6" s="16"/>
      <c r="C6" s="53"/>
      <c r="D6" s="17"/>
    </row>
    <row r="7" spans="1:60" s="6" customFormat="1" ht="12" thickBot="1" x14ac:dyDescent="0.25">
      <c r="A7" s="105" t="s">
        <v>51</v>
      </c>
      <c r="B7" s="18" t="s">
        <v>62</v>
      </c>
      <c r="C7" s="54">
        <f>SUM(E16:BH16)</f>
        <v>37416377.639200002</v>
      </c>
    </row>
    <row r="8" spans="1:60" x14ac:dyDescent="0.25">
      <c r="A8" s="43" t="s">
        <v>52</v>
      </c>
      <c r="B8" s="18" t="s">
        <v>84</v>
      </c>
      <c r="C8" s="54">
        <f>SUM(E24:BH25)</f>
        <v>32482941.013103567</v>
      </c>
    </row>
    <row r="9" spans="1:60" ht="12" thickBot="1" x14ac:dyDescent="0.3">
      <c r="A9" s="44">
        <v>11.574299999999999</v>
      </c>
      <c r="B9" s="19" t="s">
        <v>64</v>
      </c>
      <c r="C9" s="55">
        <f>C5+C7-C8-C11</f>
        <v>-6316883.2040235624</v>
      </c>
    </row>
    <row r="10" spans="1:60" x14ac:dyDescent="0.25">
      <c r="A10" s="99" t="s">
        <v>80</v>
      </c>
      <c r="B10" s="18" t="s">
        <v>23</v>
      </c>
      <c r="C10" s="56">
        <f>C16</f>
        <v>4875000</v>
      </c>
    </row>
    <row r="11" spans="1:60" x14ac:dyDescent="0.25">
      <c r="A11" s="101" t="s">
        <v>87</v>
      </c>
      <c r="B11" s="18" t="s">
        <v>24</v>
      </c>
      <c r="C11" s="54">
        <f>C25</f>
        <v>12861276.500119999</v>
      </c>
    </row>
    <row r="12" spans="1:60" x14ac:dyDescent="0.25">
      <c r="A12" s="107" t="s">
        <v>88</v>
      </c>
    </row>
    <row r="13" spans="1:60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</row>
    <row r="14" spans="1:60" s="2" customFormat="1" x14ac:dyDescent="0.25">
      <c r="A14" s="64"/>
      <c r="B14" s="65"/>
      <c r="C14" s="58" t="s">
        <v>56</v>
      </c>
      <c r="D14" s="66"/>
      <c r="E14" s="66">
        <v>46118</v>
      </c>
      <c r="F14" s="66">
        <v>46119</v>
      </c>
      <c r="G14" s="66">
        <v>46120</v>
      </c>
      <c r="H14" s="66">
        <v>46121</v>
      </c>
      <c r="I14" s="66">
        <v>46122</v>
      </c>
      <c r="J14" s="66">
        <v>46123</v>
      </c>
      <c r="K14" s="66">
        <v>46124</v>
      </c>
      <c r="L14" s="66">
        <v>46125</v>
      </c>
      <c r="M14" s="66">
        <v>46126</v>
      </c>
      <c r="N14" s="66">
        <v>46127</v>
      </c>
      <c r="O14" s="66">
        <v>46128</v>
      </c>
      <c r="P14" s="66">
        <v>46129</v>
      </c>
      <c r="Q14" s="66">
        <v>46130</v>
      </c>
      <c r="R14" s="66">
        <v>46131</v>
      </c>
      <c r="S14" s="66">
        <v>46132</v>
      </c>
      <c r="T14" s="66">
        <v>46133</v>
      </c>
      <c r="U14" s="66">
        <v>46134</v>
      </c>
      <c r="V14" s="66">
        <v>46135</v>
      </c>
      <c r="W14" s="66">
        <v>46136</v>
      </c>
      <c r="X14" s="66">
        <v>46137</v>
      </c>
      <c r="Y14" s="66">
        <v>46138</v>
      </c>
      <c r="Z14" s="66">
        <v>46139</v>
      </c>
      <c r="AA14" s="66">
        <v>46140</v>
      </c>
      <c r="AB14" s="66">
        <v>46141</v>
      </c>
      <c r="AC14" s="66">
        <v>46142</v>
      </c>
      <c r="AD14" s="66">
        <v>46143</v>
      </c>
      <c r="AE14" s="66">
        <v>46144</v>
      </c>
      <c r="AF14" s="66">
        <v>46145</v>
      </c>
      <c r="AG14" s="66">
        <v>46146</v>
      </c>
      <c r="AH14" s="66">
        <v>46147</v>
      </c>
      <c r="AI14" s="66">
        <v>46148</v>
      </c>
      <c r="AJ14" s="66">
        <v>46149</v>
      </c>
      <c r="AK14" s="66">
        <v>46150</v>
      </c>
      <c r="AL14" s="66">
        <v>46151</v>
      </c>
      <c r="AM14" s="66">
        <v>46152</v>
      </c>
      <c r="AN14" s="66">
        <v>46153</v>
      </c>
      <c r="AO14" s="66">
        <v>46154</v>
      </c>
      <c r="AP14" s="66">
        <v>46155</v>
      </c>
      <c r="AQ14" s="66">
        <v>46156</v>
      </c>
      <c r="AR14" s="66">
        <v>46157</v>
      </c>
      <c r="AS14" s="66">
        <v>46158</v>
      </c>
      <c r="AT14" s="66">
        <v>46159</v>
      </c>
      <c r="AU14" s="66">
        <v>46160</v>
      </c>
      <c r="AV14" s="66">
        <v>46161</v>
      </c>
      <c r="AW14" s="66">
        <v>46162</v>
      </c>
      <c r="AX14" s="66">
        <v>46163</v>
      </c>
      <c r="AY14" s="66">
        <v>46164</v>
      </c>
      <c r="AZ14" s="66">
        <v>46165</v>
      </c>
      <c r="BA14" s="66">
        <v>46166</v>
      </c>
      <c r="BB14" s="66">
        <v>46167</v>
      </c>
      <c r="BC14" s="66">
        <v>46168</v>
      </c>
      <c r="BD14" s="66">
        <v>46169</v>
      </c>
      <c r="BE14" s="66">
        <v>46170</v>
      </c>
      <c r="BF14" s="66">
        <v>46171</v>
      </c>
      <c r="BG14" s="66">
        <v>46172</v>
      </c>
      <c r="BH14" s="66">
        <v>46173</v>
      </c>
    </row>
    <row r="15" spans="1:60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</row>
    <row r="16" spans="1:60" s="2" customFormat="1" x14ac:dyDescent="0.25">
      <c r="A16" s="39" t="s">
        <v>0</v>
      </c>
      <c r="B16" s="20"/>
      <c r="C16" s="29">
        <f>SUM(C18:C23)</f>
        <v>4875000</v>
      </c>
      <c r="D16" s="29"/>
      <c r="E16" s="29">
        <f t="shared" ref="E16:R16" si="0">SUM(E17:E24)</f>
        <v>1584090.81</v>
      </c>
      <c r="F16" s="29">
        <f t="shared" si="0"/>
        <v>1500000</v>
      </c>
      <c r="G16" s="29">
        <f t="shared" si="0"/>
        <v>500000</v>
      </c>
      <c r="H16" s="29">
        <f t="shared" si="0"/>
        <v>500000</v>
      </c>
      <c r="I16" s="29">
        <f t="shared" si="0"/>
        <v>4875000</v>
      </c>
      <c r="J16" s="29">
        <f t="shared" si="0"/>
        <v>0</v>
      </c>
      <c r="K16" s="29">
        <f t="shared" si="0"/>
        <v>0</v>
      </c>
      <c r="L16" s="29">
        <f t="shared" si="0"/>
        <v>500000</v>
      </c>
      <c r="M16" s="29">
        <f t="shared" si="0"/>
        <v>1000000</v>
      </c>
      <c r="N16" s="29">
        <f t="shared" si="0"/>
        <v>500000</v>
      </c>
      <c r="O16" s="29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8310584.3292000005</v>
      </c>
      <c r="S16" s="29">
        <f t="shared" ref="S16:AL16" si="1">SUM(S17:S24)</f>
        <v>0</v>
      </c>
      <c r="T16" s="29">
        <f t="shared" si="1"/>
        <v>0</v>
      </c>
      <c r="U16" s="29">
        <f t="shared" si="1"/>
        <v>0</v>
      </c>
      <c r="V16" s="29">
        <f t="shared" si="1"/>
        <v>0</v>
      </c>
      <c r="W16" s="29">
        <f t="shared" si="1"/>
        <v>0</v>
      </c>
      <c r="X16" s="29">
        <f t="shared" si="1"/>
        <v>0</v>
      </c>
      <c r="Y16" s="29">
        <f t="shared" si="1"/>
        <v>0</v>
      </c>
      <c r="Z16" s="29">
        <f t="shared" si="1"/>
        <v>0</v>
      </c>
      <c r="AA16" s="29">
        <f t="shared" si="1"/>
        <v>0</v>
      </c>
      <c r="AB16" s="29">
        <f t="shared" si="1"/>
        <v>0</v>
      </c>
      <c r="AC16" s="29">
        <f t="shared" si="1"/>
        <v>0</v>
      </c>
      <c r="AD16" s="29">
        <f t="shared" si="1"/>
        <v>0</v>
      </c>
      <c r="AE16" s="29">
        <f t="shared" si="1"/>
        <v>7037500</v>
      </c>
      <c r="AF16" s="29">
        <f t="shared" si="1"/>
        <v>0</v>
      </c>
      <c r="AG16" s="29">
        <f t="shared" si="1"/>
        <v>0</v>
      </c>
      <c r="AH16" s="29">
        <f t="shared" si="1"/>
        <v>0</v>
      </c>
      <c r="AI16" s="29">
        <f t="shared" si="1"/>
        <v>0</v>
      </c>
      <c r="AJ16" s="29">
        <f t="shared" si="1"/>
        <v>0</v>
      </c>
      <c r="AK16" s="29">
        <f t="shared" si="1"/>
        <v>0</v>
      </c>
      <c r="AL16" s="29">
        <f t="shared" si="1"/>
        <v>0</v>
      </c>
      <c r="AM16" s="29">
        <f>SUM(AM17:AM24)</f>
        <v>0</v>
      </c>
      <c r="AN16" s="29">
        <f t="shared" ref="AN16:BH16" si="2">SUM(AN17:AN24)</f>
        <v>3226702.5</v>
      </c>
      <c r="AO16" s="29">
        <f t="shared" si="2"/>
        <v>0</v>
      </c>
      <c r="AP16" s="29">
        <f t="shared" si="2"/>
        <v>0</v>
      </c>
      <c r="AQ16" s="29">
        <f t="shared" si="2"/>
        <v>7882500</v>
      </c>
      <c r="AR16" s="29">
        <f t="shared" si="2"/>
        <v>0</v>
      </c>
      <c r="AS16" s="29">
        <f t="shared" si="2"/>
        <v>0</v>
      </c>
      <c r="AT16" s="29">
        <f t="shared" si="2"/>
        <v>0</v>
      </c>
      <c r="AU16" s="29">
        <f t="shared" si="2"/>
        <v>0</v>
      </c>
      <c r="AV16" s="29">
        <f t="shared" si="2"/>
        <v>0</v>
      </c>
      <c r="AW16" s="29">
        <f t="shared" si="2"/>
        <v>0</v>
      </c>
      <c r="AX16" s="29">
        <f t="shared" si="2"/>
        <v>0</v>
      </c>
      <c r="AY16" s="29">
        <f t="shared" si="2"/>
        <v>0</v>
      </c>
      <c r="AZ16" s="29">
        <f t="shared" si="2"/>
        <v>0</v>
      </c>
      <c r="BA16" s="29">
        <f t="shared" si="2"/>
        <v>0</v>
      </c>
      <c r="BB16" s="29">
        <f t="shared" si="2"/>
        <v>0</v>
      </c>
      <c r="BC16" s="29">
        <f t="shared" si="2"/>
        <v>0</v>
      </c>
      <c r="BD16" s="29">
        <f t="shared" si="2"/>
        <v>0</v>
      </c>
      <c r="BE16" s="29">
        <f t="shared" si="2"/>
        <v>0</v>
      </c>
      <c r="BF16" s="29">
        <f t="shared" si="2"/>
        <v>0</v>
      </c>
      <c r="BG16" s="29">
        <f t="shared" si="2"/>
        <v>0</v>
      </c>
      <c r="BH16" s="29">
        <f t="shared" si="2"/>
        <v>0</v>
      </c>
    </row>
    <row r="17" spans="1:60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</row>
    <row r="18" spans="1:60" s="80" customFormat="1" x14ac:dyDescent="0.25">
      <c r="A18" s="40" t="s">
        <v>9</v>
      </c>
      <c r="B18" s="21"/>
      <c r="C18" s="59"/>
      <c r="D18" s="30"/>
      <c r="E18" s="30">
        <v>1584090.81</v>
      </c>
      <c r="F18" s="30">
        <v>1500000</v>
      </c>
      <c r="G18" s="30">
        <v>500000</v>
      </c>
      <c r="H18" s="30">
        <v>500000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</row>
    <row r="19" spans="1:60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>
        <v>500000</v>
      </c>
      <c r="M19" s="30">
        <v>1000000</v>
      </c>
      <c r="N19" s="80">
        <v>500000</v>
      </c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</row>
    <row r="20" spans="1:60" s="80" customFormat="1" ht="13.5" customHeight="1" x14ac:dyDescent="0.25">
      <c r="A20" s="40" t="s">
        <v>12</v>
      </c>
      <c r="B20" s="21"/>
      <c r="C20" s="32">
        <v>4875000</v>
      </c>
      <c r="D20" s="30"/>
      <c r="E20" s="30"/>
      <c r="F20" s="30"/>
      <c r="G20" s="30"/>
      <c r="H20" s="30"/>
      <c r="I20" s="32">
        <v>4875000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>
        <v>7037500</v>
      </c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>
        <v>7882500</v>
      </c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</row>
    <row r="21" spans="1:60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</row>
    <row r="22" spans="1:60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3">
        <f>90144.8*A3</f>
        <v>8310584.3292000005</v>
      </c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</row>
    <row r="23" spans="1:60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>
        <f>35000*A3</f>
        <v>3226702.5</v>
      </c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</row>
    <row r="24" spans="1:60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</row>
    <row r="25" spans="1:60" s="4" customFormat="1" x14ac:dyDescent="0.2">
      <c r="A25" s="41" t="s">
        <v>1</v>
      </c>
      <c r="B25" s="22"/>
      <c r="C25" s="34">
        <f>SUM(C27:C75)</f>
        <v>12861276.500119999</v>
      </c>
      <c r="D25" s="34"/>
      <c r="E25" s="34">
        <f t="shared" ref="E25:AM25" si="3">SUM(E26:E76)</f>
        <v>373821.59499999997</v>
      </c>
      <c r="F25" s="34">
        <f t="shared" si="3"/>
        <v>1899960.3668482143</v>
      </c>
      <c r="G25" s="34">
        <f t="shared" si="3"/>
        <v>975672.41428571439</v>
      </c>
      <c r="H25" s="34">
        <f t="shared" si="3"/>
        <v>784662.69079999998</v>
      </c>
      <c r="I25" s="34">
        <f t="shared" si="3"/>
        <v>4497209.9018839281</v>
      </c>
      <c r="J25" s="34">
        <f t="shared" si="3"/>
        <v>390000</v>
      </c>
      <c r="K25" s="34">
        <f t="shared" si="3"/>
        <v>0</v>
      </c>
      <c r="L25" s="34">
        <f t="shared" si="3"/>
        <v>1469528.2450000001</v>
      </c>
      <c r="M25" s="34">
        <f t="shared" si="3"/>
        <v>1178905.5392857143</v>
      </c>
      <c r="N25" s="34">
        <f t="shared" si="3"/>
        <v>1227287.575</v>
      </c>
      <c r="O25" s="34">
        <f t="shared" si="3"/>
        <v>491456.04499999998</v>
      </c>
      <c r="P25" s="34">
        <f t="shared" si="3"/>
        <v>674230.36499999999</v>
      </c>
      <c r="Q25" s="34">
        <f t="shared" si="3"/>
        <v>322903.66499999998</v>
      </c>
      <c r="R25" s="34">
        <f t="shared" si="3"/>
        <v>2264492.6</v>
      </c>
      <c r="S25" s="34">
        <f t="shared" si="3"/>
        <v>583932</v>
      </c>
      <c r="T25" s="34">
        <f t="shared" si="3"/>
        <v>494722</v>
      </c>
      <c r="U25" s="34">
        <f t="shared" si="3"/>
        <v>661282</v>
      </c>
      <c r="V25" s="34">
        <f t="shared" si="3"/>
        <v>315882</v>
      </c>
      <c r="W25" s="34">
        <f t="shared" si="3"/>
        <v>199882</v>
      </c>
      <c r="X25" s="34">
        <f t="shared" si="3"/>
        <v>321857.11</v>
      </c>
      <c r="Y25" s="34">
        <f t="shared" si="3"/>
        <v>1013878</v>
      </c>
      <c r="Z25" s="34">
        <f t="shared" si="3"/>
        <v>104464</v>
      </c>
      <c r="AA25" s="34">
        <f t="shared" si="3"/>
        <v>2000000</v>
      </c>
      <c r="AB25" s="34">
        <f t="shared" si="3"/>
        <v>311400</v>
      </c>
      <c r="AC25" s="34">
        <f t="shared" si="3"/>
        <v>0</v>
      </c>
      <c r="AD25" s="34">
        <f t="shared" si="3"/>
        <v>657949</v>
      </c>
      <c r="AE25" s="34">
        <f t="shared" si="3"/>
        <v>2527000</v>
      </c>
      <c r="AF25" s="34">
        <f t="shared" si="3"/>
        <v>0</v>
      </c>
      <c r="AG25" s="34">
        <f t="shared" si="3"/>
        <v>1275337.8999999999</v>
      </c>
      <c r="AH25" s="34">
        <f t="shared" si="3"/>
        <v>0</v>
      </c>
      <c r="AI25" s="34">
        <f t="shared" si="3"/>
        <v>3615224</v>
      </c>
      <c r="AJ25" s="34">
        <f t="shared" si="3"/>
        <v>0</v>
      </c>
      <c r="AK25" s="34">
        <f t="shared" si="3"/>
        <v>0</v>
      </c>
      <c r="AL25" s="34">
        <f t="shared" si="3"/>
        <v>0</v>
      </c>
      <c r="AM25" s="34">
        <f t="shared" si="3"/>
        <v>360000</v>
      </c>
      <c r="AN25" s="34">
        <f t="shared" ref="AN25:BH25" si="4">SUM(AN26:AN76)</f>
        <v>0</v>
      </c>
      <c r="AO25" s="34">
        <f t="shared" si="4"/>
        <v>0</v>
      </c>
      <c r="AP25" s="34">
        <f t="shared" si="4"/>
        <v>0</v>
      </c>
      <c r="AQ25" s="34">
        <f t="shared" si="4"/>
        <v>1490000</v>
      </c>
      <c r="AR25" s="34">
        <f t="shared" si="4"/>
        <v>0</v>
      </c>
      <c r="AS25" s="34">
        <f t="shared" si="4"/>
        <v>0</v>
      </c>
      <c r="AT25" s="34">
        <f t="shared" si="4"/>
        <v>0</v>
      </c>
      <c r="AU25" s="34">
        <f t="shared" si="4"/>
        <v>0</v>
      </c>
      <c r="AV25" s="34">
        <f t="shared" si="4"/>
        <v>0</v>
      </c>
      <c r="AW25" s="34">
        <f t="shared" si="4"/>
        <v>0</v>
      </c>
      <c r="AX25" s="34">
        <f t="shared" si="4"/>
        <v>0</v>
      </c>
      <c r="AY25" s="34">
        <f t="shared" si="4"/>
        <v>0</v>
      </c>
      <c r="AZ25" s="34">
        <f t="shared" si="4"/>
        <v>0</v>
      </c>
      <c r="BA25" s="34">
        <f t="shared" si="4"/>
        <v>0</v>
      </c>
      <c r="BB25" s="34">
        <f t="shared" si="4"/>
        <v>0</v>
      </c>
      <c r="BC25" s="34">
        <f t="shared" si="4"/>
        <v>0</v>
      </c>
      <c r="BD25" s="34">
        <f t="shared" si="4"/>
        <v>0</v>
      </c>
      <c r="BE25" s="34">
        <f t="shared" si="4"/>
        <v>0</v>
      </c>
      <c r="BF25" s="34">
        <f t="shared" si="4"/>
        <v>0</v>
      </c>
      <c r="BG25" s="34">
        <f t="shared" si="4"/>
        <v>0</v>
      </c>
      <c r="BH25" s="34">
        <f t="shared" si="4"/>
        <v>0</v>
      </c>
    </row>
    <row r="26" spans="1:60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</row>
    <row r="27" spans="1:60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</row>
    <row r="28" spans="1:60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</row>
    <row r="29" spans="1:60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</row>
    <row r="30" spans="1:60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90">
        <v>2000000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</row>
    <row r="31" spans="1:60" s="1" customFormat="1" x14ac:dyDescent="0.2">
      <c r="A31" s="36" t="s">
        <v>7</v>
      </c>
      <c r="B31" s="23" t="s">
        <v>8</v>
      </c>
      <c r="C31" s="60"/>
      <c r="D31" s="24"/>
      <c r="E31" s="24"/>
      <c r="F31" s="114">
        <v>900000</v>
      </c>
      <c r="G31" s="24"/>
      <c r="H31" s="24"/>
      <c r="I31" s="114">
        <v>360000</v>
      </c>
      <c r="J31" s="24"/>
      <c r="K31" s="24"/>
      <c r="L31" s="24"/>
      <c r="M31" s="24"/>
      <c r="N31" s="24"/>
      <c r="O31" s="24"/>
      <c r="P31" s="24"/>
      <c r="Q31" s="24"/>
      <c r="R31" s="24">
        <v>560000</v>
      </c>
      <c r="S31" s="24"/>
      <c r="T31" s="24"/>
      <c r="U31" s="24"/>
      <c r="V31" s="24"/>
      <c r="W31" s="24"/>
      <c r="X31" s="24">
        <f>643714.22/2</f>
        <v>321857.11</v>
      </c>
      <c r="Y31" s="24"/>
      <c r="Z31" s="24"/>
      <c r="AA31" s="24"/>
      <c r="AB31" s="24"/>
      <c r="AC31" s="24"/>
      <c r="AD31" s="24"/>
      <c r="AE31" s="24"/>
      <c r="AF31" s="24"/>
      <c r="AG31" s="24">
        <v>560000</v>
      </c>
      <c r="AH31" s="24"/>
      <c r="AI31" s="24"/>
      <c r="AJ31" s="24"/>
      <c r="AK31" s="24"/>
      <c r="AL31" s="24"/>
      <c r="AM31" s="24">
        <v>360000</v>
      </c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</row>
    <row r="32" spans="1:60" s="1" customFormat="1" x14ac:dyDescent="0.2">
      <c r="A32" s="36" t="s">
        <v>54</v>
      </c>
      <c r="B32" s="23"/>
      <c r="C32" s="60"/>
      <c r="D32" s="24"/>
      <c r="E32" s="24"/>
      <c r="G32" s="24">
        <v>100113.9</v>
      </c>
      <c r="H32" s="24"/>
      <c r="I32" s="24">
        <v>100000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</row>
    <row r="33" spans="1:60" s="1" customFormat="1" x14ac:dyDescent="0.2">
      <c r="A33" s="36" t="s">
        <v>71</v>
      </c>
      <c r="B33" s="23"/>
      <c r="C33" s="60"/>
      <c r="D33" s="24"/>
      <c r="E33" s="24">
        <v>18567.62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>
        <v>200113.9</v>
      </c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</row>
    <row r="34" spans="1:60" s="1" customFormat="1" x14ac:dyDescent="0.2">
      <c r="A34" s="36" t="s">
        <v>53</v>
      </c>
      <c r="B34" s="23"/>
      <c r="C34" s="60"/>
      <c r="D34" s="24"/>
      <c r="E34" s="110">
        <v>50000</v>
      </c>
      <c r="F34" s="111">
        <v>100000</v>
      </c>
      <c r="G34" s="111">
        <v>100000</v>
      </c>
      <c r="H34" s="111">
        <v>100000</v>
      </c>
      <c r="I34" s="111">
        <f>145949.5+50000</f>
        <v>195949.5</v>
      </c>
      <c r="J34" s="24"/>
      <c r="K34" s="24"/>
      <c r="L34" s="24"/>
      <c r="M34" s="24"/>
      <c r="N34" s="24"/>
      <c r="O34" s="24"/>
      <c r="P34" s="24"/>
      <c r="Q34" s="24"/>
      <c r="R34" s="24"/>
      <c r="S34" s="24">
        <v>80000</v>
      </c>
      <c r="T34" s="24">
        <v>80000</v>
      </c>
      <c r="U34" s="24">
        <v>50000</v>
      </c>
      <c r="V34" s="24"/>
      <c r="W34" s="24"/>
      <c r="X34" s="24"/>
      <c r="Y34" s="24"/>
      <c r="Z34" s="24"/>
      <c r="AA34" s="24"/>
      <c r="AB34" s="24"/>
      <c r="AC34" s="24"/>
      <c r="AD34" s="24">
        <v>545949</v>
      </c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</row>
    <row r="35" spans="1:60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s="71" customFormat="1" x14ac:dyDescent="0.2">
      <c r="A36" s="69" t="s">
        <v>14</v>
      </c>
      <c r="B36" s="25" t="s">
        <v>30</v>
      </c>
      <c r="C36" s="70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>
        <v>730000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</row>
    <row r="37" spans="1:60" s="71" customFormat="1" x14ac:dyDescent="0.2">
      <c r="A37" s="69" t="s">
        <v>97</v>
      </c>
      <c r="B37" s="25" t="s">
        <v>98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100">
        <v>311400</v>
      </c>
      <c r="V37" s="24"/>
      <c r="W37" s="24"/>
      <c r="X37" s="24"/>
      <c r="Y37" s="24"/>
      <c r="Z37" s="24"/>
      <c r="AA37" s="24"/>
      <c r="AB37" s="100">
        <v>311400</v>
      </c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</row>
    <row r="38" spans="1:60" s="71" customFormat="1" x14ac:dyDescent="0.2">
      <c r="A38" s="69" t="s">
        <v>17</v>
      </c>
      <c r="B38" s="25" t="s">
        <v>41</v>
      </c>
      <c r="C38" s="70">
        <v>1575440</v>
      </c>
      <c r="D38" s="24"/>
      <c r="E38" s="95">
        <v>25000</v>
      </c>
      <c r="F38" s="95">
        <v>150000</v>
      </c>
      <c r="G38" s="95">
        <v>75000</v>
      </c>
      <c r="H38" s="95">
        <v>100000</v>
      </c>
      <c r="I38" s="95">
        <v>250000</v>
      </c>
      <c r="J38" s="24"/>
      <c r="K38" s="24"/>
      <c r="L38" s="95">
        <v>200000</v>
      </c>
      <c r="M38" s="95">
        <v>100000</v>
      </c>
      <c r="N38" s="95">
        <v>100000</v>
      </c>
      <c r="O38" s="95">
        <v>100000</v>
      </c>
      <c r="P38" s="95">
        <v>195950</v>
      </c>
      <c r="Q38" s="24"/>
      <c r="R38" s="24"/>
      <c r="S38" s="95">
        <v>154050</v>
      </c>
      <c r="T38" s="108">
        <v>100440</v>
      </c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</row>
    <row r="39" spans="1:60" s="71" customFormat="1" x14ac:dyDescent="0.2">
      <c r="A39" s="69" t="s">
        <v>15</v>
      </c>
      <c r="B39" s="25" t="s">
        <v>31</v>
      </c>
      <c r="C39" s="70">
        <v>994688</v>
      </c>
      <c r="D39" s="24"/>
      <c r="E39" s="108">
        <v>75000</v>
      </c>
      <c r="F39" s="108">
        <v>100000</v>
      </c>
      <c r="G39" s="108">
        <v>50000</v>
      </c>
      <c r="H39" s="108">
        <v>100000</v>
      </c>
      <c r="I39" s="108">
        <v>90224</v>
      </c>
      <c r="J39" s="24"/>
      <c r="K39" s="24"/>
      <c r="L39" s="108">
        <v>100000</v>
      </c>
      <c r="M39" s="108">
        <v>75000</v>
      </c>
      <c r="N39" s="108">
        <v>50000</v>
      </c>
      <c r="O39" s="108">
        <v>100000</v>
      </c>
      <c r="P39" s="108">
        <v>115224</v>
      </c>
      <c r="Q39" s="24"/>
      <c r="R39" s="24"/>
      <c r="S39" s="108">
        <v>100000</v>
      </c>
      <c r="T39" s="108">
        <v>100000</v>
      </c>
      <c r="U39" s="108">
        <v>100000</v>
      </c>
      <c r="V39" s="108">
        <v>100000</v>
      </c>
      <c r="W39" s="108">
        <v>100000</v>
      </c>
      <c r="X39" s="24"/>
      <c r="Y39" s="24"/>
      <c r="Z39" s="108">
        <v>104464</v>
      </c>
      <c r="AA39" s="24"/>
      <c r="AB39" s="24"/>
      <c r="AC39" s="24"/>
      <c r="AD39" s="24"/>
      <c r="AE39" s="24">
        <v>25000</v>
      </c>
      <c r="AF39" s="24"/>
      <c r="AG39" s="98">
        <v>515224</v>
      </c>
      <c r="AH39" s="24"/>
      <c r="AI39" s="24">
        <v>115224</v>
      </c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</row>
    <row r="40" spans="1:60" s="71" customFormat="1" x14ac:dyDescent="0.2">
      <c r="A40" s="69" t="s">
        <v>18</v>
      </c>
      <c r="B40" s="25" t="s">
        <v>32</v>
      </c>
      <c r="C40" s="70"/>
      <c r="D40" s="24"/>
      <c r="E40" s="28"/>
      <c r="F40" s="28"/>
      <c r="G40" s="28"/>
      <c r="H40" s="28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</row>
    <row r="41" spans="1:60" s="73" customFormat="1" x14ac:dyDescent="0.2">
      <c r="A41" s="69" t="s">
        <v>21</v>
      </c>
      <c r="B41" s="25" t="s">
        <v>45</v>
      </c>
      <c r="C41" s="70">
        <f>110000*A9</f>
        <v>1273173</v>
      </c>
      <c r="D41" s="72"/>
      <c r="E41" s="28"/>
      <c r="F41" s="95">
        <f>1305799/7</f>
        <v>186542.71428571429</v>
      </c>
      <c r="G41" s="95">
        <f>1305799/7</f>
        <v>186542.71428571429</v>
      </c>
      <c r="H41" s="95">
        <v>100000</v>
      </c>
      <c r="I41" s="95">
        <f>(1305799/7)*2</f>
        <v>373085.42857142858</v>
      </c>
      <c r="J41" s="24"/>
      <c r="K41" s="24"/>
      <c r="L41" s="95">
        <f>71054.71+69756.71+100000</f>
        <v>240811.42</v>
      </c>
      <c r="M41" s="95">
        <f>1305799/7+5533</f>
        <v>192075.71428571429</v>
      </c>
      <c r="N41" s="28"/>
      <c r="O41" s="24"/>
      <c r="P41" s="24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</row>
    <row r="42" spans="1:60" s="71" customFormat="1" x14ac:dyDescent="0.2">
      <c r="A42" s="69" t="s">
        <v>19</v>
      </c>
      <c r="B42" s="25" t="s">
        <v>46</v>
      </c>
      <c r="C42" s="70">
        <v>950509.15</v>
      </c>
      <c r="D42" s="24"/>
      <c r="E42" s="28"/>
      <c r="F42" s="95">
        <v>75000</v>
      </c>
      <c r="G42" s="95">
        <v>100000</v>
      </c>
      <c r="H42" s="95">
        <v>75000</v>
      </c>
      <c r="I42" s="95">
        <v>200000</v>
      </c>
      <c r="J42" s="24"/>
      <c r="K42" s="24"/>
      <c r="L42" s="24">
        <v>305134</v>
      </c>
      <c r="M42" s="24">
        <v>150000</v>
      </c>
      <c r="N42" s="24">
        <v>49181.53</v>
      </c>
      <c r="O42" s="24"/>
      <c r="P42" s="24"/>
      <c r="Q42" s="24"/>
      <c r="R42" s="24"/>
      <c r="S42" s="24">
        <v>50000</v>
      </c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</row>
    <row r="43" spans="1:60" s="71" customFormat="1" x14ac:dyDescent="0.2">
      <c r="A43" s="69" t="s">
        <v>16</v>
      </c>
      <c r="B43" s="25" t="s">
        <v>32</v>
      </c>
      <c r="C43" s="70">
        <f>231200+665880-25000</f>
        <v>872080</v>
      </c>
      <c r="D43" s="24"/>
      <c r="E43" s="95">
        <v>50000</v>
      </c>
      <c r="F43" s="117">
        <v>25000</v>
      </c>
      <c r="G43" s="95">
        <v>40000</v>
      </c>
      <c r="H43" s="95">
        <v>25000</v>
      </c>
      <c r="I43" s="95">
        <f>40600+499410</f>
        <v>540010</v>
      </c>
      <c r="J43" s="24"/>
      <c r="K43" s="24"/>
      <c r="L43" s="28">
        <f>66588+33294</f>
        <v>99882</v>
      </c>
      <c r="M43" s="28">
        <f>66588+33294</f>
        <v>99882</v>
      </c>
      <c r="N43" s="28">
        <f>66588+33294</f>
        <v>99882</v>
      </c>
      <c r="O43" s="28">
        <f>66588+33294</f>
        <v>99882</v>
      </c>
      <c r="P43" s="28">
        <f>66588+33294</f>
        <v>99882</v>
      </c>
      <c r="Q43" s="28"/>
      <c r="R43" s="28"/>
      <c r="S43" s="28">
        <f>66588+33294</f>
        <v>99882</v>
      </c>
      <c r="T43" s="28">
        <f>66588+33294</f>
        <v>99882</v>
      </c>
      <c r="U43" s="28">
        <f>66588+33294</f>
        <v>99882</v>
      </c>
      <c r="V43" s="28">
        <f>66588+33294</f>
        <v>99882</v>
      </c>
      <c r="W43" s="28">
        <f>66588+33294</f>
        <v>99882</v>
      </c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</row>
    <row r="44" spans="1:60" s="71" customFormat="1" x14ac:dyDescent="0.2">
      <c r="A44" s="69" t="s">
        <v>85</v>
      </c>
      <c r="B44" s="25" t="s">
        <v>47</v>
      </c>
      <c r="C44" s="70">
        <v>277152.75</v>
      </c>
      <c r="D44" s="24"/>
      <c r="E44" s="95">
        <f>750*A6</f>
        <v>59796.974999999999</v>
      </c>
      <c r="F44" s="95">
        <v>78729.95</v>
      </c>
      <c r="G44" s="95">
        <v>56144.3</v>
      </c>
      <c r="H44" s="95">
        <f>26372.55+250*A6</f>
        <v>46304.875</v>
      </c>
      <c r="I44" s="28"/>
      <c r="K44" s="24"/>
      <c r="L44" s="100">
        <f>25000+10572.75+500*A6</f>
        <v>75437.399999999994</v>
      </c>
      <c r="M44" s="100">
        <v>218623.78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</row>
    <row r="45" spans="1:60" s="73" customFormat="1" x14ac:dyDescent="0.2">
      <c r="A45" s="69" t="s">
        <v>22</v>
      </c>
      <c r="B45" s="25" t="s">
        <v>48</v>
      </c>
      <c r="C45" s="75"/>
      <c r="D45" s="72"/>
      <c r="E45" s="28"/>
      <c r="F45" s="100">
        <f>5000*$A$9</f>
        <v>57871.499999999993</v>
      </c>
      <c r="G45" s="100">
        <f>5000*$A$9</f>
        <v>57871.499999999993</v>
      </c>
      <c r="H45" s="100">
        <f>5906*$A$9</f>
        <v>68357.815799999997</v>
      </c>
      <c r="I45" s="24"/>
      <c r="J45" s="24"/>
      <c r="K45" s="24"/>
      <c r="L45" s="24"/>
      <c r="M45" s="24"/>
      <c r="N45" s="24"/>
      <c r="O45" s="24"/>
      <c r="P45" s="24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</row>
    <row r="46" spans="1:60" s="73" customFormat="1" x14ac:dyDescent="0.2">
      <c r="A46" s="69" t="s">
        <v>108</v>
      </c>
      <c r="B46" s="25" t="s">
        <v>109</v>
      </c>
      <c r="C46" s="120"/>
      <c r="D46" s="72"/>
      <c r="E46" s="28"/>
      <c r="F46" s="28"/>
      <c r="G46" s="28"/>
      <c r="H46" s="28"/>
      <c r="I46" s="100">
        <v>33610.5</v>
      </c>
      <c r="J46" s="24"/>
      <c r="K46" s="24"/>
      <c r="L46" s="24"/>
      <c r="M46" s="24"/>
      <c r="N46" s="24"/>
      <c r="O46" s="24"/>
      <c r="P46" s="24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</row>
    <row r="47" spans="1:60" s="71" customFormat="1" x14ac:dyDescent="0.2">
      <c r="A47" s="69" t="s">
        <v>36</v>
      </c>
      <c r="B47" s="25" t="s">
        <v>37</v>
      </c>
      <c r="C47" s="70"/>
      <c r="D47" s="24"/>
      <c r="E47" s="24"/>
      <c r="F47" s="24"/>
      <c r="G47" s="24"/>
      <c r="H47" s="28"/>
      <c r="I47" s="121">
        <f>2577.5*$A$6</f>
        <v>205502.27075</v>
      </c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</row>
    <row r="48" spans="1:60" s="71" customFormat="1" x14ac:dyDescent="0.2">
      <c r="A48" s="69" t="s">
        <v>86</v>
      </c>
      <c r="B48" s="25" t="s">
        <v>35</v>
      </c>
      <c r="C48" s="70">
        <f>3250*$A$6</f>
        <v>259120.22499999998</v>
      </c>
      <c r="D48" s="77"/>
      <c r="E48" s="24"/>
      <c r="F48" s="24"/>
      <c r="G48" s="24"/>
      <c r="H48" s="24"/>
      <c r="I48" s="24"/>
      <c r="K48" s="24"/>
      <c r="L48" s="95">
        <f>$C$48/5</f>
        <v>51824.044999999998</v>
      </c>
      <c r="M48" s="95">
        <f>$C$48/5</f>
        <v>51824.044999999998</v>
      </c>
      <c r="N48" s="95">
        <f>$C$48/5</f>
        <v>51824.044999999998</v>
      </c>
      <c r="O48" s="95">
        <f>$C$48/5</f>
        <v>51824.044999999998</v>
      </c>
      <c r="P48" s="108">
        <f>$C$48/5+2400*A6</f>
        <v>243174.36499999999</v>
      </c>
      <c r="Q48" s="100">
        <f>4050*A6</f>
        <v>322903.66499999998</v>
      </c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</row>
    <row r="49" spans="1:60" s="71" customFormat="1" x14ac:dyDescent="0.2">
      <c r="A49" s="69" t="s">
        <v>78</v>
      </c>
      <c r="B49" s="25" t="s">
        <v>79</v>
      </c>
      <c r="C49" s="70"/>
      <c r="D49" s="77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</row>
    <row r="50" spans="1:60" s="71" customFormat="1" x14ac:dyDescent="0.2">
      <c r="A50" s="69" t="s">
        <v>29</v>
      </c>
      <c r="B50" s="25" t="s">
        <v>42</v>
      </c>
      <c r="C50" s="70">
        <v>20000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</row>
    <row r="51" spans="1:60" s="71" customFormat="1" x14ac:dyDescent="0.2">
      <c r="A51" s="69" t="s">
        <v>29</v>
      </c>
      <c r="B51" s="25" t="s">
        <v>43</v>
      </c>
      <c r="C51" s="70">
        <v>439750</v>
      </c>
      <c r="D51" s="24"/>
      <c r="E51" s="24"/>
      <c r="F51" s="24"/>
      <c r="G51" s="95">
        <v>100000</v>
      </c>
      <c r="H51" s="24"/>
      <c r="I51" s="95">
        <v>100000</v>
      </c>
      <c r="J51" s="24"/>
      <c r="K51" s="24"/>
      <c r="L51" s="24"/>
      <c r="M51" s="24"/>
      <c r="N51" s="95">
        <v>100000</v>
      </c>
      <c r="O51" s="95">
        <v>139750</v>
      </c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</row>
    <row r="52" spans="1:60" s="71" customFormat="1" x14ac:dyDescent="0.2">
      <c r="A52" s="69" t="s">
        <v>104</v>
      </c>
      <c r="B52" s="25" t="s">
        <v>105</v>
      </c>
      <c r="C52" s="70"/>
      <c r="D52" s="77"/>
      <c r="E52" s="24"/>
      <c r="F52" s="24"/>
      <c r="H52" s="24"/>
      <c r="I52" s="100">
        <v>11712</v>
      </c>
      <c r="J52" s="28"/>
      <c r="K52" s="28"/>
      <c r="L52" s="28"/>
      <c r="M52" s="28"/>
      <c r="N52" s="28"/>
      <c r="O52" s="28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</row>
    <row r="53" spans="1:60" s="71" customFormat="1" x14ac:dyDescent="0.2">
      <c r="A53" s="69" t="s">
        <v>99</v>
      </c>
      <c r="B53" s="25" t="s">
        <v>100</v>
      </c>
      <c r="C53" s="70"/>
      <c r="D53" s="77"/>
      <c r="E53" s="24"/>
      <c r="F53" s="24">
        <f>(581.75/2)*$A$3</f>
        <v>26816.202562500002</v>
      </c>
      <c r="G53" s="28"/>
      <c r="H53" s="24"/>
      <c r="I53" s="24">
        <f>(581.75/2)*$A$3</f>
        <v>26816.202562500002</v>
      </c>
      <c r="J53" s="24"/>
      <c r="K53" s="24"/>
      <c r="L53" s="24"/>
      <c r="M53" s="24"/>
      <c r="N53" s="95"/>
      <c r="O53" s="95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</row>
    <row r="54" spans="1:60" s="71" customFormat="1" x14ac:dyDescent="0.2">
      <c r="A54" s="69" t="s">
        <v>29</v>
      </c>
      <c r="B54" s="25" t="s">
        <v>55</v>
      </c>
      <c r="C54" s="76">
        <f>3530*A6</f>
        <v>281444.429</v>
      </c>
      <c r="D54" s="24"/>
      <c r="E54" s="28"/>
      <c r="F54" s="95">
        <v>50000</v>
      </c>
      <c r="G54" s="24"/>
      <c r="H54" s="24"/>
      <c r="I54" s="95">
        <v>75000</v>
      </c>
      <c r="J54" s="24"/>
      <c r="K54" s="24"/>
      <c r="L54" s="95">
        <v>161439.38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</row>
    <row r="55" spans="1:60" s="71" customFormat="1" x14ac:dyDescent="0.2">
      <c r="A55" s="69" t="s">
        <v>40</v>
      </c>
      <c r="B55" s="25" t="s">
        <v>44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>
        <v>1878</v>
      </c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</row>
    <row r="56" spans="1:60" s="71" customFormat="1" x14ac:dyDescent="0.2">
      <c r="A56" s="69" t="s">
        <v>90</v>
      </c>
      <c r="B56" s="25" t="s">
        <v>91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>
        <v>1012000</v>
      </c>
      <c r="Z56" s="24"/>
      <c r="AA56" s="24"/>
      <c r="AB56" s="24"/>
      <c r="AC56" s="24"/>
      <c r="AD56" s="24"/>
      <c r="AE56" s="24">
        <v>1012000</v>
      </c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</row>
    <row r="57" spans="1:60" s="71" customFormat="1" x14ac:dyDescent="0.2">
      <c r="A57" s="69" t="s">
        <v>106</v>
      </c>
      <c r="B57" s="25" t="s">
        <v>107</v>
      </c>
      <c r="C57" s="70"/>
      <c r="D57" s="77"/>
      <c r="E57" s="100">
        <v>8000</v>
      </c>
      <c r="F57" s="24"/>
      <c r="G57" s="100">
        <v>10000</v>
      </c>
      <c r="H57" s="100">
        <v>20000</v>
      </c>
      <c r="I57" s="24"/>
      <c r="J57" s="24"/>
      <c r="K57" s="24"/>
      <c r="L57" s="100">
        <v>20000</v>
      </c>
      <c r="M57" s="24"/>
      <c r="N57" s="100">
        <v>20000</v>
      </c>
      <c r="O57" s="24"/>
      <c r="P57" s="100">
        <v>20000</v>
      </c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</row>
    <row r="58" spans="1:60" s="71" customFormat="1" x14ac:dyDescent="0.2">
      <c r="A58" s="69" t="s">
        <v>102</v>
      </c>
      <c r="B58" s="25" t="s">
        <v>103</v>
      </c>
      <c r="C58" s="70"/>
      <c r="D58" s="77"/>
      <c r="E58" s="100">
        <v>16800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</row>
    <row r="59" spans="1:60" s="71" customFormat="1" x14ac:dyDescent="0.2">
      <c r="A59" s="69" t="s">
        <v>96</v>
      </c>
      <c r="B59" s="25"/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</row>
    <row r="60" spans="1:60" s="71" customFormat="1" x14ac:dyDescent="0.2">
      <c r="A60" s="69" t="s">
        <v>94</v>
      </c>
      <c r="B60" s="25" t="s">
        <v>95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</row>
    <row r="61" spans="1:60" s="71" customFormat="1" x14ac:dyDescent="0.2">
      <c r="A61" s="69" t="s">
        <v>34</v>
      </c>
      <c r="B61" s="25" t="s">
        <v>45</v>
      </c>
      <c r="C61" s="70"/>
      <c r="D61" s="77"/>
      <c r="E61" s="112"/>
      <c r="F61" s="106">
        <v>100000</v>
      </c>
      <c r="G61" s="106">
        <v>100000</v>
      </c>
      <c r="H61" s="106">
        <v>150000</v>
      </c>
      <c r="I61" s="106">
        <v>400000</v>
      </c>
      <c r="J61" s="24"/>
      <c r="K61" s="24"/>
      <c r="L61" s="112"/>
      <c r="P61" s="24"/>
      <c r="Q61" s="24"/>
      <c r="R61" s="24"/>
      <c r="S61" s="106">
        <v>100000</v>
      </c>
      <c r="T61" s="108">
        <v>114400</v>
      </c>
      <c r="U61" s="106">
        <v>100000</v>
      </c>
      <c r="V61" s="106">
        <v>100000</v>
      </c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</row>
    <row r="62" spans="1:60" s="71" customFormat="1" x14ac:dyDescent="0.2">
      <c r="A62" s="69" t="s">
        <v>81</v>
      </c>
      <c r="B62" s="25" t="s">
        <v>82</v>
      </c>
      <c r="C62" s="70"/>
      <c r="D62" s="77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</row>
    <row r="63" spans="1:60" s="71" customFormat="1" x14ac:dyDescent="0.2">
      <c r="A63" s="69" t="s">
        <v>101</v>
      </c>
      <c r="B63" s="25"/>
      <c r="C63" s="70"/>
      <c r="D63" s="77"/>
      <c r="E63" s="24"/>
      <c r="F63" s="24"/>
      <c r="G63" s="24"/>
      <c r="H63" s="24"/>
      <c r="I63" s="24"/>
      <c r="J63" s="24"/>
      <c r="K63" s="24"/>
      <c r="L63" s="24"/>
      <c r="M63" s="100">
        <v>230000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</row>
    <row r="64" spans="1:60" s="71" customFormat="1" x14ac:dyDescent="0.2">
      <c r="A64" s="69" t="s">
        <v>92</v>
      </c>
      <c r="B64" s="25" t="s">
        <v>93</v>
      </c>
      <c r="C64" s="70"/>
      <c r="D64" s="77"/>
      <c r="E64" s="100">
        <v>2657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</row>
    <row r="65" spans="1:60" s="71" customFormat="1" x14ac:dyDescent="0.2">
      <c r="A65" s="69" t="s">
        <v>38</v>
      </c>
      <c r="B65" s="25" t="s">
        <v>39</v>
      </c>
      <c r="C65" s="70">
        <v>432200</v>
      </c>
      <c r="D65" s="24"/>
      <c r="E65" s="95">
        <v>68000</v>
      </c>
      <c r="F65" s="95">
        <v>50000</v>
      </c>
      <c r="G65" s="28"/>
      <c r="H65" s="28"/>
      <c r="I65" s="95">
        <v>45300</v>
      </c>
      <c r="J65" s="24"/>
      <c r="K65" s="24"/>
      <c r="L65" s="95">
        <v>215000</v>
      </c>
      <c r="M65" s="95">
        <v>61500</v>
      </c>
      <c r="N65" s="95">
        <v>26400</v>
      </c>
      <c r="O65" s="24"/>
      <c r="P65" s="24"/>
      <c r="Q65" s="24"/>
      <c r="R65" s="24"/>
      <c r="S65" s="28"/>
      <c r="T65" s="24"/>
      <c r="U65" s="24"/>
      <c r="V65" s="100">
        <v>16000</v>
      </c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</row>
    <row r="66" spans="1:60" s="71" customFormat="1" x14ac:dyDescent="0.2">
      <c r="A66" s="69" t="s">
        <v>74</v>
      </c>
      <c r="B66" s="25" t="s">
        <v>83</v>
      </c>
      <c r="C66" s="70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98">
        <v>104492.6</v>
      </c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>
        <v>3500000</v>
      </c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</row>
    <row r="67" spans="1:60" s="73" customFormat="1" ht="2.25" customHeight="1" x14ac:dyDescent="0.2">
      <c r="A67" s="78"/>
      <c r="B67" s="79"/>
      <c r="C67" s="75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 t="s">
        <v>89</v>
      </c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</row>
    <row r="68" spans="1:60" s="94" customFormat="1" ht="33.75" x14ac:dyDescent="0.2">
      <c r="A68" s="91" t="s">
        <v>60</v>
      </c>
      <c r="B68" s="92" t="s">
        <v>58</v>
      </c>
      <c r="C68" s="93">
        <v>248639.70012000017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/>
    </row>
    <row r="69" spans="1:60" s="94" customFormat="1" ht="33.75" x14ac:dyDescent="0.2">
      <c r="A69" s="91" t="s">
        <v>60</v>
      </c>
      <c r="B69" s="92" t="s">
        <v>59</v>
      </c>
      <c r="C69" s="93">
        <v>0</v>
      </c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3"/>
    </row>
    <row r="70" spans="1:60" s="5" customFormat="1" ht="2.25" customHeigh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</row>
    <row r="71" spans="1:60" s="5" customFormat="1" x14ac:dyDescent="0.2">
      <c r="A71" s="36" t="s">
        <v>49</v>
      </c>
      <c r="B71" s="12"/>
      <c r="C71" s="13">
        <v>1600000</v>
      </c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>
        <v>1600000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>
        <v>1490000</v>
      </c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>
        <v>1490000</v>
      </c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</row>
    <row r="72" spans="1:60" s="5" customFormat="1" x14ac:dyDescent="0.2">
      <c r="A72" s="36" t="s">
        <v>57</v>
      </c>
      <c r="B72" s="12"/>
      <c r="C72" s="68"/>
      <c r="D72" s="26"/>
      <c r="E72" s="13"/>
      <c r="F72" s="13"/>
      <c r="G72" s="13"/>
      <c r="H72" s="13"/>
      <c r="I72" s="13">
        <v>1490000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</row>
    <row r="73" spans="1:60" s="5" customFormat="1" x14ac:dyDescent="0.2">
      <c r="A73" s="36" t="s">
        <v>61</v>
      </c>
      <c r="B73" s="12"/>
      <c r="C73" s="68"/>
      <c r="D73" s="26"/>
      <c r="E73" s="13"/>
      <c r="F73" s="13"/>
      <c r="G73" s="13"/>
      <c r="H73" s="13"/>
      <c r="I73" s="13"/>
      <c r="J73" s="13">
        <v>390000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>
        <v>112000</v>
      </c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</row>
    <row r="74" spans="1:60" s="5" customFormat="1" ht="2.25" customHeight="1" x14ac:dyDescent="0.2">
      <c r="A74" s="42"/>
      <c r="B74" s="12"/>
      <c r="C74" s="68"/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</row>
    <row r="75" spans="1:60" s="5" customFormat="1" x14ac:dyDescent="0.2">
      <c r="A75" s="36" t="s">
        <v>72</v>
      </c>
      <c r="B75" s="27" t="s">
        <v>73</v>
      </c>
      <c r="C75" s="62">
        <v>3637079.2460000003</v>
      </c>
      <c r="D75" s="35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</row>
    <row r="76" spans="1:60" s="5" customFormat="1" ht="2.25" customHeight="1" x14ac:dyDescent="0.2">
      <c r="A76" s="42"/>
      <c r="B76" s="12"/>
      <c r="C76" s="61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</row>
    <row r="77" spans="1:60" s="84" customFormat="1" x14ac:dyDescent="0.2">
      <c r="A77" s="81" t="s">
        <v>66</v>
      </c>
      <c r="B77" s="82"/>
      <c r="C77" s="63"/>
      <c r="D77" s="83"/>
      <c r="E77" s="83">
        <f>$C$5+E16-E25</f>
        <v>2821225.8849999998</v>
      </c>
      <c r="F77" s="83">
        <f t="shared" ref="F77:AM77" si="5">E77+F16-F25</f>
        <v>2421265.5181517852</v>
      </c>
      <c r="G77" s="83">
        <f t="shared" si="5"/>
        <v>1945593.103866071</v>
      </c>
      <c r="H77" s="83">
        <f t="shared" si="5"/>
        <v>1660930.413066071</v>
      </c>
      <c r="I77" s="83">
        <f t="shared" si="5"/>
        <v>2038720.5111821424</v>
      </c>
      <c r="J77" s="83">
        <f t="shared" si="5"/>
        <v>1648720.5111821424</v>
      </c>
      <c r="K77" s="83">
        <f t="shared" si="5"/>
        <v>1648720.5111821424</v>
      </c>
      <c r="L77" s="83">
        <f t="shared" si="5"/>
        <v>679192.26618214231</v>
      </c>
      <c r="M77" s="83">
        <f t="shared" si="5"/>
        <v>500286.72689642804</v>
      </c>
      <c r="N77" s="83">
        <f t="shared" si="5"/>
        <v>-227000.84810357192</v>
      </c>
      <c r="O77" s="83">
        <f t="shared" si="5"/>
        <v>-718456.89310357184</v>
      </c>
      <c r="P77" s="83">
        <f t="shared" si="5"/>
        <v>-1392687.2581035718</v>
      </c>
      <c r="Q77" s="83">
        <f t="shared" si="5"/>
        <v>-1715590.9231035719</v>
      </c>
      <c r="R77" s="83">
        <f t="shared" si="5"/>
        <v>4330500.806096429</v>
      </c>
      <c r="S77" s="83">
        <f t="shared" si="5"/>
        <v>3746568.806096429</v>
      </c>
      <c r="T77" s="83">
        <f t="shared" si="5"/>
        <v>3251846.806096429</v>
      </c>
      <c r="U77" s="83">
        <f t="shared" si="5"/>
        <v>2590564.806096429</v>
      </c>
      <c r="V77" s="83">
        <f t="shared" si="5"/>
        <v>2274682.806096429</v>
      </c>
      <c r="W77" s="83">
        <f t="shared" si="5"/>
        <v>2074800.806096429</v>
      </c>
      <c r="X77" s="83">
        <f t="shared" si="5"/>
        <v>1752943.6960964291</v>
      </c>
      <c r="Y77" s="83">
        <f t="shared" si="5"/>
        <v>739065.69609642914</v>
      </c>
      <c r="Z77" s="83">
        <f t="shared" si="5"/>
        <v>634601.69609642914</v>
      </c>
      <c r="AA77" s="83">
        <f t="shared" si="5"/>
        <v>-1365398.3039035709</v>
      </c>
      <c r="AB77" s="83">
        <f t="shared" si="5"/>
        <v>-1676798.3039035709</v>
      </c>
      <c r="AC77" s="83">
        <f t="shared" si="5"/>
        <v>-1676798.3039035709</v>
      </c>
      <c r="AD77" s="83">
        <f t="shared" si="5"/>
        <v>-2334747.3039035709</v>
      </c>
      <c r="AE77" s="83">
        <f t="shared" si="5"/>
        <v>2175752.6960964296</v>
      </c>
      <c r="AF77" s="83">
        <f t="shared" si="5"/>
        <v>2175752.6960964296</v>
      </c>
      <c r="AG77" s="83">
        <f t="shared" si="5"/>
        <v>900414.79609642969</v>
      </c>
      <c r="AH77" s="83">
        <f t="shared" si="5"/>
        <v>900414.79609642969</v>
      </c>
      <c r="AI77" s="83">
        <f t="shared" si="5"/>
        <v>-2714809.2039035703</v>
      </c>
      <c r="AJ77" s="83">
        <f t="shared" si="5"/>
        <v>-2714809.2039035703</v>
      </c>
      <c r="AK77" s="83">
        <f t="shared" si="5"/>
        <v>-2714809.2039035703</v>
      </c>
      <c r="AL77" s="83">
        <f t="shared" si="5"/>
        <v>-2714809.2039035703</v>
      </c>
      <c r="AM77" s="83">
        <f t="shared" si="5"/>
        <v>-3074809.2039035703</v>
      </c>
      <c r="AN77" s="83">
        <f t="shared" ref="AN77:BH77" si="6">AM77+AN16-AN25</f>
        <v>151893.29609642969</v>
      </c>
      <c r="AO77" s="83">
        <f t="shared" si="6"/>
        <v>151893.29609642969</v>
      </c>
      <c r="AP77" s="83">
        <f t="shared" si="6"/>
        <v>151893.29609642969</v>
      </c>
      <c r="AQ77" s="83">
        <f t="shared" si="6"/>
        <v>6544393.2960964292</v>
      </c>
      <c r="AR77" s="83">
        <f t="shared" si="6"/>
        <v>6544393.2960964292</v>
      </c>
      <c r="AS77" s="83">
        <f t="shared" si="6"/>
        <v>6544393.2960964292</v>
      </c>
      <c r="AT77" s="83">
        <f t="shared" si="6"/>
        <v>6544393.2960964292</v>
      </c>
      <c r="AU77" s="83">
        <f t="shared" si="6"/>
        <v>6544393.2960964292</v>
      </c>
      <c r="AV77" s="83">
        <f t="shared" si="6"/>
        <v>6544393.2960964292</v>
      </c>
      <c r="AW77" s="83">
        <f t="shared" si="6"/>
        <v>6544393.2960964292</v>
      </c>
      <c r="AX77" s="83">
        <f t="shared" si="6"/>
        <v>6544393.2960964292</v>
      </c>
      <c r="AY77" s="83">
        <f t="shared" si="6"/>
        <v>6544393.2960964292</v>
      </c>
      <c r="AZ77" s="83">
        <f t="shared" si="6"/>
        <v>6544393.2960964292</v>
      </c>
      <c r="BA77" s="83">
        <f t="shared" si="6"/>
        <v>6544393.2960964292</v>
      </c>
      <c r="BB77" s="83">
        <f t="shared" si="6"/>
        <v>6544393.2960964292</v>
      </c>
      <c r="BC77" s="83">
        <f t="shared" si="6"/>
        <v>6544393.2960964292</v>
      </c>
      <c r="BD77" s="83">
        <f t="shared" si="6"/>
        <v>6544393.2960964292</v>
      </c>
      <c r="BE77" s="83">
        <f t="shared" si="6"/>
        <v>6544393.2960964292</v>
      </c>
      <c r="BF77" s="83">
        <f t="shared" si="6"/>
        <v>6544393.2960964292</v>
      </c>
      <c r="BG77" s="83">
        <f t="shared" si="6"/>
        <v>6544393.2960964292</v>
      </c>
      <c r="BH77" s="83">
        <f t="shared" si="6"/>
        <v>6544393.2960964292</v>
      </c>
    </row>
    <row r="79" spans="1:60" s="5" customFormat="1" ht="2.25" customHeight="1" x14ac:dyDescent="0.2">
      <c r="A79" s="42"/>
      <c r="B79" s="12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</row>
    <row r="80" spans="1:60" s="89" customFormat="1" ht="11.25" customHeight="1" x14ac:dyDescent="0.2">
      <c r="A80" s="85" t="s">
        <v>65</v>
      </c>
      <c r="B80" s="86"/>
      <c r="C80" s="87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</row>
    <row r="81" spans="1:60" s="5" customFormat="1" ht="22.5" x14ac:dyDescent="0.2">
      <c r="A81" s="36" t="s">
        <v>67</v>
      </c>
      <c r="B81" s="27" t="s">
        <v>68</v>
      </c>
      <c r="C81" s="68">
        <v>3221210.79</v>
      </c>
      <c r="D81" s="26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</row>
    <row r="82" spans="1:60" s="5" customFormat="1" x14ac:dyDescent="0.2">
      <c r="A82" s="36" t="s">
        <v>69</v>
      </c>
      <c r="B82" s="27" t="s">
        <v>70</v>
      </c>
      <c r="C82" s="68">
        <v>9814338.4000000004</v>
      </c>
      <c r="D82" s="26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</row>
    <row r="83" spans="1:60" s="5" customFormat="1" x14ac:dyDescent="0.2">
      <c r="A83" s="36"/>
      <c r="B83" s="27"/>
      <c r="C83" s="68"/>
      <c r="D83" s="26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</row>
    <row r="84" spans="1:60" s="5" customFormat="1" x14ac:dyDescent="0.2">
      <c r="A84" s="36"/>
      <c r="B84" s="27"/>
      <c r="C84" s="68"/>
      <c r="D84" s="26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</row>
    <row r="86" spans="1:60" x14ac:dyDescent="0.25">
      <c r="B86" s="14"/>
    </row>
  </sheetData>
  <pageMargins left="0.7" right="0.7" top="0.75" bottom="0.75" header="0.3" footer="0.3"/>
  <pageSetup paperSize="9" orientation="portrait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82"/>
  <sheetViews>
    <sheetView topLeftCell="A13" workbookViewId="0">
      <selection activeCell="G36" sqref="G36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9" width="11.7109375" style="3" bestFit="1" customWidth="1"/>
    <col min="10" max="12" width="11.7109375" style="3" customWidth="1"/>
    <col min="13" max="20" width="11.7109375" style="3" bestFit="1" customWidth="1"/>
    <col min="21" max="45" width="10.85546875" style="3" bestFit="1" customWidth="1"/>
    <col min="46" max="46" width="11.7109375" style="3" bestFit="1" customWidth="1"/>
    <col min="47" max="63" width="10.85546875" style="3" bestFit="1" customWidth="1"/>
    <col min="64" max="16384" width="9" style="3"/>
  </cols>
  <sheetData>
    <row r="1" spans="1:63" ht="12" thickBot="1" x14ac:dyDescent="0.3"/>
    <row r="2" spans="1:63" s="1" customFormat="1" x14ac:dyDescent="0.2">
      <c r="A2" s="43" t="s">
        <v>50</v>
      </c>
      <c r="B2" s="15" t="s">
        <v>27</v>
      </c>
      <c r="C2" s="50">
        <v>16086.91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63" s="1" customFormat="1" ht="12" thickBot="1" x14ac:dyDescent="0.25">
      <c r="A3" s="44">
        <v>92.732600000000005</v>
      </c>
      <c r="B3" s="15" t="s">
        <v>28</v>
      </c>
      <c r="C3" s="50">
        <v>10778.95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63" s="8" customFormat="1" ht="12" thickBot="1" x14ac:dyDescent="0.25">
      <c r="A4" s="45"/>
      <c r="B4" s="15" t="s">
        <v>25</v>
      </c>
      <c r="C4" s="51">
        <v>0</v>
      </c>
    </row>
    <row r="5" spans="1:63" s="6" customFormat="1" x14ac:dyDescent="0.2">
      <c r="A5" s="43" t="s">
        <v>51</v>
      </c>
      <c r="B5" s="49" t="s">
        <v>26</v>
      </c>
      <c r="C5" s="52">
        <f>SUM(C2:C4)</f>
        <v>26865.86</v>
      </c>
    </row>
    <row r="6" spans="1:63" s="6" customFormat="1" ht="12" thickBot="1" x14ac:dyDescent="0.25">
      <c r="A6" s="44">
        <v>80.333200000000005</v>
      </c>
      <c r="B6" s="16"/>
      <c r="C6" s="53"/>
      <c r="D6" s="17"/>
    </row>
    <row r="7" spans="1:63" s="6" customFormat="1" ht="12" thickBot="1" x14ac:dyDescent="0.25">
      <c r="A7" s="105" t="s">
        <v>51</v>
      </c>
      <c r="B7" s="18" t="s">
        <v>62</v>
      </c>
      <c r="C7" s="54">
        <f>SUM(E16:BK16)</f>
        <v>34154361.680480003</v>
      </c>
    </row>
    <row r="8" spans="1:63" x14ac:dyDescent="0.25">
      <c r="A8" s="43" t="s">
        <v>52</v>
      </c>
      <c r="B8" s="18" t="s">
        <v>84</v>
      </c>
      <c r="C8" s="54">
        <f>SUM(E24:BK25)</f>
        <v>32242179.885564283</v>
      </c>
    </row>
    <row r="9" spans="1:63" ht="12" thickBot="1" x14ac:dyDescent="0.3">
      <c r="A9" s="44">
        <v>11.627800000000001</v>
      </c>
      <c r="B9" s="19" t="s">
        <v>64</v>
      </c>
      <c r="C9" s="55">
        <f>C5+C7-C8-C11</f>
        <v>-10500008.28720428</v>
      </c>
    </row>
    <row r="10" spans="1:63" x14ac:dyDescent="0.25">
      <c r="A10" s="99" t="s">
        <v>80</v>
      </c>
      <c r="B10" s="18" t="s">
        <v>23</v>
      </c>
      <c r="C10" s="56">
        <f>C16</f>
        <v>0</v>
      </c>
      <c r="E10" s="116"/>
    </row>
    <row r="11" spans="1:63" x14ac:dyDescent="0.25">
      <c r="A11" s="101" t="s">
        <v>87</v>
      </c>
      <c r="B11" s="18" t="s">
        <v>24</v>
      </c>
      <c r="C11" s="54">
        <f>C25</f>
        <v>12439055.942120001</v>
      </c>
      <c r="E11" s="115"/>
    </row>
    <row r="12" spans="1:63" x14ac:dyDescent="0.25">
      <c r="A12" s="107" t="s">
        <v>88</v>
      </c>
    </row>
    <row r="13" spans="1:63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</row>
    <row r="14" spans="1:63" s="2" customFormat="1" x14ac:dyDescent="0.25">
      <c r="A14" s="64"/>
      <c r="B14" s="65"/>
      <c r="C14" s="58" t="s">
        <v>56</v>
      </c>
      <c r="D14" s="66"/>
      <c r="E14" s="66">
        <v>46115</v>
      </c>
      <c r="F14" s="66">
        <v>46116</v>
      </c>
      <c r="G14" s="66">
        <v>46117</v>
      </c>
      <c r="H14" s="66">
        <v>46118</v>
      </c>
      <c r="I14" s="66">
        <v>46119</v>
      </c>
      <c r="J14" s="66">
        <v>46120</v>
      </c>
      <c r="K14" s="66">
        <v>46121</v>
      </c>
      <c r="L14" s="66">
        <v>46122</v>
      </c>
      <c r="M14" s="66">
        <v>46123</v>
      </c>
      <c r="N14" s="66">
        <v>46124</v>
      </c>
      <c r="O14" s="66">
        <v>46125</v>
      </c>
      <c r="P14" s="66">
        <v>46126</v>
      </c>
      <c r="Q14" s="66">
        <v>46127</v>
      </c>
      <c r="R14" s="66">
        <v>46128</v>
      </c>
      <c r="S14" s="66">
        <v>46129</v>
      </c>
      <c r="T14" s="66">
        <v>46130</v>
      </c>
      <c r="U14" s="66">
        <v>46131</v>
      </c>
      <c r="V14" s="66">
        <v>46132</v>
      </c>
      <c r="W14" s="66">
        <v>46133</v>
      </c>
      <c r="X14" s="66">
        <v>46134</v>
      </c>
      <c r="Y14" s="66">
        <v>46135</v>
      </c>
      <c r="Z14" s="66">
        <v>46136</v>
      </c>
      <c r="AA14" s="66">
        <v>46137</v>
      </c>
      <c r="AB14" s="66">
        <v>46138</v>
      </c>
      <c r="AC14" s="66">
        <v>46139</v>
      </c>
      <c r="AD14" s="66">
        <v>46140</v>
      </c>
      <c r="AE14" s="66">
        <v>46141</v>
      </c>
      <c r="AF14" s="66">
        <v>46142</v>
      </c>
      <c r="AG14" s="66">
        <v>46143</v>
      </c>
      <c r="AH14" s="66">
        <v>46144</v>
      </c>
      <c r="AI14" s="66">
        <v>46145</v>
      </c>
      <c r="AJ14" s="66">
        <v>46146</v>
      </c>
      <c r="AK14" s="66">
        <v>46147</v>
      </c>
      <c r="AL14" s="66">
        <v>46148</v>
      </c>
      <c r="AM14" s="66">
        <v>46149</v>
      </c>
      <c r="AN14" s="66">
        <v>46150</v>
      </c>
      <c r="AO14" s="66">
        <v>46151</v>
      </c>
      <c r="AP14" s="66">
        <v>46152</v>
      </c>
      <c r="AQ14" s="66">
        <v>46153</v>
      </c>
      <c r="AR14" s="66">
        <v>46154</v>
      </c>
      <c r="AS14" s="66">
        <v>46155</v>
      </c>
      <c r="AT14" s="66">
        <v>46156</v>
      </c>
      <c r="AU14" s="66">
        <v>46157</v>
      </c>
      <c r="AV14" s="66">
        <v>46158</v>
      </c>
      <c r="AW14" s="66">
        <v>46159</v>
      </c>
      <c r="AX14" s="66">
        <v>46160</v>
      </c>
      <c r="AY14" s="66">
        <v>46161</v>
      </c>
      <c r="AZ14" s="66">
        <v>46162</v>
      </c>
      <c r="BA14" s="66">
        <v>46163</v>
      </c>
      <c r="BB14" s="66">
        <v>46164</v>
      </c>
      <c r="BC14" s="66">
        <v>46165</v>
      </c>
      <c r="BD14" s="66">
        <v>46166</v>
      </c>
      <c r="BE14" s="66">
        <v>46167</v>
      </c>
      <c r="BF14" s="66">
        <v>46168</v>
      </c>
      <c r="BG14" s="66">
        <v>46169</v>
      </c>
      <c r="BH14" s="66">
        <v>46170</v>
      </c>
      <c r="BI14" s="66">
        <v>46171</v>
      </c>
      <c r="BJ14" s="66">
        <v>46172</v>
      </c>
      <c r="BK14" s="66">
        <v>46173</v>
      </c>
    </row>
    <row r="15" spans="1:63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</row>
    <row r="16" spans="1:63" s="2" customFormat="1" x14ac:dyDescent="0.25">
      <c r="A16" s="39" t="s">
        <v>0</v>
      </c>
      <c r="B16" s="20"/>
      <c r="C16" s="29">
        <v>0</v>
      </c>
      <c r="D16" s="29"/>
      <c r="E16" s="29">
        <f t="shared" ref="E16:U16" si="0">SUM(E17:E24)</f>
        <v>0</v>
      </c>
      <c r="F16" s="29">
        <f t="shared" si="0"/>
        <v>0</v>
      </c>
      <c r="G16" s="29">
        <f t="shared" si="0"/>
        <v>0</v>
      </c>
      <c r="H16" s="29">
        <f t="shared" si="0"/>
        <v>1500000</v>
      </c>
      <c r="I16" s="29">
        <f t="shared" si="0"/>
        <v>1500000</v>
      </c>
      <c r="J16" s="29">
        <f t="shared" si="0"/>
        <v>500000</v>
      </c>
      <c r="K16" s="29">
        <f t="shared" si="0"/>
        <v>500000</v>
      </c>
      <c r="L16" s="29">
        <f t="shared" si="0"/>
        <v>4875000</v>
      </c>
      <c r="M16" s="29">
        <f t="shared" si="0"/>
        <v>0</v>
      </c>
      <c r="N16" s="29">
        <f t="shared" si="0"/>
        <v>0</v>
      </c>
      <c r="O16" s="29">
        <f t="shared" si="0"/>
        <v>500000</v>
      </c>
      <c r="P16" s="29">
        <f t="shared" si="0"/>
        <v>1000000</v>
      </c>
      <c r="Q16" s="29">
        <f t="shared" si="0"/>
        <v>500000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8359361.6804800006</v>
      </c>
      <c r="V16" s="29">
        <f t="shared" ref="V16:AO16" si="1">SUM(V17:V24)</f>
        <v>0</v>
      </c>
      <c r="W16" s="29">
        <f t="shared" si="1"/>
        <v>0</v>
      </c>
      <c r="X16" s="29">
        <f t="shared" si="1"/>
        <v>0</v>
      </c>
      <c r="Y16" s="29">
        <f t="shared" si="1"/>
        <v>0</v>
      </c>
      <c r="Z16" s="29">
        <f t="shared" si="1"/>
        <v>0</v>
      </c>
      <c r="AA16" s="29">
        <f t="shared" si="1"/>
        <v>0</v>
      </c>
      <c r="AB16" s="29">
        <f t="shared" si="1"/>
        <v>0</v>
      </c>
      <c r="AC16" s="29">
        <f t="shared" si="1"/>
        <v>0</v>
      </c>
      <c r="AD16" s="29">
        <f t="shared" si="1"/>
        <v>0</v>
      </c>
      <c r="AE16" s="29">
        <f t="shared" si="1"/>
        <v>0</v>
      </c>
      <c r="AF16" s="29">
        <f t="shared" si="1"/>
        <v>0</v>
      </c>
      <c r="AG16" s="29">
        <f t="shared" si="1"/>
        <v>0</v>
      </c>
      <c r="AH16" s="29">
        <f t="shared" si="1"/>
        <v>7037500</v>
      </c>
      <c r="AI16" s="29">
        <f t="shared" si="1"/>
        <v>0</v>
      </c>
      <c r="AJ16" s="29">
        <f t="shared" si="1"/>
        <v>0</v>
      </c>
      <c r="AK16" s="29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>SUM(AP17:AP24)</f>
        <v>0</v>
      </c>
      <c r="AQ16" s="29">
        <f t="shared" ref="AQ16:BK16" si="2">SUM(AQ17:AQ24)</f>
        <v>0</v>
      </c>
      <c r="AR16" s="29">
        <f t="shared" si="2"/>
        <v>0</v>
      </c>
      <c r="AS16" s="29">
        <f t="shared" si="2"/>
        <v>0</v>
      </c>
      <c r="AT16" s="29">
        <f t="shared" si="2"/>
        <v>7882500</v>
      </c>
      <c r="AU16" s="29">
        <f t="shared" si="2"/>
        <v>0</v>
      </c>
      <c r="AV16" s="29">
        <f t="shared" si="2"/>
        <v>0</v>
      </c>
      <c r="AW16" s="29">
        <f t="shared" si="2"/>
        <v>0</v>
      </c>
      <c r="AX16" s="29">
        <f t="shared" si="2"/>
        <v>0</v>
      </c>
      <c r="AY16" s="29">
        <f t="shared" si="2"/>
        <v>0</v>
      </c>
      <c r="AZ16" s="29">
        <f t="shared" si="2"/>
        <v>0</v>
      </c>
      <c r="BA16" s="29">
        <f t="shared" si="2"/>
        <v>0</v>
      </c>
      <c r="BB16" s="29">
        <f t="shared" si="2"/>
        <v>0</v>
      </c>
      <c r="BC16" s="29">
        <f t="shared" si="2"/>
        <v>0</v>
      </c>
      <c r="BD16" s="29">
        <f t="shared" si="2"/>
        <v>0</v>
      </c>
      <c r="BE16" s="29">
        <f t="shared" si="2"/>
        <v>0</v>
      </c>
      <c r="BF16" s="29">
        <f t="shared" si="2"/>
        <v>0</v>
      </c>
      <c r="BG16" s="29">
        <f t="shared" si="2"/>
        <v>0</v>
      </c>
      <c r="BH16" s="29">
        <f t="shared" si="2"/>
        <v>0</v>
      </c>
      <c r="BI16" s="29">
        <f t="shared" si="2"/>
        <v>0</v>
      </c>
      <c r="BJ16" s="29">
        <f t="shared" si="2"/>
        <v>0</v>
      </c>
      <c r="BK16" s="29">
        <f t="shared" si="2"/>
        <v>0</v>
      </c>
    </row>
    <row r="17" spans="1:63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</row>
    <row r="18" spans="1:63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>
        <v>1500000</v>
      </c>
      <c r="I18" s="30">
        <v>1500000</v>
      </c>
      <c r="J18" s="30">
        <v>500000</v>
      </c>
      <c r="K18" s="30">
        <v>500000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</row>
    <row r="19" spans="1:63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>
        <v>500000</v>
      </c>
      <c r="P19" s="30">
        <v>1000000</v>
      </c>
      <c r="Q19" s="80">
        <v>500000</v>
      </c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</row>
    <row r="20" spans="1:63" s="80" customFormat="1" ht="13.5" customHeight="1" x14ac:dyDescent="0.25">
      <c r="A20" s="40" t="s">
        <v>12</v>
      </c>
      <c r="B20" s="21"/>
      <c r="C20" s="59"/>
      <c r="D20" s="30"/>
      <c r="E20" s="30"/>
      <c r="F20" s="30"/>
      <c r="G20" s="30"/>
      <c r="H20" s="30"/>
      <c r="I20" s="30"/>
      <c r="J20" s="30"/>
      <c r="K20" s="30"/>
      <c r="L20" s="32">
        <v>4875000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>
        <v>7037500</v>
      </c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>
        <v>7882500</v>
      </c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</row>
    <row r="21" spans="1:63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</row>
    <row r="22" spans="1:63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3">
        <f>90144.8*A3</f>
        <v>8359361.6804800006</v>
      </c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</row>
    <row r="23" spans="1:63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</row>
    <row r="24" spans="1:63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</row>
    <row r="25" spans="1:63" s="4" customFormat="1" x14ac:dyDescent="0.2">
      <c r="A25" s="41" t="s">
        <v>1</v>
      </c>
      <c r="B25" s="22"/>
      <c r="C25" s="34">
        <f>SUM(C27:C71)</f>
        <v>12439055.942120001</v>
      </c>
      <c r="D25" s="34"/>
      <c r="E25" s="34">
        <f t="shared" ref="E25:AO25" si="3">SUM(E26:E72)</f>
        <v>542333.20428571431</v>
      </c>
      <c r="F25" s="34">
        <f t="shared" si="3"/>
        <v>0</v>
      </c>
      <c r="G25" s="34">
        <f t="shared" si="3"/>
        <v>0</v>
      </c>
      <c r="H25" s="34">
        <f t="shared" si="3"/>
        <v>1711661.1010857145</v>
      </c>
      <c r="I25" s="34">
        <f t="shared" si="3"/>
        <v>892246.25931071432</v>
      </c>
      <c r="J25" s="34">
        <f t="shared" si="3"/>
        <v>932800.91428571439</v>
      </c>
      <c r="K25" s="34">
        <f t="shared" si="3"/>
        <v>701372.55</v>
      </c>
      <c r="L25" s="34">
        <f t="shared" si="3"/>
        <v>3827631.3823107146</v>
      </c>
      <c r="M25" s="34">
        <f t="shared" si="3"/>
        <v>608623.78</v>
      </c>
      <c r="N25" s="34">
        <f t="shared" si="3"/>
        <v>0</v>
      </c>
      <c r="O25" s="34">
        <f t="shared" si="3"/>
        <v>1274483.3799999999</v>
      </c>
      <c r="P25" s="34">
        <f t="shared" si="3"/>
        <v>899174.29428571428</v>
      </c>
      <c r="Q25" s="34">
        <f t="shared" si="3"/>
        <v>1181280.1100000001</v>
      </c>
      <c r="R25" s="34">
        <f t="shared" si="3"/>
        <v>491848.58</v>
      </c>
      <c r="S25" s="34">
        <f t="shared" si="3"/>
        <v>656072.26</v>
      </c>
      <c r="T25" s="34">
        <f t="shared" si="3"/>
        <v>325349.46000000002</v>
      </c>
      <c r="U25" s="34">
        <f t="shared" si="3"/>
        <v>2264492.6</v>
      </c>
      <c r="V25" s="34">
        <f t="shared" si="3"/>
        <v>583932</v>
      </c>
      <c r="W25" s="34">
        <f t="shared" si="3"/>
        <v>494722</v>
      </c>
      <c r="X25" s="34">
        <f t="shared" si="3"/>
        <v>661282</v>
      </c>
      <c r="Y25" s="34">
        <f t="shared" si="3"/>
        <v>315882</v>
      </c>
      <c r="Z25" s="34">
        <f t="shared" si="3"/>
        <v>199882</v>
      </c>
      <c r="AA25" s="34">
        <f t="shared" si="3"/>
        <v>321857.11</v>
      </c>
      <c r="AB25" s="34">
        <f t="shared" si="3"/>
        <v>1013878</v>
      </c>
      <c r="AC25" s="34">
        <f t="shared" si="3"/>
        <v>104464</v>
      </c>
      <c r="AD25" s="34">
        <f t="shared" si="3"/>
        <v>2000000</v>
      </c>
      <c r="AE25" s="34">
        <f t="shared" si="3"/>
        <v>311400</v>
      </c>
      <c r="AF25" s="34">
        <f t="shared" si="3"/>
        <v>0</v>
      </c>
      <c r="AG25" s="34">
        <f t="shared" si="3"/>
        <v>657949</v>
      </c>
      <c r="AH25" s="34">
        <f t="shared" si="3"/>
        <v>2527000</v>
      </c>
      <c r="AI25" s="34">
        <f t="shared" si="3"/>
        <v>0</v>
      </c>
      <c r="AJ25" s="34">
        <f t="shared" si="3"/>
        <v>1275337.8999999999</v>
      </c>
      <c r="AK25" s="34">
        <f t="shared" si="3"/>
        <v>0</v>
      </c>
      <c r="AL25" s="34">
        <f t="shared" si="3"/>
        <v>3615224</v>
      </c>
      <c r="AM25" s="34">
        <f t="shared" si="3"/>
        <v>0</v>
      </c>
      <c r="AN25" s="34">
        <f t="shared" si="3"/>
        <v>0</v>
      </c>
      <c r="AO25" s="34">
        <f t="shared" si="3"/>
        <v>0</v>
      </c>
      <c r="AP25" s="34">
        <f>SUM(AP26:AP72)</f>
        <v>360000</v>
      </c>
      <c r="AQ25" s="34">
        <f t="shared" ref="AQ25:BK25" si="4">SUM(AQ26:AQ72)</f>
        <v>0</v>
      </c>
      <c r="AR25" s="34">
        <f t="shared" si="4"/>
        <v>0</v>
      </c>
      <c r="AS25" s="34">
        <f t="shared" si="4"/>
        <v>0</v>
      </c>
      <c r="AT25" s="34">
        <f t="shared" si="4"/>
        <v>1490000</v>
      </c>
      <c r="AU25" s="34">
        <f t="shared" si="4"/>
        <v>0</v>
      </c>
      <c r="AV25" s="34">
        <f t="shared" si="4"/>
        <v>0</v>
      </c>
      <c r="AW25" s="34">
        <f t="shared" si="4"/>
        <v>0</v>
      </c>
      <c r="AX25" s="34">
        <f t="shared" si="4"/>
        <v>0</v>
      </c>
      <c r="AY25" s="34">
        <f t="shared" si="4"/>
        <v>0</v>
      </c>
      <c r="AZ25" s="34">
        <f t="shared" si="4"/>
        <v>0</v>
      </c>
      <c r="BA25" s="34">
        <f t="shared" si="4"/>
        <v>0</v>
      </c>
      <c r="BB25" s="34">
        <f t="shared" si="4"/>
        <v>0</v>
      </c>
      <c r="BC25" s="34">
        <f t="shared" si="4"/>
        <v>0</v>
      </c>
      <c r="BD25" s="34">
        <f t="shared" si="4"/>
        <v>0</v>
      </c>
      <c r="BE25" s="34">
        <f t="shared" si="4"/>
        <v>0</v>
      </c>
      <c r="BF25" s="34">
        <f t="shared" si="4"/>
        <v>0</v>
      </c>
      <c r="BG25" s="34">
        <f t="shared" si="4"/>
        <v>0</v>
      </c>
      <c r="BH25" s="34">
        <f t="shared" si="4"/>
        <v>0</v>
      </c>
      <c r="BI25" s="34">
        <f t="shared" si="4"/>
        <v>0</v>
      </c>
      <c r="BJ25" s="34">
        <f t="shared" si="4"/>
        <v>0</v>
      </c>
      <c r="BK25" s="34">
        <f t="shared" si="4"/>
        <v>0</v>
      </c>
    </row>
    <row r="26" spans="1:63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</row>
    <row r="27" spans="1:63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</row>
    <row r="28" spans="1:63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</row>
    <row r="29" spans="1:63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</row>
    <row r="30" spans="1:63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90">
        <v>2000000</v>
      </c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</row>
    <row r="31" spans="1:63" s="1" customFormat="1" x14ac:dyDescent="0.2">
      <c r="A31" s="36" t="s">
        <v>7</v>
      </c>
      <c r="B31" s="23" t="s">
        <v>8</v>
      </c>
      <c r="C31" s="60"/>
      <c r="D31" s="24"/>
      <c r="E31" s="24"/>
      <c r="F31" s="24"/>
      <c r="G31" s="24"/>
      <c r="H31" s="24">
        <v>900000</v>
      </c>
      <c r="I31" s="114"/>
      <c r="J31" s="24"/>
      <c r="K31" s="24"/>
      <c r="L31" s="114">
        <v>360000</v>
      </c>
      <c r="M31" s="24"/>
      <c r="N31" s="24"/>
      <c r="O31" s="24"/>
      <c r="P31" s="24"/>
      <c r="Q31" s="24"/>
      <c r="R31" s="24"/>
      <c r="S31" s="24"/>
      <c r="T31" s="24"/>
      <c r="U31" s="24">
        <v>560000</v>
      </c>
      <c r="V31" s="24"/>
      <c r="W31" s="24"/>
      <c r="X31" s="24"/>
      <c r="Y31" s="24"/>
      <c r="Z31" s="24"/>
      <c r="AA31" s="24">
        <f>643714.22/2</f>
        <v>321857.11</v>
      </c>
      <c r="AB31" s="24"/>
      <c r="AC31" s="24"/>
      <c r="AD31" s="24"/>
      <c r="AE31" s="24"/>
      <c r="AF31" s="24"/>
      <c r="AG31" s="24"/>
      <c r="AH31" s="24"/>
      <c r="AI31" s="24"/>
      <c r="AJ31" s="24">
        <v>560000</v>
      </c>
      <c r="AK31" s="24"/>
      <c r="AL31" s="24"/>
      <c r="AM31" s="24"/>
      <c r="AN31" s="24"/>
      <c r="AO31" s="24"/>
      <c r="AP31" s="24">
        <v>360000</v>
      </c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</row>
    <row r="32" spans="1:63" s="1" customFormat="1" x14ac:dyDescent="0.2">
      <c r="A32" s="36" t="s">
        <v>54</v>
      </c>
      <c r="B32" s="23"/>
      <c r="C32" s="60"/>
      <c r="D32" s="24"/>
      <c r="E32" s="24"/>
      <c r="F32" s="24"/>
      <c r="G32" s="24"/>
      <c r="H32" s="24" t="s">
        <v>89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</row>
    <row r="33" spans="1:63" s="1" customFormat="1" x14ac:dyDescent="0.2">
      <c r="A33" s="36" t="s">
        <v>71</v>
      </c>
      <c r="B33" s="23"/>
      <c r="C33" s="60"/>
      <c r="D33" s="24"/>
      <c r="E33" s="24">
        <f>30000+10500+3500</f>
        <v>44000</v>
      </c>
      <c r="F33" s="24"/>
      <c r="G33" s="24"/>
      <c r="H33" s="24">
        <v>100000</v>
      </c>
      <c r="I33" s="24"/>
      <c r="J33" s="24">
        <v>100113.9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>
        <v>200113.9</v>
      </c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</row>
    <row r="34" spans="1:63" s="1" customFormat="1" x14ac:dyDescent="0.2">
      <c r="A34" s="36" t="s">
        <v>53</v>
      </c>
      <c r="B34" s="23"/>
      <c r="C34" s="60"/>
      <c r="D34" s="24"/>
      <c r="E34" s="24"/>
      <c r="F34" s="24"/>
      <c r="G34" s="24"/>
      <c r="H34" s="110">
        <v>100000</v>
      </c>
      <c r="I34" s="111">
        <v>100000</v>
      </c>
      <c r="J34" s="111">
        <v>100000</v>
      </c>
      <c r="K34" s="111">
        <v>100000</v>
      </c>
      <c r="L34" s="111">
        <v>145949.5</v>
      </c>
      <c r="M34" s="24"/>
      <c r="N34" s="24"/>
      <c r="O34" s="24"/>
      <c r="P34" s="24"/>
      <c r="Q34" s="24"/>
      <c r="R34" s="24"/>
      <c r="S34" s="24"/>
      <c r="T34" s="24"/>
      <c r="U34" s="24"/>
      <c r="V34" s="24">
        <v>80000</v>
      </c>
      <c r="W34" s="24">
        <v>80000</v>
      </c>
      <c r="X34" s="24">
        <v>50000</v>
      </c>
      <c r="Y34" s="24"/>
      <c r="Z34" s="24"/>
      <c r="AA34" s="24"/>
      <c r="AB34" s="24"/>
      <c r="AC34" s="24"/>
      <c r="AD34" s="24"/>
      <c r="AE34" s="24"/>
      <c r="AF34" s="24"/>
      <c r="AG34" s="24">
        <v>545949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</row>
    <row r="35" spans="1:63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</row>
    <row r="36" spans="1:63" s="71" customFormat="1" x14ac:dyDescent="0.2">
      <c r="A36" s="69" t="s">
        <v>14</v>
      </c>
      <c r="B36" s="25" t="s">
        <v>30</v>
      </c>
      <c r="C36" s="70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>
        <v>730000</v>
      </c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</row>
    <row r="37" spans="1:63" s="71" customFormat="1" x14ac:dyDescent="0.2">
      <c r="A37" s="69" t="s">
        <v>97</v>
      </c>
      <c r="B37" s="25" t="s">
        <v>98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100">
        <v>311400</v>
      </c>
      <c r="Y37" s="24"/>
      <c r="Z37" s="24"/>
      <c r="AA37" s="24"/>
      <c r="AB37" s="24"/>
      <c r="AC37" s="24"/>
      <c r="AD37" s="24"/>
      <c r="AE37" s="100">
        <v>311400</v>
      </c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</row>
    <row r="38" spans="1:63" s="71" customFormat="1" x14ac:dyDescent="0.2">
      <c r="A38" s="69" t="s">
        <v>17</v>
      </c>
      <c r="B38" s="25" t="s">
        <v>41</v>
      </c>
      <c r="C38" s="70">
        <v>1575440</v>
      </c>
      <c r="D38" s="24"/>
      <c r="E38" s="95">
        <v>75000</v>
      </c>
      <c r="F38" s="24"/>
      <c r="G38" s="24"/>
      <c r="H38" s="28"/>
      <c r="I38" s="95">
        <v>150000</v>
      </c>
      <c r="J38" s="95">
        <v>75000</v>
      </c>
      <c r="K38" s="95">
        <v>100000</v>
      </c>
      <c r="L38" s="95">
        <v>200000</v>
      </c>
      <c r="M38" s="24"/>
      <c r="N38" s="24"/>
      <c r="O38" s="95">
        <v>200000</v>
      </c>
      <c r="P38" s="95">
        <v>100000</v>
      </c>
      <c r="Q38" s="95">
        <v>100000</v>
      </c>
      <c r="R38" s="95">
        <v>100000</v>
      </c>
      <c r="S38" s="95">
        <v>195950</v>
      </c>
      <c r="T38" s="24"/>
      <c r="U38" s="24"/>
      <c r="V38" s="95">
        <v>154050</v>
      </c>
      <c r="W38" s="108">
        <v>100440</v>
      </c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</row>
    <row r="39" spans="1:63" s="71" customFormat="1" x14ac:dyDescent="0.2">
      <c r="A39" s="69" t="s">
        <v>15</v>
      </c>
      <c r="B39" s="25" t="s">
        <v>31</v>
      </c>
      <c r="C39" s="70">
        <v>994688</v>
      </c>
      <c r="D39" s="24"/>
      <c r="E39" s="108">
        <v>100000</v>
      </c>
      <c r="F39" s="24"/>
      <c r="G39" s="24"/>
      <c r="H39" s="28"/>
      <c r="I39" s="108">
        <v>100000</v>
      </c>
      <c r="J39" s="108">
        <v>50000</v>
      </c>
      <c r="K39" s="108">
        <v>50000</v>
      </c>
      <c r="L39" s="108">
        <v>90224</v>
      </c>
      <c r="M39" s="24"/>
      <c r="N39" s="24"/>
      <c r="O39" s="108">
        <v>100000</v>
      </c>
      <c r="P39" s="108">
        <v>75000</v>
      </c>
      <c r="Q39" s="108">
        <v>50000</v>
      </c>
      <c r="R39" s="108">
        <v>100000</v>
      </c>
      <c r="S39" s="108">
        <v>115224</v>
      </c>
      <c r="T39" s="24"/>
      <c r="U39" s="24"/>
      <c r="V39" s="108">
        <v>100000</v>
      </c>
      <c r="W39" s="108">
        <v>100000</v>
      </c>
      <c r="X39" s="108">
        <v>100000</v>
      </c>
      <c r="Y39" s="108">
        <v>100000</v>
      </c>
      <c r="Z39" s="108">
        <v>100000</v>
      </c>
      <c r="AA39" s="24"/>
      <c r="AB39" s="24"/>
      <c r="AC39" s="108">
        <v>104464</v>
      </c>
      <c r="AD39" s="24"/>
      <c r="AE39" s="24"/>
      <c r="AF39" s="24"/>
      <c r="AG39" s="24"/>
      <c r="AH39" s="24">
        <v>25000</v>
      </c>
      <c r="AI39" s="24"/>
      <c r="AJ39" s="98">
        <v>515224</v>
      </c>
      <c r="AK39" s="24"/>
      <c r="AL39" s="24">
        <v>115224</v>
      </c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</row>
    <row r="40" spans="1:63" s="71" customFormat="1" x14ac:dyDescent="0.2">
      <c r="A40" s="69" t="s">
        <v>18</v>
      </c>
      <c r="B40" s="25" t="s">
        <v>32</v>
      </c>
      <c r="C40" s="70"/>
      <c r="D40" s="24"/>
      <c r="E40" s="28"/>
      <c r="F40" s="28"/>
      <c r="G40" s="28"/>
      <c r="H40" s="28"/>
      <c r="I40" s="28"/>
      <c r="J40" s="28"/>
      <c r="K40" s="28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</row>
    <row r="41" spans="1:63" s="73" customFormat="1" x14ac:dyDescent="0.2">
      <c r="A41" s="69" t="s">
        <v>21</v>
      </c>
      <c r="B41" s="25" t="s">
        <v>45</v>
      </c>
      <c r="C41" s="70">
        <f>110000*A9</f>
        <v>1279058</v>
      </c>
      <c r="D41" s="72"/>
      <c r="E41" s="95">
        <f>1305799/7-16786-69756.71</f>
        <v>100000.00428571428</v>
      </c>
      <c r="F41" s="24"/>
      <c r="G41" s="24"/>
      <c r="H41" s="95">
        <f>1305799/7</f>
        <v>186542.71428571429</v>
      </c>
      <c r="I41" s="95">
        <f>1305799/7</f>
        <v>186542.71428571429</v>
      </c>
      <c r="J41" s="95">
        <f>1305799/7</f>
        <v>186542.71428571429</v>
      </c>
      <c r="K41" s="95">
        <v>100000</v>
      </c>
      <c r="L41" s="95">
        <f>1305799/7</f>
        <v>186542.71428571429</v>
      </c>
      <c r="M41" s="24"/>
      <c r="N41" s="24"/>
      <c r="O41" s="95">
        <f>71054.71+69756.71</f>
        <v>140811.42000000001</v>
      </c>
      <c r="P41" s="95">
        <f>1305799/7+5533</f>
        <v>192075.71428571429</v>
      </c>
      <c r="Q41" s="28"/>
      <c r="R41" s="24"/>
      <c r="S41" s="24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</row>
    <row r="42" spans="1:63" s="71" customFormat="1" x14ac:dyDescent="0.2">
      <c r="A42" s="69" t="s">
        <v>19</v>
      </c>
      <c r="B42" s="25" t="s">
        <v>46</v>
      </c>
      <c r="C42" s="70">
        <v>950509.15</v>
      </c>
      <c r="D42" s="24"/>
      <c r="E42" s="95">
        <v>25000</v>
      </c>
      <c r="F42" s="24"/>
      <c r="G42" s="24"/>
      <c r="H42" s="95">
        <v>75000</v>
      </c>
      <c r="I42" s="95">
        <v>75000</v>
      </c>
      <c r="J42" s="95">
        <v>100000</v>
      </c>
      <c r="K42" s="95">
        <v>75000</v>
      </c>
      <c r="L42" s="95">
        <v>100000</v>
      </c>
      <c r="M42" s="24"/>
      <c r="N42" s="24"/>
      <c r="O42" s="24">
        <v>305134</v>
      </c>
      <c r="P42" s="24">
        <v>150000</v>
      </c>
      <c r="Q42" s="24">
        <v>49181.53</v>
      </c>
      <c r="R42" s="24"/>
      <c r="S42" s="24"/>
      <c r="T42" s="24"/>
      <c r="U42" s="24"/>
      <c r="V42" s="24">
        <v>50000</v>
      </c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</row>
    <row r="43" spans="1:63" s="71" customFormat="1" x14ac:dyDescent="0.2">
      <c r="A43" s="69" t="s">
        <v>16</v>
      </c>
      <c r="B43" s="25" t="s">
        <v>32</v>
      </c>
      <c r="C43" s="70">
        <f>231200+665880-25000</f>
        <v>872080</v>
      </c>
      <c r="D43" s="24"/>
      <c r="E43" s="95">
        <v>25000</v>
      </c>
      <c r="F43" s="24"/>
      <c r="H43" s="95">
        <v>25000</v>
      </c>
      <c r="I43" s="117">
        <v>25000</v>
      </c>
      <c r="J43" s="95">
        <v>40000</v>
      </c>
      <c r="K43" s="95">
        <v>25000</v>
      </c>
      <c r="L43" s="95">
        <f>40600+499410</f>
        <v>540010</v>
      </c>
      <c r="M43" s="24"/>
      <c r="N43" s="24"/>
      <c r="O43" s="28">
        <f>66588+33294</f>
        <v>99882</v>
      </c>
      <c r="P43" s="28">
        <f>66588+33294</f>
        <v>99882</v>
      </c>
      <c r="Q43" s="28">
        <f>66588+33294</f>
        <v>99882</v>
      </c>
      <c r="R43" s="28">
        <f>66588+33294</f>
        <v>99882</v>
      </c>
      <c r="S43" s="28">
        <f>66588+33294</f>
        <v>99882</v>
      </c>
      <c r="T43" s="28"/>
      <c r="U43" s="28"/>
      <c r="V43" s="28">
        <f>66588+33294</f>
        <v>99882</v>
      </c>
      <c r="W43" s="28">
        <f>66588+33294</f>
        <v>99882</v>
      </c>
      <c r="X43" s="28">
        <f>66588+33294</f>
        <v>99882</v>
      </c>
      <c r="Y43" s="28">
        <f>66588+33294</f>
        <v>99882</v>
      </c>
      <c r="Z43" s="28">
        <f>66588+33294</f>
        <v>99882</v>
      </c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</row>
    <row r="44" spans="1:63" s="71" customFormat="1" x14ac:dyDescent="0.2">
      <c r="A44" s="69" t="s">
        <v>85</v>
      </c>
      <c r="B44" s="25" t="s">
        <v>47</v>
      </c>
      <c r="C44" s="70">
        <v>277152.75</v>
      </c>
      <c r="D44" s="24"/>
      <c r="E44" s="95">
        <f>1000*$A$6</f>
        <v>80333.200000000012</v>
      </c>
      <c r="F44" s="24"/>
      <c r="G44" s="24"/>
      <c r="H44" s="95">
        <f>500*$A$6</f>
        <v>40166.600000000006</v>
      </c>
      <c r="I44" s="95">
        <v>78729.95</v>
      </c>
      <c r="J44" s="95">
        <v>56144.3</v>
      </c>
      <c r="K44" s="95">
        <v>26372.55</v>
      </c>
      <c r="L44" s="100">
        <f>25000+10572.75</f>
        <v>35572.75</v>
      </c>
      <c r="M44" s="100">
        <v>218623.78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</row>
    <row r="45" spans="1:63" s="73" customFormat="1" x14ac:dyDescent="0.2">
      <c r="A45" s="69" t="s">
        <v>22</v>
      </c>
      <c r="B45" s="25" t="s">
        <v>48</v>
      </c>
      <c r="C45" s="75"/>
      <c r="D45" s="72"/>
      <c r="E45" s="24"/>
      <c r="G45" s="24"/>
      <c r="H45" s="100">
        <f>15906*A9</f>
        <v>184951.7868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</row>
    <row r="46" spans="1:63" s="71" customFormat="1" x14ac:dyDescent="0.2">
      <c r="A46" s="69" t="s">
        <v>36</v>
      </c>
      <c r="B46" s="25" t="s">
        <v>37</v>
      </c>
      <c r="C46" s="70"/>
      <c r="D46" s="24"/>
      <c r="E46" s="24"/>
      <c r="F46" s="24"/>
      <c r="G46" s="24"/>
      <c r="H46" s="24"/>
      <c r="I46" s="24"/>
      <c r="J46" s="24"/>
      <c r="K46" s="100">
        <v>50000</v>
      </c>
      <c r="L46" s="103">
        <f>2577.5*$A$6-K46</f>
        <v>157058.823</v>
      </c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</row>
    <row r="47" spans="1:63" s="71" customFormat="1" x14ac:dyDescent="0.2">
      <c r="A47" s="69" t="s">
        <v>86</v>
      </c>
      <c r="B47" s="25" t="s">
        <v>35</v>
      </c>
      <c r="C47" s="70">
        <f>3250*$A$6</f>
        <v>261082.90000000002</v>
      </c>
      <c r="D47" s="77"/>
      <c r="E47" s="24"/>
      <c r="F47" s="24"/>
      <c r="G47" s="24"/>
      <c r="H47" s="24"/>
      <c r="I47" s="24"/>
      <c r="J47" s="24"/>
      <c r="K47" s="24"/>
      <c r="L47" s="24"/>
      <c r="N47" s="24"/>
      <c r="O47" s="95">
        <f>$C$47/5</f>
        <v>52216.58</v>
      </c>
      <c r="P47" s="95">
        <f>$C$47/5</f>
        <v>52216.58</v>
      </c>
      <c r="Q47" s="95">
        <f>$C$47/5</f>
        <v>52216.58</v>
      </c>
      <c r="R47" s="95">
        <f>$C$47/5</f>
        <v>52216.58</v>
      </c>
      <c r="S47" s="108">
        <f>$C$47/5+2400*A6</f>
        <v>245016.26</v>
      </c>
      <c r="T47" s="100">
        <f>4050*A6</f>
        <v>325349.46000000002</v>
      </c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</row>
    <row r="48" spans="1:63" s="71" customFormat="1" x14ac:dyDescent="0.2">
      <c r="A48" s="69" t="s">
        <v>78</v>
      </c>
      <c r="B48" s="25" t="s">
        <v>79</v>
      </c>
      <c r="C48" s="70"/>
      <c r="D48" s="77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</row>
    <row r="49" spans="1:63" s="71" customFormat="1" x14ac:dyDescent="0.2">
      <c r="A49" s="69" t="s">
        <v>29</v>
      </c>
      <c r="B49" s="25" t="s">
        <v>42</v>
      </c>
      <c r="C49" s="70">
        <v>20000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</row>
    <row r="50" spans="1:63" s="71" customFormat="1" x14ac:dyDescent="0.2">
      <c r="A50" s="69" t="s">
        <v>29</v>
      </c>
      <c r="B50" s="25" t="s">
        <v>43</v>
      </c>
      <c r="C50" s="70">
        <v>439750</v>
      </c>
      <c r="D50" s="24"/>
      <c r="E50" s="24"/>
      <c r="F50" s="24"/>
      <c r="G50" s="24"/>
      <c r="H50" s="24"/>
      <c r="I50" s="24"/>
      <c r="J50" s="95">
        <v>100000</v>
      </c>
      <c r="K50" s="24"/>
      <c r="L50" s="95">
        <v>100000</v>
      </c>
      <c r="M50" s="24"/>
      <c r="N50" s="24"/>
      <c r="O50" s="24"/>
      <c r="P50" s="24"/>
      <c r="Q50" s="95">
        <v>100000</v>
      </c>
      <c r="R50" s="95">
        <v>139750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</row>
    <row r="51" spans="1:63" s="71" customFormat="1" x14ac:dyDescent="0.2">
      <c r="A51" s="69" t="s">
        <v>99</v>
      </c>
      <c r="B51" s="25" t="s">
        <v>100</v>
      </c>
      <c r="C51" s="70"/>
      <c r="D51" s="77"/>
      <c r="E51" s="24"/>
      <c r="F51" s="24"/>
      <c r="G51" s="24"/>
      <c r="H51" s="24"/>
      <c r="I51" s="24">
        <f>(581.75/2)*$A$3</f>
        <v>26973.595025000002</v>
      </c>
      <c r="J51" s="28"/>
      <c r="K51" s="24"/>
      <c r="L51" s="24">
        <f>(581.75/2)*$A$3</f>
        <v>26973.595025000002</v>
      </c>
      <c r="M51" s="24"/>
      <c r="N51" s="24"/>
      <c r="O51" s="24"/>
      <c r="P51" s="24"/>
      <c r="Q51" s="95"/>
      <c r="R51" s="95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</row>
    <row r="52" spans="1:63" s="71" customFormat="1" x14ac:dyDescent="0.2">
      <c r="A52" s="69" t="s">
        <v>29</v>
      </c>
      <c r="B52" s="25" t="s">
        <v>55</v>
      </c>
      <c r="C52" s="76">
        <f>3530*A6</f>
        <v>283576.196</v>
      </c>
      <c r="D52" s="24"/>
      <c r="E52" s="95">
        <v>25000</v>
      </c>
      <c r="F52" s="24"/>
      <c r="G52" s="24"/>
      <c r="I52" s="95">
        <v>50000</v>
      </c>
      <c r="J52" s="24"/>
      <c r="K52" s="24"/>
      <c r="L52" s="24">
        <v>50000</v>
      </c>
      <c r="M52" s="24"/>
      <c r="N52" s="24"/>
      <c r="O52" s="95">
        <v>161439.38</v>
      </c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</row>
    <row r="53" spans="1:63" s="71" customFormat="1" x14ac:dyDescent="0.2">
      <c r="A53" s="69" t="s">
        <v>40</v>
      </c>
      <c r="B53" s="25" t="s">
        <v>44</v>
      </c>
      <c r="C53" s="7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>
        <v>1878</v>
      </c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</row>
    <row r="54" spans="1:63" s="71" customFormat="1" x14ac:dyDescent="0.2">
      <c r="A54" s="69" t="s">
        <v>90</v>
      </c>
      <c r="B54" s="25" t="s">
        <v>91</v>
      </c>
      <c r="C54" s="70"/>
      <c r="D54" s="77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>
        <v>1012000</v>
      </c>
      <c r="AC54" s="24"/>
      <c r="AD54" s="24"/>
      <c r="AE54" s="24"/>
      <c r="AF54" s="24"/>
      <c r="AG54" s="24"/>
      <c r="AH54" s="24">
        <v>1012000</v>
      </c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</row>
    <row r="55" spans="1:63" s="71" customFormat="1" x14ac:dyDescent="0.2">
      <c r="A55" s="69" t="s">
        <v>96</v>
      </c>
      <c r="B55" s="25"/>
      <c r="C55" s="70"/>
      <c r="D55" s="77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</row>
    <row r="56" spans="1:63" s="71" customFormat="1" x14ac:dyDescent="0.2">
      <c r="A56" s="69" t="s">
        <v>94</v>
      </c>
      <c r="B56" s="25" t="s">
        <v>95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</row>
    <row r="57" spans="1:63" s="71" customFormat="1" x14ac:dyDescent="0.2">
      <c r="A57" s="69" t="s">
        <v>34</v>
      </c>
      <c r="B57" s="25" t="s">
        <v>45</v>
      </c>
      <c r="C57" s="70"/>
      <c r="D57" s="77"/>
      <c r="E57" s="106">
        <v>50000</v>
      </c>
      <c r="F57" s="24"/>
      <c r="G57" s="24"/>
      <c r="H57" s="106">
        <v>100000</v>
      </c>
      <c r="I57" s="106">
        <v>100000</v>
      </c>
      <c r="J57" s="106">
        <v>100000</v>
      </c>
      <c r="K57" s="106">
        <v>150000</v>
      </c>
      <c r="L57" s="106">
        <v>300000</v>
      </c>
      <c r="M57" s="24"/>
      <c r="N57" s="24"/>
      <c r="O57" s="112"/>
      <c r="S57" s="24"/>
      <c r="T57" s="24"/>
      <c r="U57" s="24"/>
      <c r="V57" s="106">
        <v>100000</v>
      </c>
      <c r="W57" s="108">
        <v>114400</v>
      </c>
      <c r="X57" s="106">
        <v>100000</v>
      </c>
      <c r="Y57" s="106">
        <v>100000</v>
      </c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</row>
    <row r="58" spans="1:63" s="71" customFormat="1" x14ac:dyDescent="0.2">
      <c r="A58" s="69" t="s">
        <v>81</v>
      </c>
      <c r="B58" s="25" t="s">
        <v>82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</row>
    <row r="59" spans="1:63" s="71" customFormat="1" x14ac:dyDescent="0.2">
      <c r="A59" s="69" t="s">
        <v>101</v>
      </c>
      <c r="B59" s="25"/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100">
        <v>230000</v>
      </c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</row>
    <row r="60" spans="1:63" s="71" customFormat="1" x14ac:dyDescent="0.2">
      <c r="A60" s="69" t="s">
        <v>92</v>
      </c>
      <c r="B60" s="25" t="s">
        <v>93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</row>
    <row r="61" spans="1:63" s="71" customFormat="1" x14ac:dyDescent="0.2">
      <c r="A61" s="69" t="s">
        <v>38</v>
      </c>
      <c r="B61" s="25" t="s">
        <v>39</v>
      </c>
      <c r="C61" s="70"/>
      <c r="D61" s="24"/>
      <c r="E61" s="100">
        <v>18000</v>
      </c>
      <c r="F61" s="24"/>
      <c r="G61" s="24"/>
      <c r="H61" s="28"/>
      <c r="I61" s="28"/>
      <c r="J61" s="95">
        <v>25000</v>
      </c>
      <c r="K61" s="95">
        <v>25000</v>
      </c>
      <c r="L61" s="100">
        <v>45300</v>
      </c>
      <c r="M61" s="24"/>
      <c r="N61" s="24"/>
      <c r="O61" s="100">
        <v>215000</v>
      </c>
      <c r="P61" s="24"/>
      <c r="Q61" s="24"/>
      <c r="R61" s="24"/>
      <c r="S61" s="24"/>
      <c r="T61" s="24"/>
      <c r="U61" s="24"/>
      <c r="V61" s="28"/>
      <c r="W61" s="24"/>
      <c r="X61" s="24"/>
      <c r="Y61" s="100">
        <v>16000</v>
      </c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</row>
    <row r="62" spans="1:63" s="71" customFormat="1" x14ac:dyDescent="0.2">
      <c r="A62" s="69" t="s">
        <v>74</v>
      </c>
      <c r="B62" s="25" t="s">
        <v>83</v>
      </c>
      <c r="C62" s="70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98">
        <v>104492.6</v>
      </c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>
        <v>3500000</v>
      </c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</row>
    <row r="63" spans="1:63" s="73" customFormat="1" ht="2.25" customHeight="1" x14ac:dyDescent="0.2">
      <c r="A63" s="78"/>
      <c r="B63" s="79"/>
      <c r="C63" s="75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 t="s">
        <v>89</v>
      </c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</row>
    <row r="64" spans="1:63" s="94" customFormat="1" ht="33.75" x14ac:dyDescent="0.2">
      <c r="A64" s="91" t="s">
        <v>60</v>
      </c>
      <c r="B64" s="92" t="s">
        <v>58</v>
      </c>
      <c r="C64" s="93">
        <v>248639.70012000017</v>
      </c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</row>
    <row r="65" spans="1:63" s="94" customFormat="1" ht="33.75" x14ac:dyDescent="0.2">
      <c r="A65" s="91" t="s">
        <v>60</v>
      </c>
      <c r="B65" s="92" t="s">
        <v>59</v>
      </c>
      <c r="C65" s="93">
        <v>0</v>
      </c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</row>
    <row r="66" spans="1:63" s="5" customFormat="1" ht="2.25" customHeight="1" x14ac:dyDescent="0.2">
      <c r="A66" s="42"/>
      <c r="B66" s="12"/>
      <c r="C66" s="68"/>
      <c r="D66" s="26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</row>
    <row r="67" spans="1:63" s="5" customFormat="1" x14ac:dyDescent="0.2">
      <c r="A67" s="36" t="s">
        <v>49</v>
      </c>
      <c r="B67" s="12"/>
      <c r="C67" s="13">
        <v>1600000</v>
      </c>
      <c r="D67" s="26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>
        <v>1600000</v>
      </c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>
        <v>1490000</v>
      </c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>
        <v>1490000</v>
      </c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</row>
    <row r="68" spans="1:63" s="5" customFormat="1" x14ac:dyDescent="0.2">
      <c r="A68" s="36" t="s">
        <v>57</v>
      </c>
      <c r="B68" s="12"/>
      <c r="C68" s="68"/>
      <c r="D68" s="26"/>
      <c r="E68" s="13"/>
      <c r="F68" s="13"/>
      <c r="G68" s="13"/>
      <c r="H68" s="13"/>
      <c r="I68" s="13"/>
      <c r="J68" s="13"/>
      <c r="K68" s="13"/>
      <c r="L68" s="13">
        <v>1490000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1:63" s="5" customFormat="1" x14ac:dyDescent="0.2">
      <c r="A69" s="36" t="s">
        <v>61</v>
      </c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>
        <v>390000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>
        <v>112000</v>
      </c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1:63" s="5" customFormat="1" ht="2.25" customHeigh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1:63" s="5" customFormat="1" x14ac:dyDescent="0.2">
      <c r="A71" s="36" t="s">
        <v>72</v>
      </c>
      <c r="B71" s="27" t="s">
        <v>73</v>
      </c>
      <c r="C71" s="62">
        <v>3637079.2460000003</v>
      </c>
      <c r="D71" s="35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</row>
    <row r="72" spans="1:63" s="5" customFormat="1" ht="2.25" customHeight="1" x14ac:dyDescent="0.2">
      <c r="A72" s="42"/>
      <c r="B72" s="12"/>
      <c r="C72" s="61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1:63" s="84" customFormat="1" x14ac:dyDescent="0.2">
      <c r="A73" s="81" t="s">
        <v>66</v>
      </c>
      <c r="B73" s="82"/>
      <c r="C73" s="63"/>
      <c r="D73" s="83"/>
      <c r="E73" s="83">
        <f>$C$5+E16-E25</f>
        <v>-515467.34428571432</v>
      </c>
      <c r="F73" s="83">
        <f t="shared" ref="F73:AO73" si="5">E73+F16-F25</f>
        <v>-515467.34428571432</v>
      </c>
      <c r="G73" s="83">
        <f t="shared" si="5"/>
        <v>-515467.34428571432</v>
      </c>
      <c r="H73" s="83">
        <f t="shared" si="5"/>
        <v>-727128.44537142885</v>
      </c>
      <c r="I73" s="83">
        <f t="shared" si="5"/>
        <v>-119374.70468214317</v>
      </c>
      <c r="J73" s="83">
        <f t="shared" si="5"/>
        <v>-552175.61896785756</v>
      </c>
      <c r="K73" s="83">
        <f t="shared" si="5"/>
        <v>-753548.16896785761</v>
      </c>
      <c r="L73" s="83">
        <f t="shared" si="5"/>
        <v>293820.44872142794</v>
      </c>
      <c r="M73" s="83">
        <f t="shared" si="5"/>
        <v>-314803.33127857209</v>
      </c>
      <c r="N73" s="83">
        <f t="shared" si="5"/>
        <v>-314803.33127857209</v>
      </c>
      <c r="O73" s="83">
        <f t="shared" si="5"/>
        <v>-1089286.711278572</v>
      </c>
      <c r="P73" s="83">
        <f t="shared" si="5"/>
        <v>-988461.00556428626</v>
      </c>
      <c r="Q73" s="83">
        <f t="shared" si="5"/>
        <v>-1669741.1155642862</v>
      </c>
      <c r="R73" s="83">
        <f t="shared" si="5"/>
        <v>-2161589.6955642863</v>
      </c>
      <c r="S73" s="83">
        <f t="shared" si="5"/>
        <v>-2817661.9555642866</v>
      </c>
      <c r="T73" s="83">
        <f t="shared" si="5"/>
        <v>-3143011.4155642865</v>
      </c>
      <c r="U73" s="83">
        <f t="shared" si="5"/>
        <v>2951857.6649157139</v>
      </c>
      <c r="V73" s="83">
        <f t="shared" si="5"/>
        <v>2367925.6649157139</v>
      </c>
      <c r="W73" s="83">
        <f t="shared" si="5"/>
        <v>1873203.6649157139</v>
      </c>
      <c r="X73" s="83">
        <f t="shared" si="5"/>
        <v>1211921.6649157139</v>
      </c>
      <c r="Y73" s="83">
        <f t="shared" si="5"/>
        <v>896039.66491571395</v>
      </c>
      <c r="Z73" s="83">
        <f t="shared" si="5"/>
        <v>696157.66491571395</v>
      </c>
      <c r="AA73" s="83">
        <f t="shared" si="5"/>
        <v>374300.55491571396</v>
      </c>
      <c r="AB73" s="83">
        <f t="shared" si="5"/>
        <v>-639577.44508428604</v>
      </c>
      <c r="AC73" s="83">
        <f t="shared" si="5"/>
        <v>-744041.44508428604</v>
      </c>
      <c r="AD73" s="83">
        <f t="shared" si="5"/>
        <v>-2744041.4450842859</v>
      </c>
      <c r="AE73" s="83">
        <f t="shared" si="5"/>
        <v>-3055441.4450842859</v>
      </c>
      <c r="AF73" s="83">
        <f t="shared" si="5"/>
        <v>-3055441.4450842859</v>
      </c>
      <c r="AG73" s="83">
        <f t="shared" si="5"/>
        <v>-3713390.4450842859</v>
      </c>
      <c r="AH73" s="83">
        <f t="shared" si="5"/>
        <v>797109.55491571408</v>
      </c>
      <c r="AI73" s="83">
        <f t="shared" si="5"/>
        <v>797109.55491571408</v>
      </c>
      <c r="AJ73" s="83">
        <f t="shared" si="5"/>
        <v>-478228.34508428583</v>
      </c>
      <c r="AK73" s="83">
        <f t="shared" si="5"/>
        <v>-478228.34508428583</v>
      </c>
      <c r="AL73" s="83">
        <f t="shared" si="5"/>
        <v>-4093452.3450842858</v>
      </c>
      <c r="AM73" s="83">
        <f t="shared" si="5"/>
        <v>-4093452.3450842858</v>
      </c>
      <c r="AN73" s="83">
        <f t="shared" si="5"/>
        <v>-4093452.3450842858</v>
      </c>
      <c r="AO73" s="83">
        <f t="shared" si="5"/>
        <v>-4093452.3450842858</v>
      </c>
      <c r="AP73" s="83">
        <f>AO73+AP16-AP25</f>
        <v>-4453452.3450842854</v>
      </c>
      <c r="AQ73" s="83">
        <f t="shared" ref="AQ73:BK73" si="6">AP73+AQ16-AQ25</f>
        <v>-4453452.3450842854</v>
      </c>
      <c r="AR73" s="83">
        <f t="shared" si="6"/>
        <v>-4453452.3450842854</v>
      </c>
      <c r="AS73" s="83">
        <f t="shared" si="6"/>
        <v>-4453452.3450842854</v>
      </c>
      <c r="AT73" s="83">
        <f t="shared" si="6"/>
        <v>1939047.6549157146</v>
      </c>
      <c r="AU73" s="83">
        <f t="shared" si="6"/>
        <v>1939047.6549157146</v>
      </c>
      <c r="AV73" s="83">
        <f t="shared" si="6"/>
        <v>1939047.6549157146</v>
      </c>
      <c r="AW73" s="83">
        <f t="shared" si="6"/>
        <v>1939047.6549157146</v>
      </c>
      <c r="AX73" s="83">
        <f t="shared" si="6"/>
        <v>1939047.6549157146</v>
      </c>
      <c r="AY73" s="83">
        <f t="shared" si="6"/>
        <v>1939047.6549157146</v>
      </c>
      <c r="AZ73" s="83">
        <f t="shared" si="6"/>
        <v>1939047.6549157146</v>
      </c>
      <c r="BA73" s="83">
        <f t="shared" si="6"/>
        <v>1939047.6549157146</v>
      </c>
      <c r="BB73" s="83">
        <f t="shared" si="6"/>
        <v>1939047.6549157146</v>
      </c>
      <c r="BC73" s="83">
        <f t="shared" si="6"/>
        <v>1939047.6549157146</v>
      </c>
      <c r="BD73" s="83">
        <f t="shared" si="6"/>
        <v>1939047.6549157146</v>
      </c>
      <c r="BE73" s="83">
        <f t="shared" si="6"/>
        <v>1939047.6549157146</v>
      </c>
      <c r="BF73" s="83">
        <f t="shared" si="6"/>
        <v>1939047.6549157146</v>
      </c>
      <c r="BG73" s="83">
        <f t="shared" si="6"/>
        <v>1939047.6549157146</v>
      </c>
      <c r="BH73" s="83">
        <f t="shared" si="6"/>
        <v>1939047.6549157146</v>
      </c>
      <c r="BI73" s="83">
        <f t="shared" si="6"/>
        <v>1939047.6549157146</v>
      </c>
      <c r="BJ73" s="83">
        <f t="shared" si="6"/>
        <v>1939047.6549157146</v>
      </c>
      <c r="BK73" s="83">
        <f t="shared" si="6"/>
        <v>1939047.6549157146</v>
      </c>
    </row>
    <row r="75" spans="1:63" s="5" customFormat="1" ht="2.25" customHeight="1" x14ac:dyDescent="0.2">
      <c r="A75" s="42"/>
      <c r="B75" s="12"/>
      <c r="C75" s="68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1:63" s="89" customFormat="1" ht="11.25" customHeight="1" x14ac:dyDescent="0.2">
      <c r="A76" s="85" t="s">
        <v>65</v>
      </c>
      <c r="B76" s="86"/>
      <c r="C76" s="87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</row>
    <row r="77" spans="1:63" s="5" customFormat="1" ht="22.5" x14ac:dyDescent="0.2">
      <c r="A77" s="36" t="s">
        <v>67</v>
      </c>
      <c r="B77" s="27" t="s">
        <v>68</v>
      </c>
      <c r="C77" s="68">
        <v>3221210.79</v>
      </c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1:63" s="5" customFormat="1" x14ac:dyDescent="0.2">
      <c r="A78" s="36" t="s">
        <v>69</v>
      </c>
      <c r="B78" s="27" t="s">
        <v>70</v>
      </c>
      <c r="C78" s="68">
        <v>9814338.4000000004</v>
      </c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</row>
    <row r="79" spans="1:63" s="5" customFormat="1" x14ac:dyDescent="0.2">
      <c r="A79" s="36"/>
      <c r="B79" s="27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</row>
    <row r="80" spans="1:63" s="5" customFormat="1" x14ac:dyDescent="0.2">
      <c r="A80" s="36"/>
      <c r="B80" s="27"/>
      <c r="C80" s="68"/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</row>
    <row r="82" spans="2:2" x14ac:dyDescent="0.25">
      <c r="B82" s="14"/>
    </row>
  </sheetData>
  <pageMargins left="0.7" right="0.7" top="0.75" bottom="0.75" header="0.3" footer="0.3"/>
  <pageSetup paperSize="9" orientation="portrait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82"/>
  <sheetViews>
    <sheetView topLeftCell="A10" workbookViewId="0">
      <selection activeCell="C42" sqref="C42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0" width="11.7109375" style="3" bestFit="1" customWidth="1"/>
    <col min="11" max="13" width="11.7109375" style="3" customWidth="1"/>
    <col min="14" max="21" width="11.7109375" style="3" bestFit="1" customWidth="1"/>
    <col min="22" max="46" width="10.85546875" style="3" bestFit="1" customWidth="1"/>
    <col min="47" max="47" width="11.7109375" style="3" bestFit="1" customWidth="1"/>
    <col min="48" max="64" width="10.85546875" style="3" bestFit="1" customWidth="1"/>
    <col min="65" max="16384" width="9" style="3"/>
  </cols>
  <sheetData>
    <row r="1" spans="1:64" ht="12" thickBot="1" x14ac:dyDescent="0.3"/>
    <row r="2" spans="1:64" s="1" customFormat="1" x14ac:dyDescent="0.2">
      <c r="A2" s="43" t="s">
        <v>50</v>
      </c>
      <c r="B2" s="15" t="s">
        <v>27</v>
      </c>
      <c r="C2" s="50">
        <v>563635.01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64" s="1" customFormat="1" ht="12" thickBot="1" x14ac:dyDescent="0.25">
      <c r="A3" s="44">
        <v>93.444299999999998</v>
      </c>
      <c r="B3" s="15" t="s">
        <v>28</v>
      </c>
      <c r="C3" s="50">
        <v>10778.95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64" s="8" customFormat="1" ht="12" thickBot="1" x14ac:dyDescent="0.25">
      <c r="A4" s="45"/>
      <c r="B4" s="15" t="s">
        <v>25</v>
      </c>
      <c r="C4" s="51">
        <v>0</v>
      </c>
    </row>
    <row r="5" spans="1:64" s="6" customFormat="1" x14ac:dyDescent="0.2">
      <c r="A5" s="43" t="s">
        <v>51</v>
      </c>
      <c r="B5" s="49" t="s">
        <v>26</v>
      </c>
      <c r="C5" s="52">
        <f>SUM(C2:C4)</f>
        <v>574413.96</v>
      </c>
    </row>
    <row r="6" spans="1:64" s="6" customFormat="1" ht="12" thickBot="1" x14ac:dyDescent="0.25">
      <c r="A6" s="44">
        <v>80.623400000000004</v>
      </c>
      <c r="B6" s="16"/>
      <c r="C6" s="53"/>
      <c r="D6" s="17"/>
    </row>
    <row r="7" spans="1:64" s="6" customFormat="1" ht="12" thickBot="1" x14ac:dyDescent="0.25">
      <c r="A7" s="105" t="s">
        <v>51</v>
      </c>
      <c r="B7" s="18" t="s">
        <v>62</v>
      </c>
      <c r="C7" s="54">
        <f>SUM(E16:BL16)</f>
        <v>34218517.734640002</v>
      </c>
    </row>
    <row r="8" spans="1:64" x14ac:dyDescent="0.25">
      <c r="A8" s="43" t="s">
        <v>52</v>
      </c>
      <c r="B8" s="18" t="s">
        <v>84</v>
      </c>
      <c r="C8" s="54">
        <f>SUM(E24:BL25)</f>
        <v>32769469.053139284</v>
      </c>
    </row>
    <row r="9" spans="1:64" ht="12" thickBot="1" x14ac:dyDescent="0.3">
      <c r="A9" s="44">
        <v>11.7804</v>
      </c>
      <c r="B9" s="19" t="s">
        <v>64</v>
      </c>
      <c r="C9" s="55">
        <f>C5+C7-C8-C11</f>
        <v>-10938398.656619281</v>
      </c>
    </row>
    <row r="10" spans="1:64" x14ac:dyDescent="0.25">
      <c r="A10" s="99" t="s">
        <v>80</v>
      </c>
      <c r="B10" s="18" t="s">
        <v>23</v>
      </c>
      <c r="C10" s="56">
        <f>C16</f>
        <v>0</v>
      </c>
      <c r="F10" s="116"/>
    </row>
    <row r="11" spans="1:64" x14ac:dyDescent="0.25">
      <c r="A11" s="101" t="s">
        <v>87</v>
      </c>
      <c r="B11" s="18" t="s">
        <v>24</v>
      </c>
      <c r="C11" s="54">
        <f>C25</f>
        <v>12961861.298119999</v>
      </c>
      <c r="F11" s="115"/>
    </row>
    <row r="12" spans="1:64" x14ac:dyDescent="0.25">
      <c r="A12" s="107" t="s">
        <v>88</v>
      </c>
    </row>
    <row r="13" spans="1:64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s="2" customFormat="1" x14ac:dyDescent="0.25">
      <c r="A14" s="64"/>
      <c r="B14" s="65"/>
      <c r="C14" s="58" t="s">
        <v>56</v>
      </c>
      <c r="D14" s="66"/>
      <c r="E14" s="66">
        <v>46114</v>
      </c>
      <c r="F14" s="66">
        <v>46115</v>
      </c>
      <c r="G14" s="66">
        <v>46116</v>
      </c>
      <c r="H14" s="66">
        <v>46117</v>
      </c>
      <c r="I14" s="66">
        <v>46118</v>
      </c>
      <c r="J14" s="66">
        <v>46119</v>
      </c>
      <c r="K14" s="66">
        <v>46120</v>
      </c>
      <c r="L14" s="66">
        <v>46121</v>
      </c>
      <c r="M14" s="66">
        <v>46122</v>
      </c>
      <c r="N14" s="66">
        <v>46123</v>
      </c>
      <c r="O14" s="66">
        <v>46124</v>
      </c>
      <c r="P14" s="66">
        <v>46125</v>
      </c>
      <c r="Q14" s="66">
        <v>46126</v>
      </c>
      <c r="R14" s="66">
        <v>46127</v>
      </c>
      <c r="S14" s="66">
        <v>46128</v>
      </c>
      <c r="T14" s="66">
        <v>46129</v>
      </c>
      <c r="U14" s="66">
        <v>46130</v>
      </c>
      <c r="V14" s="66">
        <v>46131</v>
      </c>
      <c r="W14" s="66">
        <v>46132</v>
      </c>
      <c r="X14" s="66">
        <v>46133</v>
      </c>
      <c r="Y14" s="66">
        <v>46134</v>
      </c>
      <c r="Z14" s="66">
        <v>46135</v>
      </c>
      <c r="AA14" s="66">
        <v>46136</v>
      </c>
      <c r="AB14" s="66">
        <v>46137</v>
      </c>
      <c r="AC14" s="66">
        <v>46138</v>
      </c>
      <c r="AD14" s="66">
        <v>46139</v>
      </c>
      <c r="AE14" s="66">
        <v>46140</v>
      </c>
      <c r="AF14" s="66">
        <v>46141</v>
      </c>
      <c r="AG14" s="66">
        <v>46142</v>
      </c>
      <c r="AH14" s="66">
        <v>46143</v>
      </c>
      <c r="AI14" s="66">
        <v>46144</v>
      </c>
      <c r="AJ14" s="66">
        <v>46145</v>
      </c>
      <c r="AK14" s="66">
        <v>46146</v>
      </c>
      <c r="AL14" s="66">
        <v>46147</v>
      </c>
      <c r="AM14" s="66">
        <v>46148</v>
      </c>
      <c r="AN14" s="66">
        <v>46149</v>
      </c>
      <c r="AO14" s="66">
        <v>46150</v>
      </c>
      <c r="AP14" s="66">
        <v>46151</v>
      </c>
      <c r="AQ14" s="66">
        <v>46152</v>
      </c>
      <c r="AR14" s="66">
        <v>46153</v>
      </c>
      <c r="AS14" s="66">
        <v>46154</v>
      </c>
      <c r="AT14" s="66">
        <v>46155</v>
      </c>
      <c r="AU14" s="66">
        <v>46156</v>
      </c>
      <c r="AV14" s="66">
        <v>46157</v>
      </c>
      <c r="AW14" s="66">
        <v>46158</v>
      </c>
      <c r="AX14" s="66">
        <v>46159</v>
      </c>
      <c r="AY14" s="66">
        <v>46160</v>
      </c>
      <c r="AZ14" s="66">
        <v>46161</v>
      </c>
      <c r="BA14" s="66">
        <v>46162</v>
      </c>
      <c r="BB14" s="66">
        <v>46163</v>
      </c>
      <c r="BC14" s="66">
        <v>46164</v>
      </c>
      <c r="BD14" s="66">
        <v>46165</v>
      </c>
      <c r="BE14" s="66">
        <v>46166</v>
      </c>
      <c r="BF14" s="66">
        <v>46167</v>
      </c>
      <c r="BG14" s="66">
        <v>46168</v>
      </c>
      <c r="BH14" s="66">
        <v>46169</v>
      </c>
      <c r="BI14" s="66">
        <v>46170</v>
      </c>
      <c r="BJ14" s="66">
        <v>46171</v>
      </c>
      <c r="BK14" s="66">
        <v>46172</v>
      </c>
      <c r="BL14" s="66">
        <v>46173</v>
      </c>
    </row>
    <row r="15" spans="1:64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</row>
    <row r="16" spans="1:64" s="2" customFormat="1" x14ac:dyDescent="0.25">
      <c r="A16" s="39" t="s">
        <v>0</v>
      </c>
      <c r="B16" s="20"/>
      <c r="C16" s="29">
        <v>0</v>
      </c>
      <c r="D16" s="29"/>
      <c r="E16" s="29">
        <f t="shared" ref="E16:V16" si="0">SUM(E17:E24)</f>
        <v>0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29">
        <f t="shared" si="0"/>
        <v>1500000</v>
      </c>
      <c r="J16" s="29">
        <f t="shared" si="0"/>
        <v>1500000</v>
      </c>
      <c r="K16" s="29">
        <f t="shared" si="0"/>
        <v>500000</v>
      </c>
      <c r="L16" s="29">
        <f t="shared" si="0"/>
        <v>500000</v>
      </c>
      <c r="M16" s="29">
        <f t="shared" si="0"/>
        <v>4875000</v>
      </c>
      <c r="N16" s="29">
        <f t="shared" si="0"/>
        <v>0</v>
      </c>
      <c r="O16" s="29">
        <f t="shared" si="0"/>
        <v>0</v>
      </c>
      <c r="P16" s="29">
        <f t="shared" si="0"/>
        <v>500000</v>
      </c>
      <c r="Q16" s="29">
        <f t="shared" si="0"/>
        <v>1000000</v>
      </c>
      <c r="R16" s="29">
        <f t="shared" si="0"/>
        <v>500000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8423517.7346400004</v>
      </c>
      <c r="W16" s="29">
        <f t="shared" ref="W16:AP16" si="1">SUM(W17:W24)</f>
        <v>0</v>
      </c>
      <c r="X16" s="29">
        <f t="shared" si="1"/>
        <v>0</v>
      </c>
      <c r="Y16" s="29">
        <f t="shared" si="1"/>
        <v>0</v>
      </c>
      <c r="Z16" s="29">
        <f t="shared" si="1"/>
        <v>0</v>
      </c>
      <c r="AA16" s="29">
        <f t="shared" si="1"/>
        <v>0</v>
      </c>
      <c r="AB16" s="29">
        <f t="shared" si="1"/>
        <v>0</v>
      </c>
      <c r="AC16" s="29">
        <f t="shared" si="1"/>
        <v>0</v>
      </c>
      <c r="AD16" s="29">
        <f t="shared" si="1"/>
        <v>0</v>
      </c>
      <c r="AE16" s="29">
        <f t="shared" si="1"/>
        <v>0</v>
      </c>
      <c r="AF16" s="29">
        <f t="shared" si="1"/>
        <v>0</v>
      </c>
      <c r="AG16" s="29">
        <f t="shared" si="1"/>
        <v>0</v>
      </c>
      <c r="AH16" s="29">
        <f t="shared" si="1"/>
        <v>0</v>
      </c>
      <c r="AI16" s="29">
        <f t="shared" si="1"/>
        <v>7037500</v>
      </c>
      <c r="AJ16" s="29">
        <f t="shared" si="1"/>
        <v>0</v>
      </c>
      <c r="AK16" s="29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29">
        <f>SUM(AQ17:AQ24)</f>
        <v>0</v>
      </c>
      <c r="AR16" s="29">
        <f t="shared" ref="AR16:BL16" si="2">SUM(AR17:AR24)</f>
        <v>0</v>
      </c>
      <c r="AS16" s="29">
        <f t="shared" si="2"/>
        <v>0</v>
      </c>
      <c r="AT16" s="29">
        <f t="shared" si="2"/>
        <v>0</v>
      </c>
      <c r="AU16" s="29">
        <f t="shared" si="2"/>
        <v>7882500</v>
      </c>
      <c r="AV16" s="29">
        <f t="shared" si="2"/>
        <v>0</v>
      </c>
      <c r="AW16" s="29">
        <f t="shared" si="2"/>
        <v>0</v>
      </c>
      <c r="AX16" s="29">
        <f t="shared" si="2"/>
        <v>0</v>
      </c>
      <c r="AY16" s="29">
        <f t="shared" si="2"/>
        <v>0</v>
      </c>
      <c r="AZ16" s="29">
        <f t="shared" si="2"/>
        <v>0</v>
      </c>
      <c r="BA16" s="29">
        <f t="shared" si="2"/>
        <v>0</v>
      </c>
      <c r="BB16" s="29">
        <f t="shared" si="2"/>
        <v>0</v>
      </c>
      <c r="BC16" s="29">
        <f t="shared" si="2"/>
        <v>0</v>
      </c>
      <c r="BD16" s="29">
        <f t="shared" si="2"/>
        <v>0</v>
      </c>
      <c r="BE16" s="29">
        <f t="shared" si="2"/>
        <v>0</v>
      </c>
      <c r="BF16" s="29">
        <f t="shared" si="2"/>
        <v>0</v>
      </c>
      <c r="BG16" s="29">
        <f t="shared" si="2"/>
        <v>0</v>
      </c>
      <c r="BH16" s="29">
        <f t="shared" si="2"/>
        <v>0</v>
      </c>
      <c r="BI16" s="29">
        <f t="shared" si="2"/>
        <v>0</v>
      </c>
      <c r="BJ16" s="29">
        <f t="shared" si="2"/>
        <v>0</v>
      </c>
      <c r="BK16" s="29">
        <f t="shared" si="2"/>
        <v>0</v>
      </c>
      <c r="BL16" s="29">
        <f t="shared" si="2"/>
        <v>0</v>
      </c>
    </row>
    <row r="17" spans="1:64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</row>
    <row r="18" spans="1:64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>
        <v>1500000</v>
      </c>
      <c r="J18" s="30">
        <v>1500000</v>
      </c>
      <c r="K18" s="30">
        <v>500000</v>
      </c>
      <c r="L18" s="30">
        <v>500000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</row>
    <row r="19" spans="1:64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>
        <v>500000</v>
      </c>
      <c r="Q19" s="30">
        <v>1000000</v>
      </c>
      <c r="R19" s="80">
        <v>500000</v>
      </c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</row>
    <row r="20" spans="1:64" s="80" customFormat="1" ht="13.5" customHeight="1" x14ac:dyDescent="0.25">
      <c r="A20" s="40" t="s">
        <v>12</v>
      </c>
      <c r="B20" s="21"/>
      <c r="C20" s="59"/>
      <c r="D20" s="30"/>
      <c r="E20" s="30"/>
      <c r="F20" s="30"/>
      <c r="G20" s="30"/>
      <c r="H20" s="30"/>
      <c r="I20" s="30"/>
      <c r="J20" s="30"/>
      <c r="K20" s="30"/>
      <c r="L20" s="30"/>
      <c r="M20" s="32">
        <v>4875000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>
        <v>7037500</v>
      </c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>
        <v>7882500</v>
      </c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</row>
    <row r="21" spans="1:64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</row>
    <row r="22" spans="1:64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3">
        <f>90144.8*A3</f>
        <v>8423517.7346400004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</row>
    <row r="23" spans="1:64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</row>
    <row r="24" spans="1:64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</row>
    <row r="25" spans="1:64" s="4" customFormat="1" x14ac:dyDescent="0.2">
      <c r="A25" s="41" t="s">
        <v>1</v>
      </c>
      <c r="B25" s="22"/>
      <c r="C25" s="34">
        <f>SUM(C27:C71)</f>
        <v>12961861.298119999</v>
      </c>
      <c r="D25" s="34"/>
      <c r="E25" s="34">
        <f t="shared" ref="E25:AP25" si="3">SUM(E26:E72)</f>
        <v>547548.10000000009</v>
      </c>
      <c r="F25" s="34">
        <f t="shared" si="3"/>
        <v>570854.41428571427</v>
      </c>
      <c r="G25" s="34">
        <f t="shared" si="3"/>
        <v>0</v>
      </c>
      <c r="H25" s="34">
        <f t="shared" si="3"/>
        <v>0</v>
      </c>
      <c r="I25" s="34">
        <f t="shared" si="3"/>
        <v>1966638.6666857142</v>
      </c>
      <c r="J25" s="34">
        <f t="shared" si="3"/>
        <v>894858.48504821421</v>
      </c>
      <c r="K25" s="34">
        <f t="shared" si="3"/>
        <v>960206.12428571435</v>
      </c>
      <c r="L25" s="34">
        <f t="shared" si="3"/>
        <v>728777.76</v>
      </c>
      <c r="M25" s="34">
        <f t="shared" si="3"/>
        <v>3988915.0085482146</v>
      </c>
      <c r="N25" s="34">
        <f t="shared" si="3"/>
        <v>935148.55</v>
      </c>
      <c r="O25" s="34">
        <f t="shared" si="3"/>
        <v>0</v>
      </c>
      <c r="P25" s="34">
        <f t="shared" si="3"/>
        <v>1152510.0899999999</v>
      </c>
      <c r="Q25" s="34">
        <f t="shared" si="3"/>
        <v>846957.71428571432</v>
      </c>
      <c r="R25" s="34">
        <f t="shared" si="3"/>
        <v>1129063.53</v>
      </c>
      <c r="S25" s="34">
        <f t="shared" si="3"/>
        <v>439632</v>
      </c>
      <c r="T25" s="34">
        <f t="shared" si="3"/>
        <v>411056</v>
      </c>
      <c r="U25" s="34">
        <f t="shared" si="3"/>
        <v>0</v>
      </c>
      <c r="V25" s="34">
        <f t="shared" si="3"/>
        <v>2264492.6</v>
      </c>
      <c r="W25" s="34">
        <f t="shared" si="3"/>
        <v>583932</v>
      </c>
      <c r="X25" s="34">
        <f t="shared" si="3"/>
        <v>494722</v>
      </c>
      <c r="Y25" s="34">
        <f t="shared" si="3"/>
        <v>661282</v>
      </c>
      <c r="Z25" s="34">
        <f t="shared" si="3"/>
        <v>315882</v>
      </c>
      <c r="AA25" s="34">
        <f t="shared" si="3"/>
        <v>199882</v>
      </c>
      <c r="AB25" s="34">
        <f t="shared" si="3"/>
        <v>321857.11</v>
      </c>
      <c r="AC25" s="34">
        <f t="shared" si="3"/>
        <v>1013878</v>
      </c>
      <c r="AD25" s="34">
        <f t="shared" si="3"/>
        <v>104464</v>
      </c>
      <c r="AE25" s="34">
        <f t="shared" si="3"/>
        <v>2000000</v>
      </c>
      <c r="AF25" s="34">
        <f t="shared" si="3"/>
        <v>311400</v>
      </c>
      <c r="AG25" s="34">
        <f t="shared" si="3"/>
        <v>0</v>
      </c>
      <c r="AH25" s="34">
        <f t="shared" si="3"/>
        <v>657949</v>
      </c>
      <c r="AI25" s="34">
        <f t="shared" si="3"/>
        <v>2527000</v>
      </c>
      <c r="AJ25" s="34">
        <f t="shared" si="3"/>
        <v>0</v>
      </c>
      <c r="AK25" s="34">
        <f t="shared" si="3"/>
        <v>1275337.8999999999</v>
      </c>
      <c r="AL25" s="34">
        <f t="shared" si="3"/>
        <v>0</v>
      </c>
      <c r="AM25" s="34">
        <f t="shared" si="3"/>
        <v>3615224</v>
      </c>
      <c r="AN25" s="34">
        <f t="shared" si="3"/>
        <v>0</v>
      </c>
      <c r="AO25" s="34">
        <f t="shared" si="3"/>
        <v>0</v>
      </c>
      <c r="AP25" s="34">
        <f t="shared" si="3"/>
        <v>0</v>
      </c>
      <c r="AQ25" s="34">
        <f>SUM(AQ26:AQ72)</f>
        <v>360000</v>
      </c>
      <c r="AR25" s="34">
        <f t="shared" ref="AR25:BL25" si="4">SUM(AR26:AR72)</f>
        <v>0</v>
      </c>
      <c r="AS25" s="34">
        <f t="shared" si="4"/>
        <v>0</v>
      </c>
      <c r="AT25" s="34">
        <f t="shared" si="4"/>
        <v>0</v>
      </c>
      <c r="AU25" s="34">
        <f t="shared" si="4"/>
        <v>1490000</v>
      </c>
      <c r="AV25" s="34">
        <f t="shared" si="4"/>
        <v>0</v>
      </c>
      <c r="AW25" s="34">
        <f t="shared" si="4"/>
        <v>0</v>
      </c>
      <c r="AX25" s="34">
        <f t="shared" si="4"/>
        <v>0</v>
      </c>
      <c r="AY25" s="34">
        <f t="shared" si="4"/>
        <v>0</v>
      </c>
      <c r="AZ25" s="34">
        <f t="shared" si="4"/>
        <v>0</v>
      </c>
      <c r="BA25" s="34">
        <f t="shared" si="4"/>
        <v>0</v>
      </c>
      <c r="BB25" s="34">
        <f t="shared" si="4"/>
        <v>0</v>
      </c>
      <c r="BC25" s="34">
        <f t="shared" si="4"/>
        <v>0</v>
      </c>
      <c r="BD25" s="34">
        <f t="shared" si="4"/>
        <v>0</v>
      </c>
      <c r="BE25" s="34">
        <f t="shared" si="4"/>
        <v>0</v>
      </c>
      <c r="BF25" s="34">
        <f t="shared" si="4"/>
        <v>0</v>
      </c>
      <c r="BG25" s="34">
        <f t="shared" si="4"/>
        <v>0</v>
      </c>
      <c r="BH25" s="34">
        <f t="shared" si="4"/>
        <v>0</v>
      </c>
      <c r="BI25" s="34">
        <f t="shared" si="4"/>
        <v>0</v>
      </c>
      <c r="BJ25" s="34">
        <f t="shared" si="4"/>
        <v>0</v>
      </c>
      <c r="BK25" s="34">
        <f t="shared" si="4"/>
        <v>0</v>
      </c>
      <c r="BL25" s="34">
        <f t="shared" si="4"/>
        <v>0</v>
      </c>
    </row>
    <row r="26" spans="1:64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</row>
    <row r="27" spans="1:64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</row>
    <row r="28" spans="1:64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</row>
    <row r="29" spans="1:64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</row>
    <row r="30" spans="1:64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90">
        <v>2000000</v>
      </c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</row>
    <row r="31" spans="1:64" s="1" customFormat="1" x14ac:dyDescent="0.2">
      <c r="A31" s="36" t="s">
        <v>7</v>
      </c>
      <c r="B31" s="23" t="s">
        <v>8</v>
      </c>
      <c r="C31" s="60"/>
      <c r="D31" s="24"/>
      <c r="E31" s="24"/>
      <c r="F31" s="24"/>
      <c r="G31" s="24"/>
      <c r="H31" s="24"/>
      <c r="I31" s="24">
        <v>900000</v>
      </c>
      <c r="J31" s="114"/>
      <c r="K31" s="24"/>
      <c r="L31" s="24"/>
      <c r="M31" s="114">
        <v>360000</v>
      </c>
      <c r="N31" s="24"/>
      <c r="O31" s="24"/>
      <c r="P31" s="24"/>
      <c r="Q31" s="24"/>
      <c r="R31" s="24"/>
      <c r="S31" s="24"/>
      <c r="T31" s="24"/>
      <c r="U31" s="24"/>
      <c r="V31" s="24">
        <v>560000</v>
      </c>
      <c r="W31" s="24"/>
      <c r="X31" s="24"/>
      <c r="Y31" s="24"/>
      <c r="Z31" s="24"/>
      <c r="AA31" s="24"/>
      <c r="AB31" s="24">
        <f>643714.22/2</f>
        <v>321857.11</v>
      </c>
      <c r="AC31" s="24"/>
      <c r="AD31" s="24"/>
      <c r="AE31" s="24"/>
      <c r="AF31" s="24"/>
      <c r="AG31" s="24"/>
      <c r="AH31" s="24"/>
      <c r="AI31" s="24"/>
      <c r="AJ31" s="24"/>
      <c r="AK31" s="24">
        <v>560000</v>
      </c>
      <c r="AL31" s="24"/>
      <c r="AM31" s="24"/>
      <c r="AN31" s="24"/>
      <c r="AO31" s="24"/>
      <c r="AP31" s="24"/>
      <c r="AQ31" s="24">
        <v>360000</v>
      </c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</row>
    <row r="32" spans="1:64" s="1" customFormat="1" x14ac:dyDescent="0.2">
      <c r="A32" s="36" t="s">
        <v>54</v>
      </c>
      <c r="B32" s="23"/>
      <c r="C32" s="60"/>
      <c r="D32" s="24"/>
      <c r="E32" s="24"/>
      <c r="F32" s="24"/>
      <c r="G32" s="24"/>
      <c r="H32" s="24"/>
      <c r="I32" s="24" t="s">
        <v>89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</row>
    <row r="33" spans="1:64" s="1" customFormat="1" x14ac:dyDescent="0.2">
      <c r="A33" s="36" t="s">
        <v>71</v>
      </c>
      <c r="B33" s="23"/>
      <c r="C33" s="60"/>
      <c r="D33" s="24"/>
      <c r="E33" s="24"/>
      <c r="F33" s="24">
        <f>30000+10500+3500</f>
        <v>44000</v>
      </c>
      <c r="G33" s="24"/>
      <c r="H33" s="24"/>
      <c r="I33" s="24">
        <v>100000</v>
      </c>
      <c r="J33" s="24"/>
      <c r="K33" s="24">
        <v>100113.9</v>
      </c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>
        <v>200113.9</v>
      </c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</row>
    <row r="34" spans="1:64" s="1" customFormat="1" x14ac:dyDescent="0.2">
      <c r="A34" s="36" t="s">
        <v>53</v>
      </c>
      <c r="B34" s="23"/>
      <c r="C34" s="60"/>
      <c r="D34" s="24"/>
      <c r="E34" s="24"/>
      <c r="F34" s="24"/>
      <c r="G34" s="24"/>
      <c r="H34" s="24"/>
      <c r="I34" s="110">
        <v>100000</v>
      </c>
      <c r="J34" s="111">
        <v>100000</v>
      </c>
      <c r="K34" s="111">
        <v>100000</v>
      </c>
      <c r="L34" s="111">
        <v>100000</v>
      </c>
      <c r="M34" s="111">
        <v>145949.5</v>
      </c>
      <c r="N34" s="24"/>
      <c r="O34" s="24"/>
      <c r="P34" s="24"/>
      <c r="Q34" s="24"/>
      <c r="R34" s="24"/>
      <c r="S34" s="24"/>
      <c r="T34" s="24"/>
      <c r="U34" s="24"/>
      <c r="V34" s="24"/>
      <c r="W34" s="24">
        <v>80000</v>
      </c>
      <c r="X34" s="24">
        <v>80000</v>
      </c>
      <c r="Y34" s="24">
        <v>50000</v>
      </c>
      <c r="Z34" s="24"/>
      <c r="AA34" s="24"/>
      <c r="AB34" s="24"/>
      <c r="AC34" s="24"/>
      <c r="AD34" s="24"/>
      <c r="AE34" s="24"/>
      <c r="AF34" s="24"/>
      <c r="AG34" s="24"/>
      <c r="AH34" s="24">
        <v>545949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</row>
    <row r="35" spans="1:64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 spans="1:64" s="71" customFormat="1" x14ac:dyDescent="0.2">
      <c r="A36" s="69" t="s">
        <v>14</v>
      </c>
      <c r="B36" s="25" t="s">
        <v>30</v>
      </c>
      <c r="C36" s="70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>
        <v>730000</v>
      </c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</row>
    <row r="37" spans="1:64" s="71" customFormat="1" x14ac:dyDescent="0.2">
      <c r="A37" s="69" t="s">
        <v>97</v>
      </c>
      <c r="B37" s="25" t="s">
        <v>98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100">
        <v>311400</v>
      </c>
      <c r="Z37" s="24"/>
      <c r="AA37" s="24"/>
      <c r="AB37" s="24"/>
      <c r="AC37" s="24"/>
      <c r="AD37" s="24"/>
      <c r="AE37" s="24"/>
      <c r="AF37" s="100">
        <v>311400</v>
      </c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</row>
    <row r="38" spans="1:64" s="71" customFormat="1" x14ac:dyDescent="0.2">
      <c r="A38" s="69" t="s">
        <v>17</v>
      </c>
      <c r="B38" s="25" t="s">
        <v>41</v>
      </c>
      <c r="C38" s="70">
        <v>1625440</v>
      </c>
      <c r="D38" s="24"/>
      <c r="E38" s="100">
        <v>50000</v>
      </c>
      <c r="F38" s="95">
        <v>75000</v>
      </c>
      <c r="G38" s="24"/>
      <c r="H38" s="24"/>
      <c r="I38" s="95">
        <v>75000</v>
      </c>
      <c r="J38" s="95">
        <v>75000</v>
      </c>
      <c r="K38" s="95">
        <v>75000</v>
      </c>
      <c r="L38" s="95">
        <v>100000</v>
      </c>
      <c r="M38" s="95">
        <v>200000</v>
      </c>
      <c r="N38" s="24"/>
      <c r="O38" s="24"/>
      <c r="P38" s="95">
        <v>200000</v>
      </c>
      <c r="Q38" s="95">
        <v>100000</v>
      </c>
      <c r="R38" s="95">
        <v>100000</v>
      </c>
      <c r="S38" s="95">
        <v>100000</v>
      </c>
      <c r="T38" s="95">
        <v>195950</v>
      </c>
      <c r="U38" s="24"/>
      <c r="V38" s="24"/>
      <c r="W38" s="95">
        <v>154050</v>
      </c>
      <c r="X38" s="108">
        <v>100440</v>
      </c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</row>
    <row r="39" spans="1:64" s="71" customFormat="1" x14ac:dyDescent="0.2">
      <c r="A39" s="69" t="s">
        <v>15</v>
      </c>
      <c r="B39" s="25" t="s">
        <v>31</v>
      </c>
      <c r="C39" s="70">
        <v>1044688</v>
      </c>
      <c r="D39" s="24"/>
      <c r="E39" s="100">
        <v>75000</v>
      </c>
      <c r="F39" s="28"/>
      <c r="G39" s="24"/>
      <c r="H39" s="24"/>
      <c r="I39" s="108">
        <v>100000</v>
      </c>
      <c r="J39" s="108">
        <v>100000</v>
      </c>
      <c r="K39" s="108">
        <v>50000</v>
      </c>
      <c r="L39" s="108">
        <v>50000</v>
      </c>
      <c r="M39" s="108">
        <v>90224</v>
      </c>
      <c r="N39" s="24"/>
      <c r="O39" s="24"/>
      <c r="P39" s="108">
        <v>100000</v>
      </c>
      <c r="Q39" s="108">
        <v>75000</v>
      </c>
      <c r="R39" s="108">
        <v>50000</v>
      </c>
      <c r="S39" s="108">
        <v>100000</v>
      </c>
      <c r="T39" s="108">
        <v>115224</v>
      </c>
      <c r="U39" s="24"/>
      <c r="V39" s="24"/>
      <c r="W39" s="108">
        <v>100000</v>
      </c>
      <c r="X39" s="108">
        <v>100000</v>
      </c>
      <c r="Y39" s="108">
        <v>100000</v>
      </c>
      <c r="Z39" s="108">
        <v>100000</v>
      </c>
      <c r="AA39" s="108">
        <v>100000</v>
      </c>
      <c r="AB39" s="24"/>
      <c r="AC39" s="24"/>
      <c r="AD39" s="108">
        <v>104464</v>
      </c>
      <c r="AE39" s="24"/>
      <c r="AF39" s="24"/>
      <c r="AG39" s="24"/>
      <c r="AH39" s="24"/>
      <c r="AI39" s="24">
        <v>25000</v>
      </c>
      <c r="AJ39" s="24"/>
      <c r="AK39" s="98">
        <v>515224</v>
      </c>
      <c r="AL39" s="24"/>
      <c r="AM39" s="24">
        <v>115224</v>
      </c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</row>
    <row r="40" spans="1:64" s="71" customFormat="1" x14ac:dyDescent="0.2">
      <c r="A40" s="69" t="s">
        <v>18</v>
      </c>
      <c r="B40" s="25" t="s">
        <v>32</v>
      </c>
      <c r="C40" s="70">
        <v>325000</v>
      </c>
      <c r="D40" s="24"/>
      <c r="E40" s="100">
        <v>325000</v>
      </c>
      <c r="F40" s="28"/>
      <c r="G40" s="28"/>
      <c r="H40" s="28"/>
      <c r="I40" s="28"/>
      <c r="J40" s="28"/>
      <c r="K40" s="28"/>
      <c r="L40" s="28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</row>
    <row r="41" spans="1:64" s="73" customFormat="1" x14ac:dyDescent="0.2">
      <c r="A41" s="69" t="s">
        <v>21</v>
      </c>
      <c r="B41" s="25" t="s">
        <v>45</v>
      </c>
      <c r="C41" s="70">
        <f>110000*A9</f>
        <v>1295844</v>
      </c>
      <c r="D41" s="72"/>
      <c r="F41" s="95">
        <f>1305799/7</f>
        <v>186542.71428571429</v>
      </c>
      <c r="G41" s="24"/>
      <c r="H41" s="24"/>
      <c r="I41" s="95">
        <f>1305799/7</f>
        <v>186542.71428571429</v>
      </c>
      <c r="J41" s="95">
        <f>1305799/7</f>
        <v>186542.71428571429</v>
      </c>
      <c r="K41" s="95">
        <f>1305799/7</f>
        <v>186542.71428571429</v>
      </c>
      <c r="L41" s="95">
        <v>100000</v>
      </c>
      <c r="M41" s="95">
        <f>1305799/7</f>
        <v>186542.71428571429</v>
      </c>
      <c r="N41" s="24"/>
      <c r="O41" s="24"/>
      <c r="P41" s="95">
        <v>71054.710000000006</v>
      </c>
      <c r="Q41" s="95">
        <f>1305799/7+5533</f>
        <v>192075.71428571429</v>
      </c>
      <c r="R41" s="28"/>
      <c r="S41" s="24"/>
      <c r="T41" s="24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</row>
    <row r="42" spans="1:64" s="71" customFormat="1" x14ac:dyDescent="0.2">
      <c r="A42" s="69" t="s">
        <v>19</v>
      </c>
      <c r="B42" s="25" t="s">
        <v>46</v>
      </c>
      <c r="C42" s="70">
        <v>979375.95</v>
      </c>
      <c r="D42" s="24"/>
      <c r="E42" s="100">
        <v>23361.08</v>
      </c>
      <c r="F42" s="95">
        <v>50000</v>
      </c>
      <c r="G42" s="24"/>
      <c r="H42" s="24"/>
      <c r="I42" s="95">
        <v>75000</v>
      </c>
      <c r="J42" s="95">
        <v>75000</v>
      </c>
      <c r="K42" s="95">
        <v>100000</v>
      </c>
      <c r="L42" s="95">
        <v>75000</v>
      </c>
      <c r="M42" s="95">
        <v>75000</v>
      </c>
      <c r="N42" s="24"/>
      <c r="O42" s="24"/>
      <c r="P42" s="24">
        <v>305134</v>
      </c>
      <c r="Q42" s="24">
        <v>150000</v>
      </c>
      <c r="R42" s="24">
        <v>49181.53</v>
      </c>
      <c r="S42" s="24"/>
      <c r="T42" s="24"/>
      <c r="U42" s="24"/>
      <c r="V42" s="24"/>
      <c r="W42" s="24">
        <v>50000</v>
      </c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</row>
    <row r="43" spans="1:64" s="71" customFormat="1" x14ac:dyDescent="0.2">
      <c r="A43" s="69" t="s">
        <v>16</v>
      </c>
      <c r="B43" s="25" t="s">
        <v>32</v>
      </c>
      <c r="C43" s="70">
        <f>231200+665880</f>
        <v>897080</v>
      </c>
      <c r="D43" s="24"/>
      <c r="E43" s="100">
        <v>25000</v>
      </c>
      <c r="F43" s="95">
        <v>25000</v>
      </c>
      <c r="G43" s="24"/>
      <c r="I43" s="95">
        <v>25000</v>
      </c>
      <c r="J43" s="117">
        <v>25000</v>
      </c>
      <c r="K43" s="95">
        <v>40000</v>
      </c>
      <c r="L43" s="95">
        <v>25000</v>
      </c>
      <c r="M43" s="95">
        <f>40600+499410</f>
        <v>540010</v>
      </c>
      <c r="N43" s="24"/>
      <c r="O43" s="24"/>
      <c r="P43" s="28">
        <f>66588+33294</f>
        <v>99882</v>
      </c>
      <c r="Q43" s="28">
        <f>66588+33294</f>
        <v>99882</v>
      </c>
      <c r="R43" s="28">
        <f>66588+33294</f>
        <v>99882</v>
      </c>
      <c r="S43" s="28">
        <f>66588+33294</f>
        <v>99882</v>
      </c>
      <c r="T43" s="28">
        <f>66588+33294</f>
        <v>99882</v>
      </c>
      <c r="U43" s="28"/>
      <c r="V43" s="28"/>
      <c r="W43" s="28">
        <f>66588+33294</f>
        <v>99882</v>
      </c>
      <c r="X43" s="28">
        <f>66588+33294</f>
        <v>99882</v>
      </c>
      <c r="Y43" s="28">
        <f>66588+33294</f>
        <v>99882</v>
      </c>
      <c r="Z43" s="28">
        <f>66588+33294</f>
        <v>99882</v>
      </c>
      <c r="AA43" s="28">
        <f>66588+33294</f>
        <v>99882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</row>
    <row r="44" spans="1:64" s="71" customFormat="1" x14ac:dyDescent="0.2">
      <c r="A44" s="69" t="s">
        <v>85</v>
      </c>
      <c r="B44" s="25" t="s">
        <v>47</v>
      </c>
      <c r="C44" s="70">
        <f>3750*A6</f>
        <v>302337.75</v>
      </c>
      <c r="D44" s="24"/>
      <c r="E44" s="119">
        <f>300*A6</f>
        <v>24187.02</v>
      </c>
      <c r="F44" s="95">
        <f>500*$A$6</f>
        <v>40311.700000000004</v>
      </c>
      <c r="G44" s="24"/>
      <c r="H44" s="24"/>
      <c r="I44" s="95">
        <f>500*$A$6</f>
        <v>40311.700000000004</v>
      </c>
      <c r="J44" s="95">
        <v>78729.95</v>
      </c>
      <c r="K44" s="95">
        <v>56144.3</v>
      </c>
      <c r="L44" s="95">
        <v>26372.55</v>
      </c>
      <c r="M44" s="100">
        <v>25000</v>
      </c>
      <c r="N44" s="100">
        <v>218623.78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</row>
    <row r="45" spans="1:64" s="73" customFormat="1" x14ac:dyDescent="0.2">
      <c r="A45" s="69" t="s">
        <v>22</v>
      </c>
      <c r="B45" s="25" t="s">
        <v>48</v>
      </c>
      <c r="C45" s="75"/>
      <c r="D45" s="72"/>
      <c r="E45" s="24"/>
      <c r="F45" s="24"/>
      <c r="H45" s="24"/>
      <c r="I45" s="100">
        <f>15906*A9</f>
        <v>187379.04240000001</v>
      </c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</row>
    <row r="46" spans="1:64" s="71" customFormat="1" x14ac:dyDescent="0.2">
      <c r="A46" s="69" t="s">
        <v>36</v>
      </c>
      <c r="B46" s="25" t="s">
        <v>37</v>
      </c>
      <c r="C46" s="70"/>
      <c r="D46" s="24"/>
      <c r="E46" s="24"/>
      <c r="F46" s="24"/>
      <c r="G46" s="24"/>
      <c r="H46" s="24"/>
      <c r="I46" s="24"/>
      <c r="J46" s="24"/>
      <c r="K46" s="24"/>
      <c r="L46" s="100">
        <v>50000</v>
      </c>
      <c r="M46" s="103">
        <f>2577.5*$A$6-L46</f>
        <v>157806.81350000002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</row>
    <row r="47" spans="1:64" s="71" customFormat="1" x14ac:dyDescent="0.2">
      <c r="A47" s="69" t="s">
        <v>86</v>
      </c>
      <c r="B47" s="25" t="s">
        <v>35</v>
      </c>
      <c r="C47" s="70">
        <f>3250*$A$6</f>
        <v>262026.05000000002</v>
      </c>
      <c r="D47" s="77"/>
      <c r="E47" s="24"/>
      <c r="F47" s="24"/>
      <c r="G47" s="24"/>
      <c r="H47" s="24"/>
      <c r="I47" s="95">
        <f>$C$47/5</f>
        <v>52405.210000000006</v>
      </c>
      <c r="J47" s="95">
        <f>$C$47/5</f>
        <v>52405.210000000006</v>
      </c>
      <c r="K47" s="95">
        <f>$C$47/5</f>
        <v>52405.210000000006</v>
      </c>
      <c r="L47" s="95">
        <f>$C$47/5</f>
        <v>52405.210000000006</v>
      </c>
      <c r="M47" s="108">
        <f>$C$47/5+2400*A6</f>
        <v>245901.37</v>
      </c>
      <c r="N47" s="100">
        <f>4050*A6</f>
        <v>326524.77</v>
      </c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</row>
    <row r="48" spans="1:64" s="71" customFormat="1" x14ac:dyDescent="0.2">
      <c r="A48" s="69" t="s">
        <v>78</v>
      </c>
      <c r="B48" s="25" t="s">
        <v>79</v>
      </c>
      <c r="C48" s="70"/>
      <c r="D48" s="77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</row>
    <row r="49" spans="1:64" s="71" customFormat="1" x14ac:dyDescent="0.2">
      <c r="A49" s="69" t="s">
        <v>29</v>
      </c>
      <c r="B49" s="25" t="s">
        <v>42</v>
      </c>
      <c r="C49" s="70">
        <v>20000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</row>
    <row r="50" spans="1:64" s="71" customFormat="1" x14ac:dyDescent="0.2">
      <c r="A50" s="69" t="s">
        <v>29</v>
      </c>
      <c r="B50" s="25" t="s">
        <v>43</v>
      </c>
      <c r="C50" s="70">
        <v>439750</v>
      </c>
      <c r="D50" s="24"/>
      <c r="F50" s="24"/>
      <c r="G50" s="24"/>
      <c r="H50" s="24"/>
      <c r="I50" s="24"/>
      <c r="J50" s="24"/>
      <c r="K50" s="95">
        <v>100000</v>
      </c>
      <c r="L50" s="24"/>
      <c r="M50" s="95">
        <v>100000</v>
      </c>
      <c r="N50" s="24"/>
      <c r="O50" s="24"/>
      <c r="P50" s="24"/>
      <c r="Q50" s="24"/>
      <c r="R50" s="95">
        <v>100000</v>
      </c>
      <c r="S50" s="95">
        <v>139750</v>
      </c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</row>
    <row r="51" spans="1:64" s="71" customFormat="1" x14ac:dyDescent="0.2">
      <c r="A51" s="69" t="s">
        <v>99</v>
      </c>
      <c r="B51" s="25" t="s">
        <v>100</v>
      </c>
      <c r="C51" s="70"/>
      <c r="D51" s="77"/>
      <c r="E51" s="28"/>
      <c r="F51" s="24"/>
      <c r="G51" s="24"/>
      <c r="H51" s="24"/>
      <c r="I51" s="24"/>
      <c r="J51" s="24">
        <f>(581.75/2)*$A$3</f>
        <v>27180.6107625</v>
      </c>
      <c r="K51" s="28"/>
      <c r="L51" s="24"/>
      <c r="M51" s="24">
        <f>(581.75/2)*$A$3</f>
        <v>27180.6107625</v>
      </c>
      <c r="N51" s="24"/>
      <c r="O51" s="24"/>
      <c r="P51" s="24"/>
      <c r="Q51" s="24"/>
      <c r="R51" s="95"/>
      <c r="S51" s="95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</row>
    <row r="52" spans="1:64" s="71" customFormat="1" x14ac:dyDescent="0.2">
      <c r="A52" s="69" t="s">
        <v>29</v>
      </c>
      <c r="B52" s="25" t="s">
        <v>55</v>
      </c>
      <c r="C52" s="76">
        <f>3530*A6</f>
        <v>284600.60200000001</v>
      </c>
      <c r="D52" s="24"/>
      <c r="F52" s="95">
        <v>25000</v>
      </c>
      <c r="G52" s="24"/>
      <c r="H52" s="24"/>
      <c r="J52" s="95">
        <v>50000</v>
      </c>
      <c r="K52" s="24"/>
      <c r="L52" s="24"/>
      <c r="M52" s="24">
        <v>50000</v>
      </c>
      <c r="N52" s="24"/>
      <c r="O52" s="24"/>
      <c r="P52" s="95">
        <v>161439.38</v>
      </c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</row>
    <row r="53" spans="1:64" s="71" customFormat="1" x14ac:dyDescent="0.2">
      <c r="A53" s="69" t="s">
        <v>40</v>
      </c>
      <c r="B53" s="25" t="s">
        <v>44</v>
      </c>
      <c r="C53" s="7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>
        <v>1878</v>
      </c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</row>
    <row r="54" spans="1:64" s="71" customFormat="1" x14ac:dyDescent="0.2">
      <c r="A54" s="69" t="s">
        <v>90</v>
      </c>
      <c r="B54" s="25" t="s">
        <v>91</v>
      </c>
      <c r="C54" s="70"/>
      <c r="D54" s="77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>
        <v>1012000</v>
      </c>
      <c r="AD54" s="24"/>
      <c r="AE54" s="24"/>
      <c r="AF54" s="24"/>
      <c r="AG54" s="24"/>
      <c r="AH54" s="24"/>
      <c r="AI54" s="24">
        <v>1012000</v>
      </c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</row>
    <row r="55" spans="1:64" s="71" customFormat="1" x14ac:dyDescent="0.2">
      <c r="A55" s="69" t="s">
        <v>96</v>
      </c>
      <c r="B55" s="25"/>
      <c r="C55" s="70"/>
      <c r="D55" s="77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</row>
    <row r="56" spans="1:64" s="71" customFormat="1" x14ac:dyDescent="0.2">
      <c r="A56" s="69" t="s">
        <v>94</v>
      </c>
      <c r="B56" s="25" t="s">
        <v>95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</row>
    <row r="57" spans="1:64" s="71" customFormat="1" x14ac:dyDescent="0.2">
      <c r="A57" s="69" t="s">
        <v>34</v>
      </c>
      <c r="B57" s="25" t="s">
        <v>45</v>
      </c>
      <c r="C57" s="70"/>
      <c r="D57" s="77"/>
      <c r="E57" s="112"/>
      <c r="F57" s="106">
        <v>100000</v>
      </c>
      <c r="G57" s="24"/>
      <c r="H57" s="24"/>
      <c r="I57" s="106">
        <v>100000</v>
      </c>
      <c r="J57" s="106">
        <v>100000</v>
      </c>
      <c r="K57" s="106">
        <v>100000</v>
      </c>
      <c r="L57" s="106">
        <v>150000</v>
      </c>
      <c r="M57" s="106">
        <v>250000</v>
      </c>
      <c r="N57" s="24"/>
      <c r="O57" s="24"/>
      <c r="P57" s="112"/>
      <c r="T57" s="24"/>
      <c r="U57" s="24"/>
      <c r="V57" s="24"/>
      <c r="W57" s="106">
        <v>100000</v>
      </c>
      <c r="X57" s="108">
        <v>114400</v>
      </c>
      <c r="Y57" s="106">
        <v>100000</v>
      </c>
      <c r="Z57" s="106">
        <v>100000</v>
      </c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</row>
    <row r="58" spans="1:64" s="71" customFormat="1" x14ac:dyDescent="0.2">
      <c r="A58" s="69" t="s">
        <v>81</v>
      </c>
      <c r="B58" s="25" t="s">
        <v>82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</row>
    <row r="59" spans="1:64" s="71" customFormat="1" x14ac:dyDescent="0.2">
      <c r="A59" s="69" t="s">
        <v>101</v>
      </c>
      <c r="B59" s="25"/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100">
        <v>230000</v>
      </c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</row>
    <row r="60" spans="1:64" s="71" customFormat="1" x14ac:dyDescent="0.2">
      <c r="A60" s="69" t="s">
        <v>92</v>
      </c>
      <c r="B60" s="25" t="s">
        <v>93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</row>
    <row r="61" spans="1:64" s="71" customFormat="1" x14ac:dyDescent="0.2">
      <c r="A61" s="69" t="s">
        <v>38</v>
      </c>
      <c r="B61" s="25" t="s">
        <v>39</v>
      </c>
      <c r="C61" s="70"/>
      <c r="D61" s="24"/>
      <c r="E61" s="100">
        <v>25000</v>
      </c>
      <c r="F61" s="100">
        <v>25000</v>
      </c>
      <c r="G61" s="24"/>
      <c r="H61" s="24"/>
      <c r="I61" s="95">
        <v>25000</v>
      </c>
      <c r="J61" s="95">
        <v>25000</v>
      </c>
      <c r="K61" s="24"/>
      <c r="L61" s="24"/>
      <c r="M61" s="100">
        <v>45300</v>
      </c>
      <c r="N61" s="24"/>
      <c r="O61" s="24"/>
      <c r="P61" s="100">
        <v>215000</v>
      </c>
      <c r="Q61" s="24"/>
      <c r="R61" s="24"/>
      <c r="S61" s="24"/>
      <c r="T61" s="24"/>
      <c r="U61" s="24"/>
      <c r="V61" s="24"/>
      <c r="W61" s="28"/>
      <c r="X61" s="24"/>
      <c r="Y61" s="24"/>
      <c r="Z61" s="100">
        <v>16000</v>
      </c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</row>
    <row r="62" spans="1:64" s="71" customFormat="1" x14ac:dyDescent="0.2">
      <c r="A62" s="69" t="s">
        <v>74</v>
      </c>
      <c r="B62" s="25" t="s">
        <v>83</v>
      </c>
      <c r="C62" s="70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98">
        <v>104492.6</v>
      </c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>
        <v>3500000</v>
      </c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</row>
    <row r="63" spans="1:64" s="73" customFormat="1" ht="2.25" customHeight="1" x14ac:dyDescent="0.2">
      <c r="A63" s="78"/>
      <c r="B63" s="79"/>
      <c r="C63" s="75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 t="s">
        <v>89</v>
      </c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</row>
    <row r="64" spans="1:64" s="94" customFormat="1" ht="33.75" x14ac:dyDescent="0.2">
      <c r="A64" s="91" t="s">
        <v>60</v>
      </c>
      <c r="B64" s="92" t="s">
        <v>58</v>
      </c>
      <c r="C64" s="93">
        <v>248639.70012000017</v>
      </c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</row>
    <row r="65" spans="1:64" s="94" customFormat="1" ht="33.75" x14ac:dyDescent="0.2">
      <c r="A65" s="91" t="s">
        <v>60</v>
      </c>
      <c r="B65" s="92" t="s">
        <v>59</v>
      </c>
      <c r="C65" s="93">
        <v>0</v>
      </c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</row>
    <row r="66" spans="1:64" s="5" customFormat="1" ht="2.25" customHeight="1" x14ac:dyDescent="0.2">
      <c r="A66" s="42"/>
      <c r="B66" s="12"/>
      <c r="C66" s="68"/>
      <c r="D66" s="26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</row>
    <row r="67" spans="1:64" s="5" customFormat="1" x14ac:dyDescent="0.2">
      <c r="A67" s="36" t="s">
        <v>49</v>
      </c>
      <c r="B67" s="12"/>
      <c r="C67" s="13">
        <v>1600000</v>
      </c>
      <c r="D67" s="26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>
        <v>1600000</v>
      </c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>
        <v>1490000</v>
      </c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>
        <v>1490000</v>
      </c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</row>
    <row r="68" spans="1:64" s="5" customFormat="1" x14ac:dyDescent="0.2">
      <c r="A68" s="36" t="s">
        <v>57</v>
      </c>
      <c r="B68" s="12"/>
      <c r="C68" s="68"/>
      <c r="D68" s="26"/>
      <c r="E68" s="13"/>
      <c r="F68" s="13"/>
      <c r="G68" s="13"/>
      <c r="H68" s="13"/>
      <c r="I68" s="13"/>
      <c r="J68" s="13"/>
      <c r="K68" s="13"/>
      <c r="L68" s="13"/>
      <c r="M68" s="13">
        <v>1490000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</row>
    <row r="69" spans="1:64" s="5" customFormat="1" x14ac:dyDescent="0.2">
      <c r="A69" s="36" t="s">
        <v>61</v>
      </c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>
        <v>390000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>
        <v>112000</v>
      </c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</row>
    <row r="70" spans="1:64" s="5" customFormat="1" ht="2.25" customHeigh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</row>
    <row r="71" spans="1:64" s="5" customFormat="1" x14ac:dyDescent="0.2">
      <c r="A71" s="36" t="s">
        <v>72</v>
      </c>
      <c r="B71" s="27" t="s">
        <v>73</v>
      </c>
      <c r="C71" s="62">
        <v>3637079.2460000003</v>
      </c>
      <c r="D71" s="35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s="5" customFormat="1" ht="2.25" customHeight="1" x14ac:dyDescent="0.2">
      <c r="A72" s="42"/>
      <c r="B72" s="12"/>
      <c r="C72" s="61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</row>
    <row r="73" spans="1:64" s="84" customFormat="1" x14ac:dyDescent="0.2">
      <c r="A73" s="81" t="s">
        <v>66</v>
      </c>
      <c r="B73" s="82"/>
      <c r="C73" s="63"/>
      <c r="D73" s="83"/>
      <c r="E73" s="83">
        <f>$C$5+E16-E25</f>
        <v>26865.85999999987</v>
      </c>
      <c r="F73" s="83">
        <f t="shared" ref="F73:AP73" si="5">E73+F16-F25</f>
        <v>-543988.5542857144</v>
      </c>
      <c r="G73" s="83">
        <f t="shared" si="5"/>
        <v>-543988.5542857144</v>
      </c>
      <c r="H73" s="83">
        <f t="shared" si="5"/>
        <v>-543988.5542857144</v>
      </c>
      <c r="I73" s="83">
        <f t="shared" si="5"/>
        <v>-1010627.2209714286</v>
      </c>
      <c r="J73" s="83">
        <f t="shared" si="5"/>
        <v>-405485.70601964276</v>
      </c>
      <c r="K73" s="83">
        <f t="shared" si="5"/>
        <v>-865691.83030535711</v>
      </c>
      <c r="L73" s="83">
        <f t="shared" si="5"/>
        <v>-1094469.5903053572</v>
      </c>
      <c r="M73" s="83">
        <f t="shared" si="5"/>
        <v>-208384.59885357181</v>
      </c>
      <c r="N73" s="83">
        <f t="shared" si="5"/>
        <v>-1143533.1488535719</v>
      </c>
      <c r="O73" s="83">
        <f t="shared" si="5"/>
        <v>-1143533.1488535719</v>
      </c>
      <c r="P73" s="83">
        <f t="shared" si="5"/>
        <v>-1796043.2388535717</v>
      </c>
      <c r="Q73" s="83">
        <f t="shared" si="5"/>
        <v>-1643000.953139286</v>
      </c>
      <c r="R73" s="83">
        <f t="shared" si="5"/>
        <v>-2272064.4831392858</v>
      </c>
      <c r="S73" s="83">
        <f t="shared" si="5"/>
        <v>-2711696.4831392858</v>
      </c>
      <c r="T73" s="83">
        <f t="shared" si="5"/>
        <v>-3122752.4831392858</v>
      </c>
      <c r="U73" s="83">
        <f t="shared" si="5"/>
        <v>-3122752.4831392858</v>
      </c>
      <c r="V73" s="83">
        <f t="shared" si="5"/>
        <v>3036272.6515007145</v>
      </c>
      <c r="W73" s="83">
        <f t="shared" si="5"/>
        <v>2452340.6515007145</v>
      </c>
      <c r="X73" s="83">
        <f t="shared" si="5"/>
        <v>1957618.6515007145</v>
      </c>
      <c r="Y73" s="83">
        <f t="shared" si="5"/>
        <v>1296336.6515007145</v>
      </c>
      <c r="Z73" s="83">
        <f t="shared" si="5"/>
        <v>980454.65150071448</v>
      </c>
      <c r="AA73" s="83">
        <f t="shared" si="5"/>
        <v>780572.65150071448</v>
      </c>
      <c r="AB73" s="83">
        <f t="shared" si="5"/>
        <v>458715.54150071449</v>
      </c>
      <c r="AC73" s="83">
        <f t="shared" si="5"/>
        <v>-555162.45849928551</v>
      </c>
      <c r="AD73" s="83">
        <f t="shared" si="5"/>
        <v>-659626.45849928551</v>
      </c>
      <c r="AE73" s="83">
        <f t="shared" si="5"/>
        <v>-2659626.4584992854</v>
      </c>
      <c r="AF73" s="83">
        <f t="shared" si="5"/>
        <v>-2971026.4584992854</v>
      </c>
      <c r="AG73" s="83">
        <f t="shared" si="5"/>
        <v>-2971026.4584992854</v>
      </c>
      <c r="AH73" s="83">
        <f t="shared" si="5"/>
        <v>-3628975.4584992854</v>
      </c>
      <c r="AI73" s="83">
        <f t="shared" si="5"/>
        <v>881524.54150071461</v>
      </c>
      <c r="AJ73" s="83">
        <f t="shared" si="5"/>
        <v>881524.54150071461</v>
      </c>
      <c r="AK73" s="83">
        <f t="shared" si="5"/>
        <v>-393813.3584992853</v>
      </c>
      <c r="AL73" s="83">
        <f t="shared" si="5"/>
        <v>-393813.3584992853</v>
      </c>
      <c r="AM73" s="83">
        <f t="shared" si="5"/>
        <v>-4009037.3584992853</v>
      </c>
      <c r="AN73" s="83">
        <f t="shared" si="5"/>
        <v>-4009037.3584992853</v>
      </c>
      <c r="AO73" s="83">
        <f t="shared" si="5"/>
        <v>-4009037.3584992853</v>
      </c>
      <c r="AP73" s="83">
        <f t="shared" si="5"/>
        <v>-4009037.3584992853</v>
      </c>
      <c r="AQ73" s="83">
        <f>AP73+AQ16-AQ25</f>
        <v>-4369037.3584992848</v>
      </c>
      <c r="AR73" s="83">
        <f t="shared" ref="AR73:BL73" si="6">AQ73+AR16-AR25</f>
        <v>-4369037.3584992848</v>
      </c>
      <c r="AS73" s="83">
        <f t="shared" si="6"/>
        <v>-4369037.3584992848</v>
      </c>
      <c r="AT73" s="83">
        <f t="shared" si="6"/>
        <v>-4369037.3584992848</v>
      </c>
      <c r="AU73" s="83">
        <f t="shared" si="6"/>
        <v>2023462.6415007152</v>
      </c>
      <c r="AV73" s="83">
        <f t="shared" si="6"/>
        <v>2023462.6415007152</v>
      </c>
      <c r="AW73" s="83">
        <f t="shared" si="6"/>
        <v>2023462.6415007152</v>
      </c>
      <c r="AX73" s="83">
        <f t="shared" si="6"/>
        <v>2023462.6415007152</v>
      </c>
      <c r="AY73" s="83">
        <f t="shared" si="6"/>
        <v>2023462.6415007152</v>
      </c>
      <c r="AZ73" s="83">
        <f t="shared" si="6"/>
        <v>2023462.6415007152</v>
      </c>
      <c r="BA73" s="83">
        <f t="shared" si="6"/>
        <v>2023462.6415007152</v>
      </c>
      <c r="BB73" s="83">
        <f t="shared" si="6"/>
        <v>2023462.6415007152</v>
      </c>
      <c r="BC73" s="83">
        <f t="shared" si="6"/>
        <v>2023462.6415007152</v>
      </c>
      <c r="BD73" s="83">
        <f t="shared" si="6"/>
        <v>2023462.6415007152</v>
      </c>
      <c r="BE73" s="83">
        <f t="shared" si="6"/>
        <v>2023462.6415007152</v>
      </c>
      <c r="BF73" s="83">
        <f t="shared" si="6"/>
        <v>2023462.6415007152</v>
      </c>
      <c r="BG73" s="83">
        <f t="shared" si="6"/>
        <v>2023462.6415007152</v>
      </c>
      <c r="BH73" s="83">
        <f t="shared" si="6"/>
        <v>2023462.6415007152</v>
      </c>
      <c r="BI73" s="83">
        <f t="shared" si="6"/>
        <v>2023462.6415007152</v>
      </c>
      <c r="BJ73" s="83">
        <f t="shared" si="6"/>
        <v>2023462.6415007152</v>
      </c>
      <c r="BK73" s="83">
        <f t="shared" si="6"/>
        <v>2023462.6415007152</v>
      </c>
      <c r="BL73" s="83">
        <f t="shared" si="6"/>
        <v>2023462.6415007152</v>
      </c>
    </row>
    <row r="75" spans="1:64" s="5" customFormat="1" ht="2.25" customHeight="1" x14ac:dyDescent="0.2">
      <c r="A75" s="42"/>
      <c r="B75" s="12"/>
      <c r="C75" s="68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</row>
    <row r="76" spans="1:64" s="89" customFormat="1" ht="11.25" customHeight="1" x14ac:dyDescent="0.2">
      <c r="A76" s="85" t="s">
        <v>65</v>
      </c>
      <c r="B76" s="86"/>
      <c r="C76" s="87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</row>
    <row r="77" spans="1:64" s="5" customFormat="1" ht="22.5" x14ac:dyDescent="0.2">
      <c r="A77" s="36" t="s">
        <v>67</v>
      </c>
      <c r="B77" s="27" t="s">
        <v>68</v>
      </c>
      <c r="C77" s="68">
        <v>3221210.79</v>
      </c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</row>
    <row r="78" spans="1:64" s="5" customFormat="1" x14ac:dyDescent="0.2">
      <c r="A78" s="36" t="s">
        <v>69</v>
      </c>
      <c r="B78" s="27" t="s">
        <v>70</v>
      </c>
      <c r="C78" s="68">
        <v>9814338.4000000004</v>
      </c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</row>
    <row r="79" spans="1:64" s="5" customFormat="1" x14ac:dyDescent="0.2">
      <c r="A79" s="36"/>
      <c r="B79" s="27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</row>
    <row r="80" spans="1:64" s="5" customFormat="1" x14ac:dyDescent="0.2">
      <c r="A80" s="36"/>
      <c r="B80" s="27"/>
      <c r="C80" s="68"/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</row>
    <row r="82" spans="2:2" x14ac:dyDescent="0.25">
      <c r="B82" s="14"/>
    </row>
  </sheetData>
  <pageMargins left="0.7" right="0.7" top="0.75" bottom="0.75" header="0.3" footer="0.3"/>
  <pageSetup paperSize="9" orientation="portrait" r:id="rId1"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82"/>
  <sheetViews>
    <sheetView workbookViewId="0">
      <selection activeCell="C36" sqref="C36:C52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0.85546875" style="3" bestFit="1" customWidth="1"/>
    <col min="6" max="11" width="11.7109375" style="3" bestFit="1" customWidth="1"/>
    <col min="12" max="14" width="11.7109375" style="3" customWidth="1"/>
    <col min="15" max="22" width="11.7109375" style="3" bestFit="1" customWidth="1"/>
    <col min="23" max="47" width="10.85546875" style="3" bestFit="1" customWidth="1"/>
    <col min="48" max="48" width="11.7109375" style="3" bestFit="1" customWidth="1"/>
    <col min="49" max="65" width="10.85546875" style="3" bestFit="1" customWidth="1"/>
    <col min="66" max="16384" width="9" style="3"/>
  </cols>
  <sheetData>
    <row r="1" spans="1:65" ht="12" thickBot="1" x14ac:dyDescent="0.3"/>
    <row r="2" spans="1:65" s="1" customFormat="1" x14ac:dyDescent="0.2">
      <c r="A2" s="43" t="s">
        <v>50</v>
      </c>
      <c r="B2" s="15" t="s">
        <v>27</v>
      </c>
      <c r="C2" s="50">
        <v>3535.6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65" s="1" customFormat="1" ht="12" thickBot="1" x14ac:dyDescent="0.25">
      <c r="A3" s="44">
        <v>93.273899999999998</v>
      </c>
      <c r="B3" s="15" t="s">
        <v>28</v>
      </c>
      <c r="C3" s="50">
        <v>10778.95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65" s="8" customFormat="1" ht="12" thickBot="1" x14ac:dyDescent="0.25">
      <c r="A4" s="45"/>
      <c r="B4" s="15" t="s">
        <v>25</v>
      </c>
      <c r="C4" s="51">
        <v>0</v>
      </c>
    </row>
    <row r="5" spans="1:65" s="6" customFormat="1" x14ac:dyDescent="0.2">
      <c r="A5" s="43" t="s">
        <v>51</v>
      </c>
      <c r="B5" s="49" t="s">
        <v>26</v>
      </c>
      <c r="C5" s="52">
        <f>SUM(C2:C4)</f>
        <v>14314.550000000001</v>
      </c>
    </row>
    <row r="6" spans="1:65" s="6" customFormat="1" ht="12" thickBot="1" x14ac:dyDescent="0.25">
      <c r="A6" s="44">
        <v>81.250399999999999</v>
      </c>
      <c r="B6" s="16"/>
      <c r="C6" s="53"/>
      <c r="D6" s="17"/>
    </row>
    <row r="7" spans="1:65" s="6" customFormat="1" ht="12" thickBot="1" x14ac:dyDescent="0.25">
      <c r="A7" s="105" t="s">
        <v>51</v>
      </c>
      <c r="B7" s="18" t="s">
        <v>62</v>
      </c>
      <c r="C7" s="54">
        <f>SUM(E16:BM16)</f>
        <v>36403157.060719997</v>
      </c>
    </row>
    <row r="8" spans="1:65" x14ac:dyDescent="0.25">
      <c r="A8" s="43" t="s">
        <v>52</v>
      </c>
      <c r="B8" s="18" t="s">
        <v>84</v>
      </c>
      <c r="C8" s="54">
        <f>SUM(E24:BM25)</f>
        <v>33667916.465439282</v>
      </c>
    </row>
    <row r="9" spans="1:65" ht="12" thickBot="1" x14ac:dyDescent="0.3">
      <c r="A9" s="44">
        <v>11.7804</v>
      </c>
      <c r="B9" s="19" t="s">
        <v>64</v>
      </c>
      <c r="C9" s="55">
        <f>C5+C7-C8-C11</f>
        <v>-9271814.4628392905</v>
      </c>
    </row>
    <row r="10" spans="1:65" x14ac:dyDescent="0.25">
      <c r="A10" s="99" t="s">
        <v>80</v>
      </c>
      <c r="B10" s="18" t="s">
        <v>23</v>
      </c>
      <c r="C10" s="56">
        <f>C16</f>
        <v>0</v>
      </c>
      <c r="G10" s="116"/>
    </row>
    <row r="11" spans="1:65" x14ac:dyDescent="0.25">
      <c r="A11" s="101" t="s">
        <v>87</v>
      </c>
      <c r="B11" s="18" t="s">
        <v>24</v>
      </c>
      <c r="C11" s="54">
        <f>C25</f>
        <v>12021369.608120002</v>
      </c>
      <c r="G11" s="115"/>
    </row>
    <row r="12" spans="1:65" x14ac:dyDescent="0.25">
      <c r="A12" s="107" t="s">
        <v>88</v>
      </c>
    </row>
    <row r="13" spans="1:65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</row>
    <row r="14" spans="1:65" s="2" customFormat="1" x14ac:dyDescent="0.25">
      <c r="A14" s="64"/>
      <c r="B14" s="65"/>
      <c r="C14" s="58" t="s">
        <v>56</v>
      </c>
      <c r="D14" s="66"/>
      <c r="E14" s="66">
        <v>46113</v>
      </c>
      <c r="F14" s="66">
        <v>46114</v>
      </c>
      <c r="G14" s="66">
        <v>46115</v>
      </c>
      <c r="H14" s="66">
        <v>46116</v>
      </c>
      <c r="I14" s="66">
        <v>46117</v>
      </c>
      <c r="J14" s="66">
        <v>46118</v>
      </c>
      <c r="K14" s="66">
        <v>46119</v>
      </c>
      <c r="L14" s="66">
        <v>46120</v>
      </c>
      <c r="M14" s="66">
        <v>46121</v>
      </c>
      <c r="N14" s="66">
        <v>46122</v>
      </c>
      <c r="O14" s="66">
        <v>46123</v>
      </c>
      <c r="P14" s="66">
        <v>46124</v>
      </c>
      <c r="Q14" s="66">
        <v>46125</v>
      </c>
      <c r="R14" s="66">
        <v>46126</v>
      </c>
      <c r="S14" s="66">
        <v>46127</v>
      </c>
      <c r="T14" s="66">
        <v>46128</v>
      </c>
      <c r="U14" s="66">
        <v>46129</v>
      </c>
      <c r="V14" s="66">
        <v>46130</v>
      </c>
      <c r="W14" s="66">
        <v>46131</v>
      </c>
      <c r="X14" s="66">
        <v>46132</v>
      </c>
      <c r="Y14" s="66">
        <v>46133</v>
      </c>
      <c r="Z14" s="66">
        <v>46134</v>
      </c>
      <c r="AA14" s="66">
        <v>46135</v>
      </c>
      <c r="AB14" s="66">
        <v>46136</v>
      </c>
      <c r="AC14" s="66">
        <v>46137</v>
      </c>
      <c r="AD14" s="66">
        <v>46138</v>
      </c>
      <c r="AE14" s="66">
        <v>46139</v>
      </c>
      <c r="AF14" s="66">
        <v>46140</v>
      </c>
      <c r="AG14" s="66">
        <v>46141</v>
      </c>
      <c r="AH14" s="66">
        <v>46142</v>
      </c>
      <c r="AI14" s="66">
        <v>46143</v>
      </c>
      <c r="AJ14" s="66">
        <v>46144</v>
      </c>
      <c r="AK14" s="66">
        <v>46145</v>
      </c>
      <c r="AL14" s="66">
        <v>46146</v>
      </c>
      <c r="AM14" s="66">
        <v>46147</v>
      </c>
      <c r="AN14" s="66">
        <v>46148</v>
      </c>
      <c r="AO14" s="66">
        <v>46149</v>
      </c>
      <c r="AP14" s="66">
        <v>46150</v>
      </c>
      <c r="AQ14" s="66">
        <v>46151</v>
      </c>
      <c r="AR14" s="66">
        <v>46152</v>
      </c>
      <c r="AS14" s="66">
        <v>46153</v>
      </c>
      <c r="AT14" s="66">
        <v>46154</v>
      </c>
      <c r="AU14" s="66">
        <v>46155</v>
      </c>
      <c r="AV14" s="66">
        <v>46156</v>
      </c>
      <c r="AW14" s="66">
        <v>46157</v>
      </c>
      <c r="AX14" s="66">
        <v>46158</v>
      </c>
      <c r="AY14" s="66">
        <v>46159</v>
      </c>
      <c r="AZ14" s="66">
        <v>46160</v>
      </c>
      <c r="BA14" s="66">
        <v>46161</v>
      </c>
      <c r="BB14" s="66">
        <v>46162</v>
      </c>
      <c r="BC14" s="66">
        <v>46163</v>
      </c>
      <c r="BD14" s="66">
        <v>46164</v>
      </c>
      <c r="BE14" s="66">
        <v>46165</v>
      </c>
      <c r="BF14" s="66">
        <v>46166</v>
      </c>
      <c r="BG14" s="66">
        <v>46167</v>
      </c>
      <c r="BH14" s="66">
        <v>46168</v>
      </c>
      <c r="BI14" s="66">
        <v>46169</v>
      </c>
      <c r="BJ14" s="66">
        <v>46170</v>
      </c>
      <c r="BK14" s="66">
        <v>46171</v>
      </c>
      <c r="BL14" s="66">
        <v>46172</v>
      </c>
      <c r="BM14" s="66">
        <v>46173</v>
      </c>
    </row>
    <row r="15" spans="1:65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</row>
    <row r="16" spans="1:65" s="2" customFormat="1" x14ac:dyDescent="0.25">
      <c r="A16" s="39" t="s">
        <v>0</v>
      </c>
      <c r="B16" s="20"/>
      <c r="C16" s="29">
        <v>0</v>
      </c>
      <c r="D16" s="29"/>
      <c r="E16" s="29">
        <f t="shared" ref="E16:W16" si="0">SUM(E17:E24)</f>
        <v>1000000</v>
      </c>
      <c r="F16" s="29">
        <f t="shared" si="0"/>
        <v>1200000</v>
      </c>
      <c r="G16" s="29">
        <f t="shared" si="0"/>
        <v>0</v>
      </c>
      <c r="H16" s="29">
        <f t="shared" si="0"/>
        <v>0</v>
      </c>
      <c r="I16" s="29">
        <f t="shared" si="0"/>
        <v>0</v>
      </c>
      <c r="J16" s="29">
        <f t="shared" si="0"/>
        <v>1500000</v>
      </c>
      <c r="K16" s="29">
        <f t="shared" si="0"/>
        <v>1500000</v>
      </c>
      <c r="L16" s="29">
        <f t="shared" si="0"/>
        <v>500000</v>
      </c>
      <c r="M16" s="29">
        <f t="shared" si="0"/>
        <v>500000</v>
      </c>
      <c r="N16" s="29">
        <f t="shared" si="0"/>
        <v>4875000</v>
      </c>
      <c r="O16" s="29">
        <f t="shared" si="0"/>
        <v>0</v>
      </c>
      <c r="P16" s="29">
        <f t="shared" si="0"/>
        <v>0</v>
      </c>
      <c r="Q16" s="29">
        <f t="shared" si="0"/>
        <v>500000</v>
      </c>
      <c r="R16" s="29">
        <f t="shared" si="0"/>
        <v>1000000</v>
      </c>
      <c r="S16" s="29">
        <f t="shared" si="0"/>
        <v>500000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8408157.0607200004</v>
      </c>
      <c r="X16" s="29">
        <f t="shared" ref="X16:AQ16" si="1">SUM(X17:X24)</f>
        <v>0</v>
      </c>
      <c r="Y16" s="29">
        <f t="shared" si="1"/>
        <v>0</v>
      </c>
      <c r="Z16" s="29">
        <f t="shared" si="1"/>
        <v>0</v>
      </c>
      <c r="AA16" s="29">
        <f t="shared" si="1"/>
        <v>0</v>
      </c>
      <c r="AB16" s="29">
        <f t="shared" si="1"/>
        <v>0</v>
      </c>
      <c r="AC16" s="29">
        <f t="shared" si="1"/>
        <v>0</v>
      </c>
      <c r="AD16" s="29">
        <f t="shared" si="1"/>
        <v>0</v>
      </c>
      <c r="AE16" s="29">
        <f t="shared" si="1"/>
        <v>0</v>
      </c>
      <c r="AF16" s="29">
        <f t="shared" si="1"/>
        <v>0</v>
      </c>
      <c r="AG16" s="29">
        <f t="shared" si="1"/>
        <v>0</v>
      </c>
      <c r="AH16" s="29">
        <f t="shared" si="1"/>
        <v>0</v>
      </c>
      <c r="AI16" s="29">
        <f t="shared" si="1"/>
        <v>0</v>
      </c>
      <c r="AJ16" s="29">
        <f t="shared" si="1"/>
        <v>7037500</v>
      </c>
      <c r="AK16" s="29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29">
        <f t="shared" si="1"/>
        <v>0</v>
      </c>
      <c r="AR16" s="29">
        <f>SUM(AR17:AR24)</f>
        <v>0</v>
      </c>
      <c r="AS16" s="29">
        <f t="shared" ref="AS16:BM16" si="2">SUM(AS17:AS24)</f>
        <v>0</v>
      </c>
      <c r="AT16" s="29">
        <f t="shared" si="2"/>
        <v>0</v>
      </c>
      <c r="AU16" s="29">
        <f t="shared" si="2"/>
        <v>0</v>
      </c>
      <c r="AV16" s="29">
        <f t="shared" si="2"/>
        <v>7882500</v>
      </c>
      <c r="AW16" s="29">
        <f t="shared" si="2"/>
        <v>0</v>
      </c>
      <c r="AX16" s="29">
        <f t="shared" si="2"/>
        <v>0</v>
      </c>
      <c r="AY16" s="29">
        <f t="shared" si="2"/>
        <v>0</v>
      </c>
      <c r="AZ16" s="29">
        <f t="shared" si="2"/>
        <v>0</v>
      </c>
      <c r="BA16" s="29">
        <f t="shared" si="2"/>
        <v>0</v>
      </c>
      <c r="BB16" s="29">
        <f t="shared" si="2"/>
        <v>0</v>
      </c>
      <c r="BC16" s="29">
        <f t="shared" si="2"/>
        <v>0</v>
      </c>
      <c r="BD16" s="29">
        <f t="shared" si="2"/>
        <v>0</v>
      </c>
      <c r="BE16" s="29">
        <f t="shared" si="2"/>
        <v>0</v>
      </c>
      <c r="BF16" s="29">
        <f t="shared" si="2"/>
        <v>0</v>
      </c>
      <c r="BG16" s="29">
        <f t="shared" si="2"/>
        <v>0</v>
      </c>
      <c r="BH16" s="29">
        <f t="shared" si="2"/>
        <v>0</v>
      </c>
      <c r="BI16" s="29">
        <f t="shared" si="2"/>
        <v>0</v>
      </c>
      <c r="BJ16" s="29">
        <f t="shared" si="2"/>
        <v>0</v>
      </c>
      <c r="BK16" s="29">
        <f t="shared" si="2"/>
        <v>0</v>
      </c>
      <c r="BL16" s="29">
        <f t="shared" si="2"/>
        <v>0</v>
      </c>
      <c r="BM16" s="29">
        <f t="shared" si="2"/>
        <v>0</v>
      </c>
    </row>
    <row r="17" spans="1:65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</row>
    <row r="18" spans="1:65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</row>
    <row r="19" spans="1:65" s="80" customFormat="1" ht="13.5" customHeight="1" x14ac:dyDescent="0.25">
      <c r="A19" s="40" t="s">
        <v>10</v>
      </c>
      <c r="B19" s="21"/>
      <c r="C19" s="59"/>
      <c r="D19" s="30"/>
      <c r="E19" s="30">
        <v>1000000</v>
      </c>
      <c r="F19" s="30">
        <v>1200000</v>
      </c>
      <c r="G19" s="30"/>
      <c r="H19" s="30"/>
      <c r="I19" s="30"/>
      <c r="J19" s="30">
        <v>1500000</v>
      </c>
      <c r="K19" s="30">
        <v>1500000</v>
      </c>
      <c r="L19" s="30">
        <v>500000</v>
      </c>
      <c r="M19" s="30">
        <v>500000</v>
      </c>
      <c r="N19" s="30"/>
      <c r="O19" s="30"/>
      <c r="P19" s="30"/>
      <c r="Q19" s="30">
        <v>500000</v>
      </c>
      <c r="R19" s="30">
        <v>1000000</v>
      </c>
      <c r="S19" s="80">
        <v>500000</v>
      </c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</row>
    <row r="20" spans="1:65" s="80" customFormat="1" ht="13.5" customHeight="1" x14ac:dyDescent="0.25">
      <c r="A20" s="40" t="s">
        <v>12</v>
      </c>
      <c r="B20" s="21"/>
      <c r="C20" s="59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2">
        <v>4875000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>
        <v>7037500</v>
      </c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>
        <v>7882500</v>
      </c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</row>
    <row r="21" spans="1:65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</row>
    <row r="22" spans="1:65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3">
        <f>90144.8*A3</f>
        <v>8408157.0607200004</v>
      </c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</row>
    <row r="23" spans="1:65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</row>
    <row r="24" spans="1:65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</row>
    <row r="25" spans="1:65" s="4" customFormat="1" x14ac:dyDescent="0.2">
      <c r="A25" s="41" t="s">
        <v>1</v>
      </c>
      <c r="B25" s="22"/>
      <c r="C25" s="34">
        <f>SUM(C27:C71)</f>
        <v>12021369.608120002</v>
      </c>
      <c r="D25" s="34"/>
      <c r="E25" s="34">
        <f t="shared" ref="E25:AQ25" si="3">SUM(E26:E72)</f>
        <v>788100</v>
      </c>
      <c r="F25" s="34">
        <f t="shared" si="3"/>
        <v>927167.91428571427</v>
      </c>
      <c r="G25" s="34">
        <f t="shared" si="3"/>
        <v>571167.91428571427</v>
      </c>
      <c r="H25" s="34">
        <f t="shared" si="3"/>
        <v>712500</v>
      </c>
      <c r="I25" s="34">
        <f t="shared" si="3"/>
        <v>0</v>
      </c>
      <c r="J25" s="34">
        <f t="shared" si="3"/>
        <v>1203799.0966857143</v>
      </c>
      <c r="K25" s="34">
        <f t="shared" si="3"/>
        <v>1570216.4699482142</v>
      </c>
      <c r="L25" s="34">
        <f t="shared" si="3"/>
        <v>910613.6742857144</v>
      </c>
      <c r="M25" s="34">
        <f t="shared" si="3"/>
        <v>552812.76</v>
      </c>
      <c r="N25" s="34">
        <f t="shared" si="3"/>
        <v>3092983.8859482142</v>
      </c>
      <c r="O25" s="34">
        <f t="shared" si="3"/>
        <v>937687.9</v>
      </c>
      <c r="P25" s="34">
        <f t="shared" si="3"/>
        <v>0</v>
      </c>
      <c r="Q25" s="34">
        <f t="shared" si="3"/>
        <v>1224128.71</v>
      </c>
      <c r="R25" s="34">
        <f t="shared" si="3"/>
        <v>720880</v>
      </c>
      <c r="S25" s="34">
        <f t="shared" si="3"/>
        <v>1128591.53</v>
      </c>
      <c r="T25" s="34">
        <f t="shared" si="3"/>
        <v>339750</v>
      </c>
      <c r="U25" s="34">
        <f t="shared" si="3"/>
        <v>311174</v>
      </c>
      <c r="V25" s="34">
        <f t="shared" si="3"/>
        <v>0</v>
      </c>
      <c r="W25" s="34">
        <f t="shared" si="3"/>
        <v>2264492.6</v>
      </c>
      <c r="X25" s="34">
        <f t="shared" si="3"/>
        <v>762940</v>
      </c>
      <c r="Y25" s="34">
        <f t="shared" si="3"/>
        <v>494400</v>
      </c>
      <c r="Z25" s="34">
        <f t="shared" si="3"/>
        <v>761400</v>
      </c>
      <c r="AA25" s="34">
        <f t="shared" si="3"/>
        <v>416000</v>
      </c>
      <c r="AB25" s="34">
        <f t="shared" si="3"/>
        <v>300000</v>
      </c>
      <c r="AC25" s="34">
        <f t="shared" si="3"/>
        <v>321857.11</v>
      </c>
      <c r="AD25" s="34">
        <f t="shared" si="3"/>
        <v>1013878</v>
      </c>
      <c r="AE25" s="34">
        <f t="shared" si="3"/>
        <v>104464</v>
      </c>
      <c r="AF25" s="34">
        <f t="shared" si="3"/>
        <v>2000000</v>
      </c>
      <c r="AG25" s="34">
        <f t="shared" si="3"/>
        <v>311400</v>
      </c>
      <c r="AH25" s="34">
        <f t="shared" si="3"/>
        <v>0</v>
      </c>
      <c r="AI25" s="34">
        <f t="shared" si="3"/>
        <v>657949</v>
      </c>
      <c r="AJ25" s="34">
        <f t="shared" si="3"/>
        <v>2527000</v>
      </c>
      <c r="AK25" s="34">
        <f t="shared" si="3"/>
        <v>0</v>
      </c>
      <c r="AL25" s="34">
        <f t="shared" si="3"/>
        <v>1275337.8999999999</v>
      </c>
      <c r="AM25" s="34">
        <f t="shared" si="3"/>
        <v>0</v>
      </c>
      <c r="AN25" s="34">
        <f t="shared" si="3"/>
        <v>3615224</v>
      </c>
      <c r="AO25" s="34">
        <f t="shared" si="3"/>
        <v>0</v>
      </c>
      <c r="AP25" s="34">
        <f t="shared" si="3"/>
        <v>0</v>
      </c>
      <c r="AQ25" s="34">
        <f t="shared" si="3"/>
        <v>0</v>
      </c>
      <c r="AR25" s="34">
        <f>SUM(AR26:AR72)</f>
        <v>360000</v>
      </c>
      <c r="AS25" s="34">
        <f t="shared" ref="AS25:BM25" si="4">SUM(AS26:AS72)</f>
        <v>0</v>
      </c>
      <c r="AT25" s="34">
        <f t="shared" si="4"/>
        <v>0</v>
      </c>
      <c r="AU25" s="34">
        <f t="shared" si="4"/>
        <v>0</v>
      </c>
      <c r="AV25" s="34">
        <f t="shared" si="4"/>
        <v>1490000</v>
      </c>
      <c r="AW25" s="34">
        <f t="shared" si="4"/>
        <v>0</v>
      </c>
      <c r="AX25" s="34">
        <f t="shared" si="4"/>
        <v>0</v>
      </c>
      <c r="AY25" s="34">
        <f t="shared" si="4"/>
        <v>0</v>
      </c>
      <c r="AZ25" s="34">
        <f t="shared" si="4"/>
        <v>0</v>
      </c>
      <c r="BA25" s="34">
        <f t="shared" si="4"/>
        <v>0</v>
      </c>
      <c r="BB25" s="34">
        <f t="shared" si="4"/>
        <v>0</v>
      </c>
      <c r="BC25" s="34">
        <f t="shared" si="4"/>
        <v>0</v>
      </c>
      <c r="BD25" s="34">
        <f t="shared" si="4"/>
        <v>0</v>
      </c>
      <c r="BE25" s="34">
        <f t="shared" si="4"/>
        <v>0</v>
      </c>
      <c r="BF25" s="34">
        <f t="shared" si="4"/>
        <v>0</v>
      </c>
      <c r="BG25" s="34">
        <f t="shared" si="4"/>
        <v>0</v>
      </c>
      <c r="BH25" s="34">
        <f t="shared" si="4"/>
        <v>0</v>
      </c>
      <c r="BI25" s="34">
        <f t="shared" si="4"/>
        <v>0</v>
      </c>
      <c r="BJ25" s="34">
        <f t="shared" si="4"/>
        <v>0</v>
      </c>
      <c r="BK25" s="34">
        <f t="shared" si="4"/>
        <v>0</v>
      </c>
      <c r="BL25" s="34">
        <f t="shared" si="4"/>
        <v>0</v>
      </c>
      <c r="BM25" s="34">
        <f t="shared" si="4"/>
        <v>0</v>
      </c>
    </row>
    <row r="26" spans="1:65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65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</row>
    <row r="28" spans="1:65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</row>
    <row r="29" spans="1:65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</row>
    <row r="30" spans="1:65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90">
        <v>2000000</v>
      </c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</row>
    <row r="31" spans="1:65" s="1" customFormat="1" x14ac:dyDescent="0.2">
      <c r="A31" s="36" t="s">
        <v>7</v>
      </c>
      <c r="B31" s="23" t="s">
        <v>8</v>
      </c>
      <c r="C31" s="60"/>
      <c r="D31" s="24"/>
      <c r="E31" s="24"/>
      <c r="F31" s="24"/>
      <c r="G31" s="24"/>
      <c r="H31" s="24"/>
      <c r="I31" s="24"/>
      <c r="J31" s="24"/>
      <c r="K31" s="114">
        <v>750000</v>
      </c>
      <c r="L31" s="24"/>
      <c r="M31" s="24"/>
      <c r="N31" s="114">
        <v>360000</v>
      </c>
      <c r="O31" s="24"/>
      <c r="P31" s="24"/>
      <c r="Q31" s="24"/>
      <c r="R31" s="24"/>
      <c r="S31" s="24"/>
      <c r="T31" s="24"/>
      <c r="U31" s="24"/>
      <c r="V31" s="24"/>
      <c r="W31" s="24">
        <v>560000</v>
      </c>
      <c r="X31" s="24"/>
      <c r="Y31" s="24"/>
      <c r="Z31" s="24"/>
      <c r="AA31" s="24"/>
      <c r="AB31" s="24"/>
      <c r="AC31" s="24">
        <f>643714.22/2</f>
        <v>321857.11</v>
      </c>
      <c r="AD31" s="24"/>
      <c r="AE31" s="24"/>
      <c r="AF31" s="24"/>
      <c r="AG31" s="24"/>
      <c r="AH31" s="24"/>
      <c r="AI31" s="24"/>
      <c r="AJ31" s="24"/>
      <c r="AK31" s="24"/>
      <c r="AL31" s="24">
        <v>560000</v>
      </c>
      <c r="AM31" s="24"/>
      <c r="AN31" s="24"/>
      <c r="AO31" s="24"/>
      <c r="AP31" s="24"/>
      <c r="AQ31" s="24"/>
      <c r="AR31" s="24">
        <v>360000</v>
      </c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</row>
    <row r="32" spans="1:65" s="1" customFormat="1" x14ac:dyDescent="0.2">
      <c r="A32" s="36" t="s">
        <v>54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</row>
    <row r="33" spans="1:65" s="1" customFormat="1" x14ac:dyDescent="0.2">
      <c r="A33" s="36" t="s">
        <v>71</v>
      </c>
      <c r="B33" s="23"/>
      <c r="C33" s="60"/>
      <c r="D33" s="24"/>
      <c r="E33" s="24"/>
      <c r="F33" s="24"/>
      <c r="G33" s="24">
        <f>30000+10500+3500</f>
        <v>44000</v>
      </c>
      <c r="H33" s="24"/>
      <c r="I33" s="24"/>
      <c r="J33" s="24">
        <v>100000</v>
      </c>
      <c r="K33" s="24"/>
      <c r="L33" s="24">
        <v>100113.9</v>
      </c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>
        <v>200113.9</v>
      </c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</row>
    <row r="34" spans="1:65" s="1" customFormat="1" x14ac:dyDescent="0.2">
      <c r="A34" s="36" t="s">
        <v>53</v>
      </c>
      <c r="B34" s="23"/>
      <c r="C34" s="60"/>
      <c r="D34" s="24"/>
      <c r="E34" s="24"/>
      <c r="F34" s="24"/>
      <c r="G34" s="24"/>
      <c r="H34" s="24"/>
      <c r="I34" s="24"/>
      <c r="J34" s="110">
        <v>100000</v>
      </c>
      <c r="K34" s="111">
        <v>100000</v>
      </c>
      <c r="L34" s="111">
        <v>100000</v>
      </c>
      <c r="M34" s="111">
        <v>100000</v>
      </c>
      <c r="N34" s="111">
        <v>145949.5</v>
      </c>
      <c r="O34" s="24"/>
      <c r="P34" s="24"/>
      <c r="Q34" s="24"/>
      <c r="R34" s="24"/>
      <c r="S34" s="24"/>
      <c r="T34" s="24"/>
      <c r="U34" s="24"/>
      <c r="V34" s="24"/>
      <c r="W34" s="24"/>
      <c r="X34" s="24">
        <v>80000</v>
      </c>
      <c r="Y34" s="24">
        <v>80000</v>
      </c>
      <c r="Z34" s="24">
        <v>50000</v>
      </c>
      <c r="AA34" s="24"/>
      <c r="AB34" s="24"/>
      <c r="AC34" s="24"/>
      <c r="AD34" s="24"/>
      <c r="AE34" s="24"/>
      <c r="AF34" s="24"/>
      <c r="AG34" s="24"/>
      <c r="AH34" s="24"/>
      <c r="AI34" s="24">
        <v>545949</v>
      </c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</row>
    <row r="35" spans="1:65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</row>
    <row r="36" spans="1:65" s="71" customFormat="1" x14ac:dyDescent="0.2">
      <c r="A36" s="69" t="s">
        <v>14</v>
      </c>
      <c r="B36" s="25" t="s">
        <v>30</v>
      </c>
      <c r="C36" s="70">
        <v>162500</v>
      </c>
      <c r="D36" s="24"/>
      <c r="E36" s="118">
        <v>162500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>
        <v>730000</v>
      </c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</row>
    <row r="37" spans="1:65" s="71" customFormat="1" x14ac:dyDescent="0.2">
      <c r="A37" s="69" t="s">
        <v>97</v>
      </c>
      <c r="B37" s="25" t="s">
        <v>98</v>
      </c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100">
        <v>311400</v>
      </c>
      <c r="AA37" s="24"/>
      <c r="AB37" s="24"/>
      <c r="AC37" s="24"/>
      <c r="AD37" s="24"/>
      <c r="AE37" s="24"/>
      <c r="AF37" s="24"/>
      <c r="AG37" s="100">
        <v>311400</v>
      </c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</row>
    <row r="38" spans="1:65" s="71" customFormat="1" x14ac:dyDescent="0.2">
      <c r="A38" s="69" t="s">
        <v>17</v>
      </c>
      <c r="B38" s="25" t="s">
        <v>41</v>
      </c>
      <c r="C38" s="70">
        <v>1446950</v>
      </c>
      <c r="D38" s="24"/>
      <c r="E38" s="95">
        <v>75000</v>
      </c>
      <c r="F38" s="95">
        <v>75000</v>
      </c>
      <c r="G38" s="95">
        <v>75000</v>
      </c>
      <c r="H38" s="24">
        <f>E36+C40</f>
        <v>712500</v>
      </c>
      <c r="I38" s="24"/>
      <c r="J38" s="95">
        <v>75000</v>
      </c>
      <c r="K38" s="95">
        <v>75000</v>
      </c>
      <c r="L38" s="95">
        <v>75000</v>
      </c>
      <c r="M38" s="95">
        <v>100000</v>
      </c>
      <c r="N38" s="95">
        <v>100000</v>
      </c>
      <c r="O38" s="24"/>
      <c r="P38" s="24"/>
      <c r="Q38" s="95">
        <v>200000</v>
      </c>
      <c r="R38" s="95">
        <v>100000</v>
      </c>
      <c r="S38" s="95">
        <v>100000</v>
      </c>
      <c r="T38" s="95">
        <v>100000</v>
      </c>
      <c r="U38" s="95">
        <v>195950</v>
      </c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</row>
    <row r="39" spans="1:65" s="71" customFormat="1" x14ac:dyDescent="0.2">
      <c r="A39" s="69" t="s">
        <v>15</v>
      </c>
      <c r="B39" s="25" t="s">
        <v>31</v>
      </c>
      <c r="C39" s="70">
        <v>554464</v>
      </c>
      <c r="D39" s="24"/>
      <c r="E39" s="95">
        <v>50000</v>
      </c>
      <c r="F39" s="95">
        <v>50000</v>
      </c>
      <c r="G39" s="28"/>
      <c r="H39" s="24"/>
      <c r="I39" s="24"/>
      <c r="J39" s="108">
        <v>100000</v>
      </c>
      <c r="K39" s="108">
        <v>100000</v>
      </c>
      <c r="L39" s="108">
        <v>50000</v>
      </c>
      <c r="M39" s="108"/>
      <c r="N39" s="108">
        <f>115224-50000</f>
        <v>65224</v>
      </c>
      <c r="O39" s="24"/>
      <c r="P39" s="24"/>
      <c r="Q39" s="108">
        <v>100000</v>
      </c>
      <c r="R39" s="108">
        <v>75000</v>
      </c>
      <c r="S39" s="108">
        <v>50000</v>
      </c>
      <c r="T39" s="108">
        <v>100000</v>
      </c>
      <c r="U39" s="108">
        <v>115224</v>
      </c>
      <c r="V39" s="24"/>
      <c r="W39" s="24"/>
      <c r="X39" s="108">
        <v>100000</v>
      </c>
      <c r="Y39" s="108">
        <v>100000</v>
      </c>
      <c r="Z39" s="108">
        <v>100000</v>
      </c>
      <c r="AA39" s="108">
        <v>100000</v>
      </c>
      <c r="AB39" s="108">
        <v>100000</v>
      </c>
      <c r="AC39" s="24"/>
      <c r="AD39" s="24"/>
      <c r="AE39" s="108">
        <v>104464</v>
      </c>
      <c r="AF39" s="24"/>
      <c r="AG39" s="24"/>
      <c r="AH39" s="24"/>
      <c r="AI39" s="24"/>
      <c r="AJ39" s="24">
        <v>25000</v>
      </c>
      <c r="AK39" s="24"/>
      <c r="AL39" s="98">
        <v>515224</v>
      </c>
      <c r="AM39" s="24"/>
      <c r="AN39" s="24">
        <v>115224</v>
      </c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</row>
    <row r="40" spans="1:65" s="71" customFormat="1" x14ac:dyDescent="0.2">
      <c r="A40" s="69" t="s">
        <v>18</v>
      </c>
      <c r="B40" s="25" t="s">
        <v>32</v>
      </c>
      <c r="C40" s="70">
        <v>550000</v>
      </c>
      <c r="D40" s="24"/>
      <c r="E40" s="118">
        <v>225000</v>
      </c>
      <c r="F40" s="95">
        <v>225000</v>
      </c>
      <c r="G40" s="28"/>
      <c r="H40" s="28"/>
      <c r="I40" s="28"/>
      <c r="J40" s="28"/>
      <c r="K40" s="28"/>
      <c r="L40" s="28"/>
      <c r="M40" s="28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</row>
    <row r="41" spans="1:65" s="73" customFormat="1" x14ac:dyDescent="0.2">
      <c r="A41" s="69" t="s">
        <v>21</v>
      </c>
      <c r="B41" s="25" t="s">
        <v>45</v>
      </c>
      <c r="C41" s="70">
        <f>110000*A9</f>
        <v>1295844</v>
      </c>
      <c r="D41" s="72"/>
      <c r="E41" s="28"/>
      <c r="F41" s="95">
        <f>1305799/7</f>
        <v>186542.71428571429</v>
      </c>
      <c r="G41" s="95">
        <f>1305799/7</f>
        <v>186542.71428571429</v>
      </c>
      <c r="H41" s="24"/>
      <c r="I41" s="24"/>
      <c r="J41" s="95">
        <f>1305799/7</f>
        <v>186542.71428571429</v>
      </c>
      <c r="K41" s="95">
        <f>1305799/7</f>
        <v>186542.71428571429</v>
      </c>
      <c r="L41" s="95">
        <f>1305799/7</f>
        <v>186542.71428571429</v>
      </c>
      <c r="M41" s="95">
        <v>100000</v>
      </c>
      <c r="N41" s="95">
        <f>1305799/7</f>
        <v>186542.71428571429</v>
      </c>
      <c r="O41" s="24"/>
      <c r="P41" s="24"/>
      <c r="Q41" s="95">
        <v>71054.710000000006</v>
      </c>
      <c r="R41" s="28"/>
      <c r="S41" s="28"/>
      <c r="T41" s="24"/>
      <c r="U41" s="24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</row>
    <row r="42" spans="1:65" s="71" customFormat="1" x14ac:dyDescent="0.2">
      <c r="A42" s="69" t="s">
        <v>19</v>
      </c>
      <c r="B42" s="25" t="s">
        <v>46</v>
      </c>
      <c r="C42" s="70">
        <v>979375.95</v>
      </c>
      <c r="D42" s="24"/>
      <c r="E42" s="95">
        <v>25000</v>
      </c>
      <c r="F42" s="95">
        <v>50000</v>
      </c>
      <c r="G42" s="95">
        <v>50000</v>
      </c>
      <c r="H42" s="24"/>
      <c r="I42" s="24"/>
      <c r="J42" s="95">
        <v>75000</v>
      </c>
      <c r="K42" s="95">
        <v>75000</v>
      </c>
      <c r="L42" s="95">
        <v>50000</v>
      </c>
      <c r="M42" s="95">
        <v>75000</v>
      </c>
      <c r="N42" s="95">
        <v>75000</v>
      </c>
      <c r="O42" s="24"/>
      <c r="P42" s="24"/>
      <c r="Q42" s="24">
        <v>305134</v>
      </c>
      <c r="R42" s="24">
        <v>150000</v>
      </c>
      <c r="S42" s="24">
        <v>49181.53</v>
      </c>
      <c r="T42" s="24"/>
      <c r="U42" s="24"/>
      <c r="V42" s="24"/>
      <c r="W42" s="24"/>
      <c r="X42" s="24">
        <v>50000</v>
      </c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</row>
    <row r="43" spans="1:65" s="71" customFormat="1" x14ac:dyDescent="0.2">
      <c r="A43" s="69" t="s">
        <v>16</v>
      </c>
      <c r="B43" s="25" t="s">
        <v>32</v>
      </c>
      <c r="C43" s="70">
        <v>231200</v>
      </c>
      <c r="D43" s="24"/>
      <c r="E43" s="95">
        <v>25600</v>
      </c>
      <c r="F43" s="95">
        <v>25000</v>
      </c>
      <c r="G43" s="95">
        <v>25000</v>
      </c>
      <c r="H43" s="24"/>
      <c r="J43" s="95">
        <v>25000</v>
      </c>
      <c r="K43" s="117">
        <v>25000</v>
      </c>
      <c r="L43" s="95">
        <v>40000</v>
      </c>
      <c r="M43" s="95">
        <v>25000</v>
      </c>
      <c r="N43" s="95">
        <v>40600</v>
      </c>
      <c r="O43" s="24"/>
      <c r="P43" s="24"/>
      <c r="Q43" s="108">
        <v>332940</v>
      </c>
      <c r="R43" s="108">
        <v>165880</v>
      </c>
      <c r="S43" s="108">
        <v>99410</v>
      </c>
      <c r="T43" s="24"/>
      <c r="U43" s="24"/>
      <c r="V43" s="24"/>
      <c r="W43" s="24"/>
      <c r="X43" s="108">
        <f>100000+332940</f>
        <v>432940</v>
      </c>
      <c r="Y43" s="108">
        <v>200000</v>
      </c>
      <c r="Z43" s="108">
        <v>200000</v>
      </c>
      <c r="AA43" s="108">
        <v>200000</v>
      </c>
      <c r="AB43" s="108">
        <v>200000</v>
      </c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</row>
    <row r="44" spans="1:65" s="71" customFormat="1" x14ac:dyDescent="0.2">
      <c r="A44" s="69" t="s">
        <v>85</v>
      </c>
      <c r="B44" s="25" t="s">
        <v>47</v>
      </c>
      <c r="C44" s="70">
        <f>3750*A6</f>
        <v>304689</v>
      </c>
      <c r="D44" s="24"/>
      <c r="E44" s="95">
        <v>25000</v>
      </c>
      <c r="F44" s="95">
        <f>500*$A$6</f>
        <v>40625.199999999997</v>
      </c>
      <c r="G44" s="95">
        <f>500*$A$6</f>
        <v>40625.199999999997</v>
      </c>
      <c r="H44" s="24"/>
      <c r="I44" s="24"/>
      <c r="J44" s="95">
        <f>500*$A$6</f>
        <v>40625.199999999997</v>
      </c>
      <c r="K44" s="95">
        <v>78729.95</v>
      </c>
      <c r="L44" s="95">
        <v>56144.3</v>
      </c>
      <c r="M44" s="24"/>
      <c r="N44" s="24"/>
      <c r="O44" s="100">
        <v>218623.78</v>
      </c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</row>
    <row r="45" spans="1:65" s="73" customFormat="1" x14ac:dyDescent="0.2">
      <c r="A45" s="69" t="s">
        <v>22</v>
      </c>
      <c r="B45" s="25" t="s">
        <v>48</v>
      </c>
      <c r="C45" s="75"/>
      <c r="D45" s="72"/>
      <c r="E45" s="24"/>
      <c r="F45" s="24"/>
      <c r="G45" s="24"/>
      <c r="I45" s="24"/>
      <c r="J45" s="100">
        <f>15906*A9</f>
        <v>187379.04240000001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</row>
    <row r="46" spans="1:65" s="71" customFormat="1" x14ac:dyDescent="0.2">
      <c r="A46" s="69" t="s">
        <v>36</v>
      </c>
      <c r="B46" s="25" t="s">
        <v>37</v>
      </c>
      <c r="C46" s="70"/>
      <c r="D46" s="24"/>
      <c r="E46" s="100">
        <v>25000</v>
      </c>
      <c r="F46" s="100">
        <v>25000</v>
      </c>
      <c r="G46" s="24"/>
      <c r="H46" s="24"/>
      <c r="I46" s="24"/>
      <c r="J46" s="24"/>
      <c r="K46" s="24"/>
      <c r="L46" s="24"/>
      <c r="M46" s="24"/>
      <c r="N46" s="103">
        <f>2577.5*$A$6-E46-F46</f>
        <v>159422.90599999999</v>
      </c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</row>
    <row r="47" spans="1:65" s="71" customFormat="1" x14ac:dyDescent="0.2">
      <c r="A47" s="69" t="s">
        <v>86</v>
      </c>
      <c r="B47" s="25" t="s">
        <v>35</v>
      </c>
      <c r="C47" s="70">
        <f>3250*$A$6</f>
        <v>264063.8</v>
      </c>
      <c r="D47" s="77"/>
      <c r="E47" s="24"/>
      <c r="G47" s="24"/>
      <c r="H47" s="24"/>
      <c r="I47" s="24"/>
      <c r="J47" s="95">
        <f>$C$47/5</f>
        <v>52812.759999999995</v>
      </c>
      <c r="K47" s="95">
        <f>$C$47/5</f>
        <v>52812.759999999995</v>
      </c>
      <c r="L47" s="95">
        <f>$C$47/5</f>
        <v>52812.759999999995</v>
      </c>
      <c r="M47" s="95">
        <f>$C$47/5</f>
        <v>52812.759999999995</v>
      </c>
      <c r="N47" s="108">
        <f>$C$47/5+2400*A6</f>
        <v>247813.71999999997</v>
      </c>
      <c r="O47" s="100">
        <f>4050*A6</f>
        <v>329064.12</v>
      </c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</row>
    <row r="48" spans="1:65" s="71" customFormat="1" x14ac:dyDescent="0.2">
      <c r="A48" s="69" t="s">
        <v>78</v>
      </c>
      <c r="B48" s="25" t="s">
        <v>79</v>
      </c>
      <c r="C48" s="70"/>
      <c r="D48" s="77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</row>
    <row r="49" spans="1:65" s="71" customFormat="1" x14ac:dyDescent="0.2">
      <c r="A49" s="69" t="s">
        <v>29</v>
      </c>
      <c r="B49" s="25" t="s">
        <v>42</v>
      </c>
      <c r="C49" s="70">
        <v>20000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</row>
    <row r="50" spans="1:65" s="71" customFormat="1" x14ac:dyDescent="0.2">
      <c r="A50" s="69" t="s">
        <v>29</v>
      </c>
      <c r="B50" s="25" t="s">
        <v>43</v>
      </c>
      <c r="C50" s="70">
        <v>439750</v>
      </c>
      <c r="D50" s="24"/>
      <c r="E50" s="24"/>
      <c r="F50" s="95">
        <v>100000</v>
      </c>
      <c r="G50" s="24"/>
      <c r="H50" s="24"/>
      <c r="I50" s="24"/>
      <c r="J50" s="24"/>
      <c r="K50" s="24"/>
      <c r="L50" s="95">
        <v>100000</v>
      </c>
      <c r="M50" s="24"/>
      <c r="N50" s="24"/>
      <c r="O50" s="24"/>
      <c r="P50" s="24"/>
      <c r="Q50" s="24"/>
      <c r="R50" s="24"/>
      <c r="S50" s="95">
        <v>100000</v>
      </c>
      <c r="T50" s="95">
        <v>139750</v>
      </c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</row>
    <row r="51" spans="1:65" s="71" customFormat="1" x14ac:dyDescent="0.2">
      <c r="A51" s="69" t="s">
        <v>99</v>
      </c>
      <c r="B51" s="25" t="s">
        <v>100</v>
      </c>
      <c r="C51" s="70"/>
      <c r="D51" s="77"/>
      <c r="E51" s="24"/>
      <c r="F51" s="28"/>
      <c r="G51" s="24"/>
      <c r="H51" s="24"/>
      <c r="I51" s="24"/>
      <c r="J51" s="24"/>
      <c r="K51" s="24">
        <f>(581.75/2)*$A$3</f>
        <v>27131.045662500001</v>
      </c>
      <c r="L51" s="28"/>
      <c r="M51" s="24"/>
      <c r="N51" s="24">
        <f>(581.75/2)*$A$3</f>
        <v>27131.045662500001</v>
      </c>
      <c r="O51" s="24"/>
      <c r="P51" s="24"/>
      <c r="Q51" s="24"/>
      <c r="R51" s="24"/>
      <c r="S51" s="95"/>
      <c r="T51" s="95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</row>
    <row r="52" spans="1:65" s="71" customFormat="1" x14ac:dyDescent="0.2">
      <c r="A52" s="69" t="s">
        <v>29</v>
      </c>
      <c r="B52" s="25" t="s">
        <v>55</v>
      </c>
      <c r="C52" s="76">
        <f>3530*A6</f>
        <v>286813.91200000001</v>
      </c>
      <c r="D52" s="24"/>
      <c r="E52" s="95">
        <v>25000</v>
      </c>
      <c r="F52" s="95">
        <v>25000</v>
      </c>
      <c r="G52" s="95">
        <v>25000</v>
      </c>
      <c r="H52" s="24"/>
      <c r="I52" s="24"/>
      <c r="J52" s="95">
        <v>161439.38</v>
      </c>
      <c r="K52" s="24"/>
      <c r="L52" s="24"/>
      <c r="M52" s="24"/>
      <c r="N52" s="24">
        <v>50000</v>
      </c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</row>
    <row r="53" spans="1:65" s="71" customFormat="1" x14ac:dyDescent="0.2">
      <c r="A53" s="69" t="s">
        <v>40</v>
      </c>
      <c r="B53" s="25" t="s">
        <v>44</v>
      </c>
      <c r="C53" s="7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>
        <v>1878</v>
      </c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</row>
    <row r="54" spans="1:65" s="71" customFormat="1" x14ac:dyDescent="0.2">
      <c r="A54" s="69" t="s">
        <v>90</v>
      </c>
      <c r="B54" s="25" t="s">
        <v>91</v>
      </c>
      <c r="C54" s="70"/>
      <c r="D54" s="77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>
        <v>1012000</v>
      </c>
      <c r="AE54" s="24"/>
      <c r="AF54" s="24"/>
      <c r="AG54" s="24"/>
      <c r="AH54" s="24"/>
      <c r="AI54" s="24"/>
      <c r="AJ54" s="24">
        <v>1012000</v>
      </c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</row>
    <row r="55" spans="1:65" s="71" customFormat="1" x14ac:dyDescent="0.2">
      <c r="A55" s="69" t="s">
        <v>96</v>
      </c>
      <c r="B55" s="25"/>
      <c r="C55" s="70"/>
      <c r="D55" s="77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</row>
    <row r="56" spans="1:65" s="71" customFormat="1" x14ac:dyDescent="0.2">
      <c r="A56" s="69" t="s">
        <v>94</v>
      </c>
      <c r="B56" s="25" t="s">
        <v>95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</row>
    <row r="57" spans="1:65" s="71" customFormat="1" x14ac:dyDescent="0.2">
      <c r="A57" s="69" t="s">
        <v>34</v>
      </c>
      <c r="B57" s="25" t="s">
        <v>45</v>
      </c>
      <c r="C57" s="70"/>
      <c r="D57" s="77"/>
      <c r="E57" s="106">
        <v>100000</v>
      </c>
      <c r="F57" s="106">
        <v>100000</v>
      </c>
      <c r="G57" s="106">
        <v>100000</v>
      </c>
      <c r="H57" s="24"/>
      <c r="I57" s="24"/>
      <c r="J57" s="106">
        <v>100000</v>
      </c>
      <c r="K57" s="106">
        <v>100000</v>
      </c>
      <c r="L57" s="106">
        <v>100000</v>
      </c>
      <c r="M57" s="106">
        <v>100000</v>
      </c>
      <c r="N57" s="106">
        <v>100000</v>
      </c>
      <c r="O57" s="24"/>
      <c r="P57" s="24"/>
      <c r="Q57" s="112"/>
      <c r="U57" s="24"/>
      <c r="V57" s="24"/>
      <c r="W57" s="24"/>
      <c r="X57" s="106">
        <v>100000</v>
      </c>
      <c r="Y57" s="108">
        <v>114400</v>
      </c>
      <c r="Z57" s="106">
        <v>100000</v>
      </c>
      <c r="AA57" s="106">
        <v>100000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</row>
    <row r="58" spans="1:65" s="71" customFormat="1" x14ac:dyDescent="0.2">
      <c r="A58" s="69" t="s">
        <v>81</v>
      </c>
      <c r="B58" s="25" t="s">
        <v>82</v>
      </c>
      <c r="C58" s="70"/>
      <c r="D58" s="77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</row>
    <row r="59" spans="1:65" s="71" customFormat="1" x14ac:dyDescent="0.2">
      <c r="A59" s="69" t="s">
        <v>101</v>
      </c>
      <c r="B59" s="25"/>
      <c r="C59" s="70"/>
      <c r="D59" s="77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100">
        <v>230000</v>
      </c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</row>
    <row r="60" spans="1:65" s="71" customFormat="1" x14ac:dyDescent="0.2">
      <c r="A60" s="69" t="s">
        <v>92</v>
      </c>
      <c r="B60" s="25" t="s">
        <v>93</v>
      </c>
      <c r="C60" s="70"/>
      <c r="D60" s="77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</row>
    <row r="61" spans="1:65" s="71" customFormat="1" x14ac:dyDescent="0.2">
      <c r="A61" s="69" t="s">
        <v>38</v>
      </c>
      <c r="B61" s="25" t="s">
        <v>39</v>
      </c>
      <c r="C61" s="70"/>
      <c r="D61" s="24"/>
      <c r="E61" s="100">
        <v>50000</v>
      </c>
      <c r="F61" s="100">
        <v>25000</v>
      </c>
      <c r="G61" s="100">
        <v>25000</v>
      </c>
      <c r="H61" s="24"/>
      <c r="I61" s="24"/>
      <c r="J61" s="24"/>
      <c r="K61" s="24"/>
      <c r="L61" s="24"/>
      <c r="M61" s="24"/>
      <c r="N61" s="100">
        <v>45300</v>
      </c>
      <c r="O61" s="24"/>
      <c r="P61" s="24"/>
      <c r="Q61" s="100">
        <v>215000</v>
      </c>
      <c r="R61" s="24"/>
      <c r="S61" s="24"/>
      <c r="T61" s="24"/>
      <c r="U61" s="24"/>
      <c r="V61" s="24"/>
      <c r="W61" s="24"/>
      <c r="X61" s="28"/>
      <c r="Y61" s="24"/>
      <c r="Z61" s="24"/>
      <c r="AA61" s="100">
        <v>16000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</row>
    <row r="62" spans="1:65" s="71" customFormat="1" x14ac:dyDescent="0.2">
      <c r="A62" s="69" t="s">
        <v>74</v>
      </c>
      <c r="B62" s="25" t="s">
        <v>83</v>
      </c>
      <c r="C62" s="70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98">
        <v>104492.6</v>
      </c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>
        <v>3500000</v>
      </c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</row>
    <row r="63" spans="1:65" s="73" customFormat="1" ht="2.25" customHeight="1" x14ac:dyDescent="0.2">
      <c r="A63" s="78"/>
      <c r="B63" s="79"/>
      <c r="C63" s="75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 t="s">
        <v>89</v>
      </c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</row>
    <row r="64" spans="1:65" s="94" customFormat="1" ht="33.75" x14ac:dyDescent="0.2">
      <c r="A64" s="91" t="s">
        <v>60</v>
      </c>
      <c r="B64" s="92" t="s">
        <v>58</v>
      </c>
      <c r="C64" s="93">
        <v>248639.70012000017</v>
      </c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</row>
    <row r="65" spans="1:65" s="94" customFormat="1" ht="33.75" x14ac:dyDescent="0.2">
      <c r="A65" s="91" t="s">
        <v>60</v>
      </c>
      <c r="B65" s="92" t="s">
        <v>59</v>
      </c>
      <c r="C65" s="93">
        <v>0</v>
      </c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</row>
    <row r="66" spans="1:65" s="5" customFormat="1" ht="2.25" customHeight="1" x14ac:dyDescent="0.2">
      <c r="A66" s="42"/>
      <c r="B66" s="12"/>
      <c r="C66" s="68"/>
      <c r="D66" s="26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</row>
    <row r="67" spans="1:65" s="5" customFormat="1" x14ac:dyDescent="0.2">
      <c r="A67" s="36" t="s">
        <v>49</v>
      </c>
      <c r="B67" s="12"/>
      <c r="C67" s="13">
        <v>1600000</v>
      </c>
      <c r="D67" s="26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>
        <v>1600000</v>
      </c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v>1490000</v>
      </c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>
        <v>1490000</v>
      </c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</row>
    <row r="68" spans="1:65" s="5" customFormat="1" x14ac:dyDescent="0.2">
      <c r="A68" s="36" t="s">
        <v>57</v>
      </c>
      <c r="B68" s="12"/>
      <c r="C68" s="68"/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>
        <v>1490000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</row>
    <row r="69" spans="1:65" s="5" customFormat="1" x14ac:dyDescent="0.2">
      <c r="A69" s="36" t="s">
        <v>61</v>
      </c>
      <c r="B69" s="12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>
        <v>390000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>
        <v>112000</v>
      </c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</row>
    <row r="70" spans="1:65" s="5" customFormat="1" ht="2.25" customHeight="1" x14ac:dyDescent="0.2">
      <c r="A70" s="42"/>
      <c r="B70" s="12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</row>
    <row r="71" spans="1:65" s="5" customFormat="1" x14ac:dyDescent="0.2">
      <c r="A71" s="36" t="s">
        <v>72</v>
      </c>
      <c r="B71" s="27" t="s">
        <v>73</v>
      </c>
      <c r="C71" s="62">
        <v>3637079.2460000003</v>
      </c>
      <c r="D71" s="35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s="5" customFormat="1" ht="2.25" customHeight="1" x14ac:dyDescent="0.2">
      <c r="A72" s="42"/>
      <c r="B72" s="12"/>
      <c r="C72" s="61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</row>
    <row r="73" spans="1:65" s="84" customFormat="1" x14ac:dyDescent="0.2">
      <c r="A73" s="81" t="s">
        <v>66</v>
      </c>
      <c r="B73" s="82"/>
      <c r="C73" s="63"/>
      <c r="D73" s="83"/>
      <c r="E73" s="83">
        <f>$C$5+E16-E25</f>
        <v>226214.55000000005</v>
      </c>
      <c r="F73" s="83">
        <f t="shared" ref="F73:AQ73" si="5">E73+F16-F25</f>
        <v>499046.63571428577</v>
      </c>
      <c r="G73" s="83">
        <f t="shared" si="5"/>
        <v>-72121.278571428498</v>
      </c>
      <c r="H73" s="83">
        <f t="shared" si="5"/>
        <v>-784621.2785714285</v>
      </c>
      <c r="I73" s="83">
        <f t="shared" si="5"/>
        <v>-784621.2785714285</v>
      </c>
      <c r="J73" s="83">
        <f t="shared" si="5"/>
        <v>-488420.37525714282</v>
      </c>
      <c r="K73" s="83">
        <f t="shared" si="5"/>
        <v>-558636.84520535707</v>
      </c>
      <c r="L73" s="83">
        <f t="shared" si="5"/>
        <v>-969250.51949107146</v>
      </c>
      <c r="M73" s="83">
        <f t="shared" si="5"/>
        <v>-1022063.2794910715</v>
      </c>
      <c r="N73" s="83">
        <f t="shared" si="5"/>
        <v>759952.8345607142</v>
      </c>
      <c r="O73" s="83">
        <f t="shared" si="5"/>
        <v>-177735.06543928583</v>
      </c>
      <c r="P73" s="83">
        <f t="shared" si="5"/>
        <v>-177735.06543928583</v>
      </c>
      <c r="Q73" s="83">
        <f t="shared" si="5"/>
        <v>-901863.77543928579</v>
      </c>
      <c r="R73" s="83">
        <f t="shared" si="5"/>
        <v>-622743.77543928579</v>
      </c>
      <c r="S73" s="83">
        <f t="shared" si="5"/>
        <v>-1251335.3054392859</v>
      </c>
      <c r="T73" s="83">
        <f t="shared" si="5"/>
        <v>-1591085.3054392859</v>
      </c>
      <c r="U73" s="83">
        <f t="shared" si="5"/>
        <v>-1902259.3054392859</v>
      </c>
      <c r="V73" s="83">
        <f t="shared" si="5"/>
        <v>-1902259.3054392859</v>
      </c>
      <c r="W73" s="83">
        <f t="shared" si="5"/>
        <v>4241405.1552807149</v>
      </c>
      <c r="X73" s="83">
        <f t="shared" si="5"/>
        <v>3478465.1552807149</v>
      </c>
      <c r="Y73" s="83">
        <f t="shared" si="5"/>
        <v>2984065.1552807149</v>
      </c>
      <c r="Z73" s="83">
        <f t="shared" si="5"/>
        <v>2222665.1552807149</v>
      </c>
      <c r="AA73" s="83">
        <f t="shared" si="5"/>
        <v>1806665.1552807149</v>
      </c>
      <c r="AB73" s="83">
        <f t="shared" si="5"/>
        <v>1506665.1552807149</v>
      </c>
      <c r="AC73" s="83">
        <f t="shared" si="5"/>
        <v>1184808.045280715</v>
      </c>
      <c r="AD73" s="83">
        <f t="shared" si="5"/>
        <v>170930.04528071498</v>
      </c>
      <c r="AE73" s="83">
        <f t="shared" si="5"/>
        <v>66466.045280714985</v>
      </c>
      <c r="AF73" s="83">
        <f t="shared" si="5"/>
        <v>-1933533.954719285</v>
      </c>
      <c r="AG73" s="83">
        <f t="shared" si="5"/>
        <v>-2244933.954719285</v>
      </c>
      <c r="AH73" s="83">
        <f t="shared" si="5"/>
        <v>-2244933.954719285</v>
      </c>
      <c r="AI73" s="83">
        <f t="shared" si="5"/>
        <v>-2902882.954719285</v>
      </c>
      <c r="AJ73" s="83">
        <f t="shared" si="5"/>
        <v>1607617.045280715</v>
      </c>
      <c r="AK73" s="83">
        <f t="shared" si="5"/>
        <v>1607617.045280715</v>
      </c>
      <c r="AL73" s="83">
        <f t="shared" si="5"/>
        <v>332279.14528071508</v>
      </c>
      <c r="AM73" s="83">
        <f t="shared" si="5"/>
        <v>332279.14528071508</v>
      </c>
      <c r="AN73" s="83">
        <f t="shared" si="5"/>
        <v>-3282944.8547192849</v>
      </c>
      <c r="AO73" s="83">
        <f t="shared" si="5"/>
        <v>-3282944.8547192849</v>
      </c>
      <c r="AP73" s="83">
        <f t="shared" si="5"/>
        <v>-3282944.8547192849</v>
      </c>
      <c r="AQ73" s="83">
        <f t="shared" si="5"/>
        <v>-3282944.8547192849</v>
      </c>
      <c r="AR73" s="83">
        <f>AQ73+AR16-AR25</f>
        <v>-3642944.8547192849</v>
      </c>
      <c r="AS73" s="83">
        <f t="shared" ref="AS73:BM73" si="6">AR73+AS16-AS25</f>
        <v>-3642944.8547192849</v>
      </c>
      <c r="AT73" s="83">
        <f t="shared" si="6"/>
        <v>-3642944.8547192849</v>
      </c>
      <c r="AU73" s="83">
        <f t="shared" si="6"/>
        <v>-3642944.8547192849</v>
      </c>
      <c r="AV73" s="83">
        <f t="shared" si="6"/>
        <v>2749555.1452807151</v>
      </c>
      <c r="AW73" s="83">
        <f t="shared" si="6"/>
        <v>2749555.1452807151</v>
      </c>
      <c r="AX73" s="83">
        <f t="shared" si="6"/>
        <v>2749555.1452807151</v>
      </c>
      <c r="AY73" s="83">
        <f t="shared" si="6"/>
        <v>2749555.1452807151</v>
      </c>
      <c r="AZ73" s="83">
        <f t="shared" si="6"/>
        <v>2749555.1452807151</v>
      </c>
      <c r="BA73" s="83">
        <f t="shared" si="6"/>
        <v>2749555.1452807151</v>
      </c>
      <c r="BB73" s="83">
        <f t="shared" si="6"/>
        <v>2749555.1452807151</v>
      </c>
      <c r="BC73" s="83">
        <f t="shared" si="6"/>
        <v>2749555.1452807151</v>
      </c>
      <c r="BD73" s="83">
        <f t="shared" si="6"/>
        <v>2749555.1452807151</v>
      </c>
      <c r="BE73" s="83">
        <f t="shared" si="6"/>
        <v>2749555.1452807151</v>
      </c>
      <c r="BF73" s="83">
        <f t="shared" si="6"/>
        <v>2749555.1452807151</v>
      </c>
      <c r="BG73" s="83">
        <f t="shared" si="6"/>
        <v>2749555.1452807151</v>
      </c>
      <c r="BH73" s="83">
        <f t="shared" si="6"/>
        <v>2749555.1452807151</v>
      </c>
      <c r="BI73" s="83">
        <f t="shared" si="6"/>
        <v>2749555.1452807151</v>
      </c>
      <c r="BJ73" s="83">
        <f t="shared" si="6"/>
        <v>2749555.1452807151</v>
      </c>
      <c r="BK73" s="83">
        <f t="shared" si="6"/>
        <v>2749555.1452807151</v>
      </c>
      <c r="BL73" s="83">
        <f t="shared" si="6"/>
        <v>2749555.1452807151</v>
      </c>
      <c r="BM73" s="83">
        <f t="shared" si="6"/>
        <v>2749555.1452807151</v>
      </c>
    </row>
    <row r="75" spans="1:65" s="5" customFormat="1" ht="2.25" customHeight="1" x14ac:dyDescent="0.2">
      <c r="A75" s="42"/>
      <c r="B75" s="12"/>
      <c r="C75" s="68"/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</row>
    <row r="76" spans="1:65" s="89" customFormat="1" ht="11.25" customHeight="1" x14ac:dyDescent="0.2">
      <c r="A76" s="85" t="s">
        <v>65</v>
      </c>
      <c r="B76" s="86"/>
      <c r="C76" s="87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</row>
    <row r="77" spans="1:65" s="5" customFormat="1" ht="22.5" x14ac:dyDescent="0.2">
      <c r="A77" s="36" t="s">
        <v>67</v>
      </c>
      <c r="B77" s="27" t="s">
        <v>68</v>
      </c>
      <c r="C77" s="68">
        <v>3221210.79</v>
      </c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</row>
    <row r="78" spans="1:65" s="5" customFormat="1" x14ac:dyDescent="0.2">
      <c r="A78" s="36" t="s">
        <v>69</v>
      </c>
      <c r="B78" s="27" t="s">
        <v>70</v>
      </c>
      <c r="C78" s="68">
        <v>9814338.4000000004</v>
      </c>
      <c r="D78" s="26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</row>
    <row r="79" spans="1:65" s="5" customFormat="1" x14ac:dyDescent="0.2">
      <c r="A79" s="36"/>
      <c r="B79" s="27"/>
      <c r="C79" s="68"/>
      <c r="D79" s="26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</row>
    <row r="80" spans="1:65" s="5" customFormat="1" x14ac:dyDescent="0.2">
      <c r="A80" s="36"/>
      <c r="B80" s="27"/>
      <c r="C80" s="68"/>
      <c r="D80" s="2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</row>
    <row r="82" spans="2:2" x14ac:dyDescent="0.25">
      <c r="B82" s="14"/>
    </row>
  </sheetData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79"/>
  <sheetViews>
    <sheetView topLeftCell="A28" workbookViewId="0">
      <pane xSplit="1" topLeftCell="B1" activePane="topRight" state="frozen"/>
      <selection activeCell="A13" sqref="A13"/>
      <selection pane="topRight" activeCell="C36" sqref="C36:C58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7" width="10.85546875" style="3" bestFit="1" customWidth="1"/>
    <col min="8" max="13" width="11.7109375" style="3" bestFit="1" customWidth="1"/>
    <col min="14" max="16" width="11.7109375" style="3" customWidth="1"/>
    <col min="17" max="24" width="11.7109375" style="3" bestFit="1" customWidth="1"/>
    <col min="25" max="49" width="10.85546875" style="3" bestFit="1" customWidth="1"/>
    <col min="50" max="50" width="11.7109375" style="3" bestFit="1" customWidth="1"/>
    <col min="51" max="67" width="10.85546875" style="3" bestFit="1" customWidth="1"/>
    <col min="68" max="16384" width="9" style="3"/>
  </cols>
  <sheetData>
    <row r="1" spans="1:67" ht="12" thickBot="1" x14ac:dyDescent="0.3"/>
    <row r="2" spans="1:67" s="1" customFormat="1" x14ac:dyDescent="0.2">
      <c r="A2" s="43" t="s">
        <v>50</v>
      </c>
      <c r="B2" s="15" t="s">
        <v>27</v>
      </c>
      <c r="C2" s="50">
        <v>2645955.19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67" s="1" customFormat="1" ht="12" thickBot="1" x14ac:dyDescent="0.25">
      <c r="A3" s="44">
        <v>93.424700000000001</v>
      </c>
      <c r="B3" s="15" t="s">
        <v>28</v>
      </c>
      <c r="C3" s="50">
        <v>10778.95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67" s="8" customFormat="1" ht="12" thickBot="1" x14ac:dyDescent="0.25">
      <c r="A4" s="45"/>
      <c r="B4" s="15" t="s">
        <v>25</v>
      </c>
      <c r="C4" s="51">
        <v>0</v>
      </c>
    </row>
    <row r="5" spans="1:67" s="6" customFormat="1" x14ac:dyDescent="0.2">
      <c r="A5" s="43" t="s">
        <v>51</v>
      </c>
      <c r="B5" s="49" t="s">
        <v>26</v>
      </c>
      <c r="C5" s="52">
        <f>SUM(C2:C4)</f>
        <v>2656734.14</v>
      </c>
    </row>
    <row r="6" spans="1:67" s="6" customFormat="1" ht="12" thickBot="1" x14ac:dyDescent="0.25">
      <c r="A6" s="44">
        <v>81.144300000000001</v>
      </c>
      <c r="B6" s="16"/>
      <c r="C6" s="53"/>
      <c r="D6" s="17"/>
    </row>
    <row r="7" spans="1:67" s="6" customFormat="1" ht="12" thickBot="1" x14ac:dyDescent="0.25">
      <c r="A7" s="105" t="s">
        <v>51</v>
      </c>
      <c r="B7" s="18" t="s">
        <v>62</v>
      </c>
      <c r="C7" s="54">
        <f>SUM(E16:BO16)</f>
        <v>36371750.896559998</v>
      </c>
    </row>
    <row r="8" spans="1:67" x14ac:dyDescent="0.25">
      <c r="A8" s="43" t="s">
        <v>52</v>
      </c>
      <c r="B8" s="18" t="s">
        <v>84</v>
      </c>
      <c r="C8" s="54">
        <f>SUM(E24:BO25)</f>
        <v>35011016.359564282</v>
      </c>
    </row>
    <row r="9" spans="1:67" ht="12" thickBot="1" x14ac:dyDescent="0.3">
      <c r="A9" s="44">
        <v>11.7301</v>
      </c>
      <c r="B9" s="19" t="s">
        <v>64</v>
      </c>
      <c r="C9" s="55">
        <f>C5+C7-C8-C11</f>
        <v>-8525262.4281242825</v>
      </c>
    </row>
    <row r="10" spans="1:67" x14ac:dyDescent="0.25">
      <c r="A10" s="99" t="s">
        <v>80</v>
      </c>
      <c r="B10" s="18" t="s">
        <v>23</v>
      </c>
      <c r="C10" s="56">
        <f>C16</f>
        <v>0</v>
      </c>
      <c r="I10" s="116"/>
    </row>
    <row r="11" spans="1:67" x14ac:dyDescent="0.25">
      <c r="A11" s="101" t="s">
        <v>87</v>
      </c>
      <c r="B11" s="18" t="s">
        <v>24</v>
      </c>
      <c r="C11" s="54">
        <f>C25</f>
        <v>12542731.105119999</v>
      </c>
      <c r="I11" s="115"/>
    </row>
    <row r="12" spans="1:67" x14ac:dyDescent="0.25">
      <c r="A12" s="107" t="s">
        <v>88</v>
      </c>
    </row>
    <row r="13" spans="1:67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</row>
    <row r="14" spans="1:67" s="2" customFormat="1" x14ac:dyDescent="0.25">
      <c r="A14" s="64"/>
      <c r="B14" s="65"/>
      <c r="C14" s="58" t="s">
        <v>56</v>
      </c>
      <c r="D14" s="66"/>
      <c r="E14" s="66">
        <v>46111</v>
      </c>
      <c r="F14" s="66">
        <v>46112</v>
      </c>
      <c r="G14" s="66">
        <v>46113</v>
      </c>
      <c r="H14" s="66">
        <v>46114</v>
      </c>
      <c r="I14" s="66">
        <v>46115</v>
      </c>
      <c r="J14" s="66">
        <v>46116</v>
      </c>
      <c r="K14" s="66">
        <v>46117</v>
      </c>
      <c r="L14" s="66">
        <v>46118</v>
      </c>
      <c r="M14" s="66">
        <v>46119</v>
      </c>
      <c r="N14" s="66">
        <v>46120</v>
      </c>
      <c r="O14" s="66">
        <v>46121</v>
      </c>
      <c r="P14" s="66">
        <v>46122</v>
      </c>
      <c r="Q14" s="66">
        <v>46123</v>
      </c>
      <c r="R14" s="66">
        <v>46124</v>
      </c>
      <c r="S14" s="66">
        <v>46125</v>
      </c>
      <c r="T14" s="66">
        <v>46126</v>
      </c>
      <c r="U14" s="66">
        <v>46127</v>
      </c>
      <c r="V14" s="66">
        <v>46128</v>
      </c>
      <c r="W14" s="66">
        <v>46129</v>
      </c>
      <c r="X14" s="66">
        <v>46130</v>
      </c>
      <c r="Y14" s="66">
        <v>46131</v>
      </c>
      <c r="Z14" s="66">
        <v>46132</v>
      </c>
      <c r="AA14" s="66">
        <v>46133</v>
      </c>
      <c r="AB14" s="66">
        <v>46134</v>
      </c>
      <c r="AC14" s="66">
        <v>46135</v>
      </c>
      <c r="AD14" s="66">
        <v>46136</v>
      </c>
      <c r="AE14" s="66">
        <v>46137</v>
      </c>
      <c r="AF14" s="66">
        <v>46138</v>
      </c>
      <c r="AG14" s="66">
        <v>46139</v>
      </c>
      <c r="AH14" s="66">
        <v>46140</v>
      </c>
      <c r="AI14" s="66">
        <v>46141</v>
      </c>
      <c r="AJ14" s="66">
        <v>46142</v>
      </c>
      <c r="AK14" s="66">
        <v>46143</v>
      </c>
      <c r="AL14" s="66">
        <v>46144</v>
      </c>
      <c r="AM14" s="66">
        <v>46145</v>
      </c>
      <c r="AN14" s="66">
        <v>46146</v>
      </c>
      <c r="AO14" s="66">
        <v>46147</v>
      </c>
      <c r="AP14" s="66">
        <v>46148</v>
      </c>
      <c r="AQ14" s="66">
        <v>46149</v>
      </c>
      <c r="AR14" s="66">
        <v>46150</v>
      </c>
      <c r="AS14" s="66">
        <v>46151</v>
      </c>
      <c r="AT14" s="66">
        <v>46152</v>
      </c>
      <c r="AU14" s="66">
        <v>46153</v>
      </c>
      <c r="AV14" s="66">
        <v>46154</v>
      </c>
      <c r="AW14" s="66">
        <v>46155</v>
      </c>
      <c r="AX14" s="66">
        <v>46156</v>
      </c>
      <c r="AY14" s="66">
        <v>46157</v>
      </c>
      <c r="AZ14" s="66">
        <v>46158</v>
      </c>
      <c r="BA14" s="66">
        <v>46159</v>
      </c>
      <c r="BB14" s="66">
        <v>46160</v>
      </c>
      <c r="BC14" s="66">
        <v>46161</v>
      </c>
      <c r="BD14" s="66">
        <v>46162</v>
      </c>
      <c r="BE14" s="66">
        <v>46163</v>
      </c>
      <c r="BF14" s="66">
        <v>46164</v>
      </c>
      <c r="BG14" s="66">
        <v>46165</v>
      </c>
      <c r="BH14" s="66">
        <v>46166</v>
      </c>
      <c r="BI14" s="66">
        <v>46167</v>
      </c>
      <c r="BJ14" s="66">
        <v>46168</v>
      </c>
      <c r="BK14" s="66">
        <v>46169</v>
      </c>
      <c r="BL14" s="66">
        <v>46170</v>
      </c>
      <c r="BM14" s="66">
        <v>46171</v>
      </c>
      <c r="BN14" s="66">
        <v>46172</v>
      </c>
      <c r="BO14" s="66">
        <v>46173</v>
      </c>
    </row>
    <row r="15" spans="1:67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</row>
    <row r="16" spans="1:67" s="2" customFormat="1" x14ac:dyDescent="0.25">
      <c r="A16" s="39" t="s">
        <v>0</v>
      </c>
      <c r="B16" s="20"/>
      <c r="C16" s="29">
        <v>0</v>
      </c>
      <c r="D16" s="29"/>
      <c r="E16" s="29">
        <f t="shared" ref="E16:Y16" si="0">SUM(E17:E24)</f>
        <v>0</v>
      </c>
      <c r="F16" s="29">
        <f t="shared" si="0"/>
        <v>800000</v>
      </c>
      <c r="G16" s="29">
        <f t="shared" si="0"/>
        <v>1000000</v>
      </c>
      <c r="H16" s="29">
        <f t="shared" si="0"/>
        <v>1200000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1500000</v>
      </c>
      <c r="M16" s="29">
        <f t="shared" si="0"/>
        <v>1500000</v>
      </c>
      <c r="N16" s="29">
        <f t="shared" si="0"/>
        <v>500000</v>
      </c>
      <c r="O16" s="29">
        <f t="shared" si="0"/>
        <v>500000</v>
      </c>
      <c r="P16" s="29">
        <f t="shared" si="0"/>
        <v>4875000</v>
      </c>
      <c r="Q16" s="29">
        <f t="shared" si="0"/>
        <v>0</v>
      </c>
      <c r="R16" s="29">
        <f t="shared" si="0"/>
        <v>0</v>
      </c>
      <c r="S16" s="29">
        <f t="shared" si="0"/>
        <v>500000</v>
      </c>
      <c r="T16" s="29">
        <f t="shared" si="0"/>
        <v>1000000</v>
      </c>
      <c r="U16" s="29">
        <f t="shared" si="0"/>
        <v>500000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8421750.8965600003</v>
      </c>
      <c r="Z16" s="29">
        <f t="shared" ref="Z16:AS16" si="1">SUM(Z17:Z24)</f>
        <v>0</v>
      </c>
      <c r="AA16" s="29">
        <f t="shared" si="1"/>
        <v>0</v>
      </c>
      <c r="AB16" s="29">
        <f t="shared" si="1"/>
        <v>0</v>
      </c>
      <c r="AC16" s="29">
        <f t="shared" si="1"/>
        <v>0</v>
      </c>
      <c r="AD16" s="29">
        <f t="shared" si="1"/>
        <v>0</v>
      </c>
      <c r="AE16" s="29">
        <f t="shared" si="1"/>
        <v>0</v>
      </c>
      <c r="AF16" s="29">
        <f t="shared" si="1"/>
        <v>0</v>
      </c>
      <c r="AG16" s="29">
        <f t="shared" si="1"/>
        <v>0</v>
      </c>
      <c r="AH16" s="29">
        <f t="shared" si="1"/>
        <v>0</v>
      </c>
      <c r="AI16" s="29">
        <f t="shared" si="1"/>
        <v>0</v>
      </c>
      <c r="AJ16" s="29">
        <f t="shared" si="1"/>
        <v>0</v>
      </c>
      <c r="AK16" s="29">
        <f t="shared" si="1"/>
        <v>0</v>
      </c>
      <c r="AL16" s="29">
        <f t="shared" si="1"/>
        <v>7037500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29">
        <f t="shared" si="1"/>
        <v>0</v>
      </c>
      <c r="AR16" s="29">
        <f t="shared" si="1"/>
        <v>0</v>
      </c>
      <c r="AS16" s="29">
        <f t="shared" si="1"/>
        <v>0</v>
      </c>
      <c r="AT16" s="29">
        <f>SUM(AT17:AT24)</f>
        <v>0</v>
      </c>
      <c r="AU16" s="29">
        <f t="shared" ref="AU16:BO16" si="2">SUM(AU17:AU24)</f>
        <v>0</v>
      </c>
      <c r="AV16" s="29">
        <f t="shared" si="2"/>
        <v>0</v>
      </c>
      <c r="AW16" s="29">
        <f t="shared" si="2"/>
        <v>0</v>
      </c>
      <c r="AX16" s="29">
        <f t="shared" si="2"/>
        <v>7037500</v>
      </c>
      <c r="AY16" s="29">
        <f t="shared" si="2"/>
        <v>0</v>
      </c>
      <c r="AZ16" s="29">
        <f t="shared" si="2"/>
        <v>0</v>
      </c>
      <c r="BA16" s="29">
        <f t="shared" si="2"/>
        <v>0</v>
      </c>
      <c r="BB16" s="29">
        <f t="shared" si="2"/>
        <v>0</v>
      </c>
      <c r="BC16" s="29">
        <f t="shared" si="2"/>
        <v>0</v>
      </c>
      <c r="BD16" s="29">
        <f t="shared" si="2"/>
        <v>0</v>
      </c>
      <c r="BE16" s="29">
        <f t="shared" si="2"/>
        <v>0</v>
      </c>
      <c r="BF16" s="29">
        <f t="shared" si="2"/>
        <v>0</v>
      </c>
      <c r="BG16" s="29">
        <f t="shared" si="2"/>
        <v>0</v>
      </c>
      <c r="BH16" s="29">
        <f t="shared" si="2"/>
        <v>0</v>
      </c>
      <c r="BI16" s="29">
        <f t="shared" si="2"/>
        <v>0</v>
      </c>
      <c r="BJ16" s="29">
        <f t="shared" si="2"/>
        <v>0</v>
      </c>
      <c r="BK16" s="29">
        <f t="shared" si="2"/>
        <v>0</v>
      </c>
      <c r="BL16" s="29">
        <f t="shared" si="2"/>
        <v>0</v>
      </c>
      <c r="BM16" s="29">
        <f t="shared" si="2"/>
        <v>0</v>
      </c>
      <c r="BN16" s="29">
        <f t="shared" si="2"/>
        <v>0</v>
      </c>
      <c r="BO16" s="29">
        <f t="shared" si="2"/>
        <v>0</v>
      </c>
    </row>
    <row r="17" spans="1:67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</row>
    <row r="18" spans="1:67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</row>
    <row r="19" spans="1:67" s="80" customFormat="1" ht="13.5" customHeight="1" x14ac:dyDescent="0.25">
      <c r="A19" s="40" t="s">
        <v>10</v>
      </c>
      <c r="B19" s="21"/>
      <c r="C19" s="59"/>
      <c r="D19" s="30"/>
      <c r="E19" s="30"/>
      <c r="F19" s="30">
        <v>800000</v>
      </c>
      <c r="G19" s="30">
        <v>1000000</v>
      </c>
      <c r="H19" s="30">
        <v>1200000</v>
      </c>
      <c r="I19" s="30"/>
      <c r="J19" s="30"/>
      <c r="K19" s="30"/>
      <c r="L19" s="30">
        <v>1500000</v>
      </c>
      <c r="M19" s="30">
        <v>1500000</v>
      </c>
      <c r="N19" s="30">
        <v>500000</v>
      </c>
      <c r="O19" s="30">
        <v>500000</v>
      </c>
      <c r="P19" s="30"/>
      <c r="Q19" s="30"/>
      <c r="R19" s="30"/>
      <c r="S19" s="30">
        <v>500000</v>
      </c>
      <c r="T19" s="30">
        <v>1000000</v>
      </c>
      <c r="U19" s="80">
        <v>500000</v>
      </c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</row>
    <row r="20" spans="1:67" s="80" customFormat="1" ht="13.5" customHeight="1" x14ac:dyDescent="0.25">
      <c r="A20" s="40" t="s">
        <v>12</v>
      </c>
      <c r="B20" s="21"/>
      <c r="C20" s="59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2">
        <v>4875000</v>
      </c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>
        <v>7037500</v>
      </c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>
        <v>7037500</v>
      </c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</row>
    <row r="21" spans="1:67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</row>
    <row r="22" spans="1:67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3">
        <f>90144.8*A3</f>
        <v>8421750.8965600003</v>
      </c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</row>
    <row r="23" spans="1:67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</row>
    <row r="24" spans="1:67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</row>
    <row r="25" spans="1:67" s="4" customFormat="1" x14ac:dyDescent="0.2">
      <c r="A25" s="41" t="s">
        <v>1</v>
      </c>
      <c r="B25" s="22"/>
      <c r="C25" s="34">
        <f>SUM(C27:C68)</f>
        <v>12542731.105119999</v>
      </c>
      <c r="D25" s="34"/>
      <c r="E25" s="34">
        <f t="shared" ref="E25:AS25" si="3">SUM(E26:E69)</f>
        <v>2624923.8499999996</v>
      </c>
      <c r="F25" s="34">
        <f t="shared" si="3"/>
        <v>710872.15</v>
      </c>
      <c r="G25" s="34">
        <f t="shared" si="3"/>
        <v>623372.15</v>
      </c>
      <c r="H25" s="34">
        <f t="shared" si="3"/>
        <v>852114.86428571434</v>
      </c>
      <c r="I25" s="34">
        <f t="shared" si="3"/>
        <v>571114.86428571434</v>
      </c>
      <c r="J25" s="34">
        <f t="shared" si="3"/>
        <v>0</v>
      </c>
      <c r="K25" s="34">
        <f t="shared" si="3"/>
        <v>0</v>
      </c>
      <c r="L25" s="34">
        <f t="shared" si="3"/>
        <v>1202877.0098857144</v>
      </c>
      <c r="M25" s="34">
        <f t="shared" si="3"/>
        <v>1543016.4592857142</v>
      </c>
      <c r="N25" s="34">
        <f t="shared" si="3"/>
        <v>764400.40928571438</v>
      </c>
      <c r="O25" s="34">
        <f t="shared" si="3"/>
        <v>527743.79499999993</v>
      </c>
      <c r="P25" s="34">
        <f t="shared" si="3"/>
        <v>2990255.7625357145</v>
      </c>
      <c r="Q25" s="34">
        <f t="shared" si="3"/>
        <v>937258.19499999995</v>
      </c>
      <c r="R25" s="34">
        <f t="shared" si="3"/>
        <v>0</v>
      </c>
      <c r="S25" s="34">
        <f t="shared" si="3"/>
        <v>1224128.71</v>
      </c>
      <c r="T25" s="34">
        <f t="shared" si="3"/>
        <v>490880</v>
      </c>
      <c r="U25" s="34">
        <f t="shared" si="3"/>
        <v>1128591.53</v>
      </c>
      <c r="V25" s="34">
        <f t="shared" si="3"/>
        <v>339750</v>
      </c>
      <c r="W25" s="34">
        <f t="shared" si="3"/>
        <v>311174</v>
      </c>
      <c r="X25" s="34">
        <f t="shared" si="3"/>
        <v>0</v>
      </c>
      <c r="Y25" s="34">
        <f t="shared" si="3"/>
        <v>2264492.6</v>
      </c>
      <c r="Z25" s="34">
        <f t="shared" si="3"/>
        <v>977940</v>
      </c>
      <c r="AA25" s="34">
        <f t="shared" si="3"/>
        <v>494400</v>
      </c>
      <c r="AB25" s="34">
        <f t="shared" si="3"/>
        <v>450000</v>
      </c>
      <c r="AC25" s="34">
        <f t="shared" si="3"/>
        <v>316000</v>
      </c>
      <c r="AD25" s="34">
        <f t="shared" si="3"/>
        <v>300000</v>
      </c>
      <c r="AE25" s="34">
        <f t="shared" si="3"/>
        <v>321857.11</v>
      </c>
      <c r="AF25" s="34">
        <f t="shared" si="3"/>
        <v>1013878</v>
      </c>
      <c r="AG25" s="34">
        <f t="shared" si="3"/>
        <v>104464</v>
      </c>
      <c r="AH25" s="34">
        <f t="shared" si="3"/>
        <v>2000000</v>
      </c>
      <c r="AI25" s="34">
        <f t="shared" si="3"/>
        <v>0</v>
      </c>
      <c r="AJ25" s="34">
        <f t="shared" si="3"/>
        <v>0</v>
      </c>
      <c r="AK25" s="34">
        <f t="shared" si="3"/>
        <v>657949</v>
      </c>
      <c r="AL25" s="34">
        <f t="shared" si="3"/>
        <v>2527000</v>
      </c>
      <c r="AM25" s="34">
        <f t="shared" si="3"/>
        <v>0</v>
      </c>
      <c r="AN25" s="34">
        <f t="shared" si="3"/>
        <v>1275337.8999999999</v>
      </c>
      <c r="AO25" s="34">
        <f t="shared" si="3"/>
        <v>0</v>
      </c>
      <c r="AP25" s="34">
        <f t="shared" si="3"/>
        <v>3615224</v>
      </c>
      <c r="AQ25" s="34">
        <f t="shared" si="3"/>
        <v>0</v>
      </c>
      <c r="AR25" s="34">
        <f t="shared" si="3"/>
        <v>0</v>
      </c>
      <c r="AS25" s="34">
        <f t="shared" si="3"/>
        <v>0</v>
      </c>
      <c r="AT25" s="34">
        <f>SUM(AT26:AT69)</f>
        <v>360000</v>
      </c>
      <c r="AU25" s="34">
        <f t="shared" ref="AU25:BO25" si="4">SUM(AU26:AU69)</f>
        <v>0</v>
      </c>
      <c r="AV25" s="34">
        <f t="shared" si="4"/>
        <v>0</v>
      </c>
      <c r="AW25" s="34">
        <f t="shared" si="4"/>
        <v>0</v>
      </c>
      <c r="AX25" s="34">
        <f t="shared" si="4"/>
        <v>1490000</v>
      </c>
      <c r="AY25" s="34">
        <f t="shared" si="4"/>
        <v>0</v>
      </c>
      <c r="AZ25" s="34">
        <f t="shared" si="4"/>
        <v>0</v>
      </c>
      <c r="BA25" s="34">
        <f t="shared" si="4"/>
        <v>0</v>
      </c>
      <c r="BB25" s="34">
        <f t="shared" si="4"/>
        <v>0</v>
      </c>
      <c r="BC25" s="34">
        <f t="shared" si="4"/>
        <v>0</v>
      </c>
      <c r="BD25" s="34">
        <f t="shared" si="4"/>
        <v>0</v>
      </c>
      <c r="BE25" s="34">
        <f t="shared" si="4"/>
        <v>0</v>
      </c>
      <c r="BF25" s="34">
        <f t="shared" si="4"/>
        <v>0</v>
      </c>
      <c r="BG25" s="34">
        <f t="shared" si="4"/>
        <v>0</v>
      </c>
      <c r="BH25" s="34">
        <f t="shared" si="4"/>
        <v>0</v>
      </c>
      <c r="BI25" s="34">
        <f t="shared" si="4"/>
        <v>0</v>
      </c>
      <c r="BJ25" s="34">
        <f t="shared" si="4"/>
        <v>0</v>
      </c>
      <c r="BK25" s="34">
        <f t="shared" si="4"/>
        <v>0</v>
      </c>
      <c r="BL25" s="34">
        <f t="shared" si="4"/>
        <v>0</v>
      </c>
      <c r="BM25" s="34">
        <f t="shared" si="4"/>
        <v>0</v>
      </c>
      <c r="BN25" s="34">
        <f t="shared" si="4"/>
        <v>0</v>
      </c>
      <c r="BO25" s="34">
        <f t="shared" si="4"/>
        <v>0</v>
      </c>
    </row>
    <row r="26" spans="1:67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</row>
    <row r="27" spans="1:67" s="1" customFormat="1" x14ac:dyDescent="0.2">
      <c r="A27" s="36" t="s">
        <v>2</v>
      </c>
      <c r="B27" s="23" t="s">
        <v>3</v>
      </c>
      <c r="C27" s="60"/>
      <c r="D27" s="24"/>
      <c r="E27" s="100">
        <v>194014.26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</row>
    <row r="28" spans="1:67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</row>
    <row r="29" spans="1:67" s="1" customFormat="1" x14ac:dyDescent="0.2">
      <c r="A29" s="36" t="s">
        <v>2</v>
      </c>
      <c r="B29" s="23" t="s">
        <v>5</v>
      </c>
      <c r="C29" s="60"/>
      <c r="D29" s="24"/>
      <c r="E29" s="100">
        <v>1835137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</row>
    <row r="30" spans="1:67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90">
        <v>2000000</v>
      </c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</row>
    <row r="31" spans="1:67" s="1" customFormat="1" x14ac:dyDescent="0.2">
      <c r="A31" s="36" t="s">
        <v>7</v>
      </c>
      <c r="B31" s="23" t="s">
        <v>8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114">
        <v>750000</v>
      </c>
      <c r="N31" s="24"/>
      <c r="O31" s="24"/>
      <c r="P31" s="114">
        <v>360000</v>
      </c>
      <c r="Q31" s="24"/>
      <c r="R31" s="24"/>
      <c r="S31" s="24"/>
      <c r="T31" s="24"/>
      <c r="U31" s="24"/>
      <c r="V31" s="24"/>
      <c r="W31" s="24"/>
      <c r="X31" s="24"/>
      <c r="Y31" s="24">
        <v>560000</v>
      </c>
      <c r="Z31" s="24"/>
      <c r="AA31" s="24"/>
      <c r="AB31" s="24"/>
      <c r="AC31" s="24"/>
      <c r="AD31" s="24"/>
      <c r="AE31" s="24">
        <f>643714.22/2</f>
        <v>321857.11</v>
      </c>
      <c r="AF31" s="24"/>
      <c r="AG31" s="24"/>
      <c r="AH31" s="24"/>
      <c r="AI31" s="24"/>
      <c r="AJ31" s="24"/>
      <c r="AK31" s="24"/>
      <c r="AL31" s="24"/>
      <c r="AM31" s="24"/>
      <c r="AN31" s="24">
        <v>560000</v>
      </c>
      <c r="AO31" s="24"/>
      <c r="AP31" s="24"/>
      <c r="AQ31" s="24"/>
      <c r="AR31" s="24"/>
      <c r="AS31" s="24"/>
      <c r="AT31" s="24">
        <v>360000</v>
      </c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</row>
    <row r="32" spans="1:67" s="1" customFormat="1" x14ac:dyDescent="0.2">
      <c r="A32" s="36" t="s">
        <v>54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</row>
    <row r="33" spans="1:67" s="1" customFormat="1" x14ac:dyDescent="0.2">
      <c r="A33" s="36" t="s">
        <v>71</v>
      </c>
      <c r="B33" s="23"/>
      <c r="C33" s="60"/>
      <c r="D33" s="24"/>
      <c r="E33" s="24"/>
      <c r="F33" s="24"/>
      <c r="G33" s="24"/>
      <c r="H33" s="24"/>
      <c r="I33" s="24">
        <f>30000+10500+3500</f>
        <v>44000</v>
      </c>
      <c r="J33" s="24"/>
      <c r="K33" s="24"/>
      <c r="L33" s="24">
        <v>100000</v>
      </c>
      <c r="M33" s="24"/>
      <c r="N33" s="24">
        <v>100113.9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>
        <v>200113.9</v>
      </c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</row>
    <row r="34" spans="1:67" s="1" customFormat="1" x14ac:dyDescent="0.2">
      <c r="A34" s="36" t="s">
        <v>53</v>
      </c>
      <c r="B34" s="23"/>
      <c r="C34" s="60"/>
      <c r="D34" s="24"/>
      <c r="E34" s="100">
        <v>25000</v>
      </c>
      <c r="F34" s="24"/>
      <c r="G34" s="24"/>
      <c r="H34" s="24"/>
      <c r="I34" s="24"/>
      <c r="J34" s="24"/>
      <c r="K34" s="24"/>
      <c r="L34" s="110">
        <v>100000</v>
      </c>
      <c r="M34" s="111">
        <v>100000</v>
      </c>
      <c r="N34" s="111">
        <v>100000</v>
      </c>
      <c r="O34" s="111">
        <v>100000</v>
      </c>
      <c r="P34" s="111">
        <v>145949.5</v>
      </c>
      <c r="Q34" s="24"/>
      <c r="R34" s="24"/>
      <c r="S34" s="24"/>
      <c r="T34" s="24"/>
      <c r="U34" s="24"/>
      <c r="V34" s="24"/>
      <c r="W34" s="24"/>
      <c r="X34" s="24"/>
      <c r="Y34" s="24"/>
      <c r="Z34" s="24">
        <v>80000</v>
      </c>
      <c r="AA34" s="24">
        <v>80000</v>
      </c>
      <c r="AB34" s="24">
        <v>50000</v>
      </c>
      <c r="AC34" s="24"/>
      <c r="AD34" s="24"/>
      <c r="AE34" s="24"/>
      <c r="AF34" s="24"/>
      <c r="AG34" s="24"/>
      <c r="AH34" s="24"/>
      <c r="AI34" s="24"/>
      <c r="AJ34" s="24"/>
      <c r="AK34" s="24">
        <v>545949</v>
      </c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</row>
    <row r="35" spans="1:67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</row>
    <row r="36" spans="1:67" s="71" customFormat="1" x14ac:dyDescent="0.2">
      <c r="A36" s="69" t="s">
        <v>14</v>
      </c>
      <c r="B36" s="25" t="s">
        <v>30</v>
      </c>
      <c r="C36" s="70">
        <v>325000</v>
      </c>
      <c r="D36" s="24"/>
      <c r="E36" s="100">
        <v>162500</v>
      </c>
      <c r="F36" s="95">
        <v>162500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>
        <v>730000</v>
      </c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</row>
    <row r="37" spans="1:67" s="71" customFormat="1" x14ac:dyDescent="0.2">
      <c r="A37" s="69" t="s">
        <v>17</v>
      </c>
      <c r="B37" s="25" t="s">
        <v>41</v>
      </c>
      <c r="C37" s="70">
        <v>1521950</v>
      </c>
      <c r="D37" s="24"/>
      <c r="E37" s="100">
        <v>75000</v>
      </c>
      <c r="F37" s="95">
        <v>75000</v>
      </c>
      <c r="G37" s="95">
        <v>75000</v>
      </c>
      <c r="H37" s="95">
        <v>75000</v>
      </c>
      <c r="I37" s="95">
        <v>75000</v>
      </c>
      <c r="J37" s="24"/>
      <c r="K37" s="24"/>
      <c r="L37" s="95">
        <v>75000</v>
      </c>
      <c r="M37" s="95">
        <v>75000</v>
      </c>
      <c r="N37" s="95">
        <v>75000</v>
      </c>
      <c r="O37" s="95">
        <v>75000</v>
      </c>
      <c r="P37" s="95">
        <v>75000</v>
      </c>
      <c r="Q37" s="24"/>
      <c r="R37" s="24"/>
      <c r="S37" s="95">
        <v>200000</v>
      </c>
      <c r="T37" s="95">
        <v>100000</v>
      </c>
      <c r="U37" s="95">
        <v>100000</v>
      </c>
      <c r="V37" s="95">
        <v>100000</v>
      </c>
      <c r="W37" s="95">
        <v>195950</v>
      </c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</row>
    <row r="38" spans="1:67" s="71" customFormat="1" x14ac:dyDescent="0.2">
      <c r="A38" s="69" t="s">
        <v>15</v>
      </c>
      <c r="B38" s="25" t="s">
        <v>31</v>
      </c>
      <c r="C38" s="70">
        <v>579464</v>
      </c>
      <c r="D38" s="24"/>
      <c r="E38" s="100">
        <v>25000</v>
      </c>
      <c r="F38" s="95">
        <v>25000</v>
      </c>
      <c r="G38" s="95">
        <v>25000</v>
      </c>
      <c r="H38" s="95">
        <v>50000</v>
      </c>
      <c r="I38" s="28"/>
      <c r="J38" s="24"/>
      <c r="K38" s="24"/>
      <c r="L38" s="108">
        <v>100000</v>
      </c>
      <c r="M38" s="108">
        <v>100000</v>
      </c>
      <c r="N38" s="108">
        <v>50000</v>
      </c>
      <c r="O38" s="108"/>
      <c r="P38" s="108">
        <f>115224-50000</f>
        <v>65224</v>
      </c>
      <c r="Q38" s="24"/>
      <c r="R38" s="24"/>
      <c r="S38" s="108">
        <v>100000</v>
      </c>
      <c r="T38" s="108">
        <v>75000</v>
      </c>
      <c r="U38" s="108">
        <v>50000</v>
      </c>
      <c r="V38" s="108">
        <v>100000</v>
      </c>
      <c r="W38" s="108">
        <v>115224</v>
      </c>
      <c r="X38" s="24"/>
      <c r="Y38" s="24"/>
      <c r="Z38" s="108">
        <v>100000</v>
      </c>
      <c r="AA38" s="108">
        <v>100000</v>
      </c>
      <c r="AB38" s="108">
        <v>100000</v>
      </c>
      <c r="AC38" s="108">
        <v>100000</v>
      </c>
      <c r="AD38" s="108">
        <v>100000</v>
      </c>
      <c r="AE38" s="24"/>
      <c r="AF38" s="24"/>
      <c r="AG38" s="108">
        <v>104464</v>
      </c>
      <c r="AH38" s="24"/>
      <c r="AI38" s="24"/>
      <c r="AJ38" s="24"/>
      <c r="AK38" s="24"/>
      <c r="AL38" s="24">
        <v>25000</v>
      </c>
      <c r="AM38" s="24"/>
      <c r="AN38" s="98">
        <v>515224</v>
      </c>
      <c r="AO38" s="24"/>
      <c r="AP38" s="24">
        <v>115224</v>
      </c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</row>
    <row r="39" spans="1:67" s="71" customFormat="1" x14ac:dyDescent="0.2">
      <c r="A39" s="69" t="s">
        <v>18</v>
      </c>
      <c r="B39" s="25" t="s">
        <v>32</v>
      </c>
      <c r="C39" s="70">
        <v>750000</v>
      </c>
      <c r="D39" s="24"/>
      <c r="E39" s="100">
        <v>200000</v>
      </c>
      <c r="F39" s="95">
        <v>200000</v>
      </c>
      <c r="G39" s="95">
        <v>200000</v>
      </c>
      <c r="H39" s="95">
        <v>150000</v>
      </c>
      <c r="I39" s="28"/>
      <c r="J39" s="28"/>
      <c r="K39" s="28"/>
      <c r="L39" s="28"/>
      <c r="M39" s="28"/>
      <c r="N39" s="28"/>
      <c r="O39" s="28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</row>
    <row r="40" spans="1:67" s="73" customFormat="1" x14ac:dyDescent="0.2">
      <c r="A40" s="69" t="s">
        <v>21</v>
      </c>
      <c r="B40" s="25" t="s">
        <v>45</v>
      </c>
      <c r="C40" s="70">
        <f>110000*A9</f>
        <v>1290311</v>
      </c>
      <c r="D40" s="72"/>
      <c r="E40" s="28"/>
      <c r="F40" s="28"/>
      <c r="G40" s="28" t="s">
        <v>89</v>
      </c>
      <c r="H40" s="95">
        <f>1305799/7</f>
        <v>186542.71428571429</v>
      </c>
      <c r="I40" s="95">
        <f>1305799/7</f>
        <v>186542.71428571429</v>
      </c>
      <c r="J40" s="24"/>
      <c r="K40" s="24"/>
      <c r="L40" s="95">
        <f>1305799/7</f>
        <v>186542.71428571429</v>
      </c>
      <c r="M40" s="95">
        <f>1305799/7</f>
        <v>186542.71428571429</v>
      </c>
      <c r="N40" s="95">
        <f>1305799/7</f>
        <v>186542.71428571429</v>
      </c>
      <c r="O40" s="95">
        <v>100000</v>
      </c>
      <c r="P40" s="95">
        <f>1305799/7</f>
        <v>186542.71428571429</v>
      </c>
      <c r="Q40" s="24"/>
      <c r="R40" s="24"/>
      <c r="S40" s="95">
        <v>71054.710000000006</v>
      </c>
      <c r="T40" s="28"/>
      <c r="U40" s="28"/>
      <c r="V40" s="24"/>
      <c r="W40" s="24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</row>
    <row r="41" spans="1:67" s="71" customFormat="1" x14ac:dyDescent="0.2">
      <c r="A41" s="69" t="s">
        <v>19</v>
      </c>
      <c r="B41" s="25" t="s">
        <v>46</v>
      </c>
      <c r="C41" s="70">
        <v>1004315.53</v>
      </c>
      <c r="D41" s="24"/>
      <c r="E41" s="100">
        <v>25000</v>
      </c>
      <c r="F41" s="95">
        <v>25000</v>
      </c>
      <c r="G41" s="95">
        <v>50000</v>
      </c>
      <c r="H41" s="95">
        <v>50000</v>
      </c>
      <c r="I41" s="95">
        <v>50000</v>
      </c>
      <c r="J41" s="24"/>
      <c r="K41" s="24"/>
      <c r="L41" s="95">
        <v>75000</v>
      </c>
      <c r="M41" s="95">
        <v>75000</v>
      </c>
      <c r="N41" s="95"/>
      <c r="O41" s="95">
        <v>75000</v>
      </c>
      <c r="P41" s="113">
        <v>75000</v>
      </c>
      <c r="Q41" s="24"/>
      <c r="R41" s="24"/>
      <c r="S41" s="24">
        <v>305134</v>
      </c>
      <c r="T41" s="24">
        <v>150000</v>
      </c>
      <c r="U41" s="24">
        <v>49181.53</v>
      </c>
      <c r="V41" s="24"/>
      <c r="W41" s="24"/>
      <c r="X41" s="24"/>
      <c r="Y41" s="24"/>
      <c r="Z41" s="24">
        <v>50000</v>
      </c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</row>
    <row r="42" spans="1:67" s="71" customFormat="1" x14ac:dyDescent="0.2">
      <c r="A42" s="69" t="s">
        <v>16</v>
      </c>
      <c r="B42" s="25" t="s">
        <v>32</v>
      </c>
      <c r="C42" s="70">
        <v>231200</v>
      </c>
      <c r="D42" s="24"/>
      <c r="E42" s="28"/>
      <c r="F42" s="95">
        <v>32800</v>
      </c>
      <c r="G42" s="95">
        <v>32800</v>
      </c>
      <c r="H42" s="95">
        <v>25000</v>
      </c>
      <c r="I42" s="95">
        <v>25000</v>
      </c>
      <c r="J42" s="24"/>
      <c r="L42" s="95">
        <v>25000</v>
      </c>
      <c r="M42" s="113">
        <v>25000</v>
      </c>
      <c r="N42" s="24"/>
      <c r="O42" s="95">
        <v>25000</v>
      </c>
      <c r="P42" s="95">
        <v>40600</v>
      </c>
      <c r="Q42" s="24"/>
      <c r="R42" s="24"/>
      <c r="S42" s="108">
        <v>332940</v>
      </c>
      <c r="T42" s="108">
        <v>165880</v>
      </c>
      <c r="U42" s="108">
        <v>99410</v>
      </c>
      <c r="V42" s="24"/>
      <c r="W42" s="24"/>
      <c r="X42" s="24"/>
      <c r="Y42" s="24"/>
      <c r="Z42" s="108">
        <f>100000+332940</f>
        <v>432940</v>
      </c>
      <c r="AA42" s="108">
        <v>200000</v>
      </c>
      <c r="AB42" s="108">
        <v>200000</v>
      </c>
      <c r="AC42" s="108">
        <v>200000</v>
      </c>
      <c r="AD42" s="108">
        <v>200000</v>
      </c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</row>
    <row r="43" spans="1:67" s="71" customFormat="1" x14ac:dyDescent="0.2">
      <c r="A43" s="69" t="s">
        <v>85</v>
      </c>
      <c r="B43" s="25" t="s">
        <v>47</v>
      </c>
      <c r="C43" s="70">
        <f>4250*A6</f>
        <v>344863.27500000002</v>
      </c>
      <c r="D43" s="24"/>
      <c r="E43" s="100">
        <v>63272.59</v>
      </c>
      <c r="F43" s="95">
        <f t="shared" ref="F43:L43" si="5">500*$A$6</f>
        <v>40572.15</v>
      </c>
      <c r="G43" s="95">
        <f t="shared" si="5"/>
        <v>40572.15</v>
      </c>
      <c r="H43" s="95">
        <f t="shared" si="5"/>
        <v>40572.15</v>
      </c>
      <c r="I43" s="95">
        <f t="shared" si="5"/>
        <v>40572.15</v>
      </c>
      <c r="J43" s="24"/>
      <c r="K43" s="24"/>
      <c r="L43" s="95">
        <f t="shared" si="5"/>
        <v>40572.15</v>
      </c>
      <c r="M43" s="95">
        <v>78729.95</v>
      </c>
      <c r="N43" s="24"/>
      <c r="O43" s="24"/>
      <c r="P43" s="24"/>
      <c r="Q43" s="100">
        <v>218623.78</v>
      </c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</row>
    <row r="44" spans="1:67" s="73" customFormat="1" x14ac:dyDescent="0.2">
      <c r="A44" s="69" t="s">
        <v>22</v>
      </c>
      <c r="B44" s="25" t="s">
        <v>48</v>
      </c>
      <c r="C44" s="75"/>
      <c r="D44" s="72"/>
      <c r="E44" s="24"/>
      <c r="F44" s="24"/>
      <c r="G44" s="24"/>
      <c r="H44" s="24"/>
      <c r="I44" s="24"/>
      <c r="K44" s="24"/>
      <c r="L44" s="100">
        <f>15906*A9</f>
        <v>186578.9706</v>
      </c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</row>
    <row r="45" spans="1:67" s="71" customFormat="1" x14ac:dyDescent="0.2">
      <c r="A45" s="69" t="s">
        <v>36</v>
      </c>
      <c r="B45" s="25" t="s">
        <v>37</v>
      </c>
      <c r="C45" s="70"/>
      <c r="D45" s="24"/>
      <c r="E45" s="24"/>
      <c r="F45" s="24"/>
      <c r="G45" s="100">
        <v>25000</v>
      </c>
      <c r="H45" s="100">
        <v>25000</v>
      </c>
      <c r="I45" s="24"/>
      <c r="J45" s="24"/>
      <c r="K45" s="24"/>
      <c r="L45" s="24"/>
      <c r="M45" s="24"/>
      <c r="N45" s="24"/>
      <c r="O45" s="24"/>
      <c r="P45" s="103">
        <f>2577.5*$A$6-G45-H45</f>
        <v>159149.43325</v>
      </c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</row>
    <row r="46" spans="1:67" s="71" customFormat="1" x14ac:dyDescent="0.2">
      <c r="A46" s="69" t="s">
        <v>86</v>
      </c>
      <c r="B46" s="25" t="s">
        <v>35</v>
      </c>
      <c r="C46" s="70">
        <f>3250*$A$6</f>
        <v>263718.97499999998</v>
      </c>
      <c r="D46" s="77"/>
      <c r="E46" s="24"/>
      <c r="F46" s="24"/>
      <c r="I46" s="24"/>
      <c r="J46" s="24"/>
      <c r="K46" s="24"/>
      <c r="L46" s="95">
        <f>$C$46/5</f>
        <v>52743.794999999998</v>
      </c>
      <c r="M46" s="95">
        <f>$C$46/5</f>
        <v>52743.794999999998</v>
      </c>
      <c r="N46" s="95">
        <f>$C$46/5</f>
        <v>52743.794999999998</v>
      </c>
      <c r="O46" s="95">
        <f>$C$46/5</f>
        <v>52743.794999999998</v>
      </c>
      <c r="P46" s="108">
        <f>$C$46/5+2400*A6</f>
        <v>247490.11499999999</v>
      </c>
      <c r="Q46" s="100">
        <f>4050*A6</f>
        <v>328634.41499999998</v>
      </c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</row>
    <row r="47" spans="1:67" s="71" customFormat="1" x14ac:dyDescent="0.2">
      <c r="A47" s="69" t="s">
        <v>78</v>
      </c>
      <c r="B47" s="25" t="s">
        <v>79</v>
      </c>
      <c r="C47" s="70"/>
      <c r="D47" s="77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</row>
    <row r="48" spans="1:67" s="71" customFormat="1" x14ac:dyDescent="0.2">
      <c r="A48" s="69" t="s">
        <v>29</v>
      </c>
      <c r="B48" s="25" t="s">
        <v>42</v>
      </c>
      <c r="C48" s="70">
        <v>20000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</row>
    <row r="49" spans="1:67" s="71" customFormat="1" x14ac:dyDescent="0.2">
      <c r="A49" s="69" t="s">
        <v>29</v>
      </c>
      <c r="B49" s="25" t="s">
        <v>43</v>
      </c>
      <c r="C49" s="70">
        <v>439750</v>
      </c>
      <c r="D49" s="24"/>
      <c r="E49" s="24"/>
      <c r="F49" s="24"/>
      <c r="G49" s="24"/>
      <c r="H49" s="95">
        <v>100000</v>
      </c>
      <c r="I49" s="24"/>
      <c r="J49" s="24"/>
      <c r="K49" s="24"/>
      <c r="L49" s="24"/>
      <c r="M49" s="24"/>
      <c r="N49" s="95">
        <v>100000</v>
      </c>
      <c r="Q49" s="24"/>
      <c r="R49" s="24"/>
      <c r="S49" s="24"/>
      <c r="T49" s="24"/>
      <c r="U49" s="95">
        <v>100000</v>
      </c>
      <c r="V49" s="95">
        <v>139750</v>
      </c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</row>
    <row r="50" spans="1:67" s="71" customFormat="1" x14ac:dyDescent="0.2">
      <c r="A50" s="69" t="s">
        <v>29</v>
      </c>
      <c r="B50" s="25" t="s">
        <v>55</v>
      </c>
      <c r="C50" s="76">
        <f>3530*A6</f>
        <v>286439.37900000002</v>
      </c>
      <c r="D50" s="24"/>
      <c r="F50" s="95">
        <v>25000</v>
      </c>
      <c r="G50" s="95">
        <v>50000</v>
      </c>
      <c r="H50" s="95">
        <v>25000</v>
      </c>
      <c r="I50" s="95">
        <v>25000</v>
      </c>
      <c r="J50" s="24"/>
      <c r="K50" s="24"/>
      <c r="L50" s="95">
        <v>161439.38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</row>
    <row r="51" spans="1:67" s="71" customFormat="1" x14ac:dyDescent="0.2">
      <c r="A51" s="69" t="s">
        <v>40</v>
      </c>
      <c r="B51" s="25" t="s">
        <v>44</v>
      </c>
      <c r="C51" s="70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>
        <v>1878</v>
      </c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</row>
    <row r="52" spans="1:67" s="71" customFormat="1" x14ac:dyDescent="0.2">
      <c r="A52" s="69" t="s">
        <v>90</v>
      </c>
      <c r="B52" s="25" t="s">
        <v>91</v>
      </c>
      <c r="C52" s="70"/>
      <c r="D52" s="77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>
        <v>1012000</v>
      </c>
      <c r="AG52" s="24"/>
      <c r="AH52" s="24"/>
      <c r="AI52" s="24"/>
      <c r="AJ52" s="24"/>
      <c r="AK52" s="24"/>
      <c r="AL52" s="24">
        <v>1012000</v>
      </c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</row>
    <row r="53" spans="1:67" s="71" customFormat="1" x14ac:dyDescent="0.2">
      <c r="A53" s="69" t="s">
        <v>96</v>
      </c>
      <c r="B53" s="25"/>
      <c r="C53" s="70"/>
      <c r="D53" s="77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</row>
    <row r="54" spans="1:67" s="71" customFormat="1" x14ac:dyDescent="0.2">
      <c r="A54" s="69" t="s">
        <v>94</v>
      </c>
      <c r="B54" s="25" t="s">
        <v>95</v>
      </c>
      <c r="C54" s="70"/>
      <c r="D54" s="77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</row>
    <row r="55" spans="1:67" s="71" customFormat="1" x14ac:dyDescent="0.2">
      <c r="A55" s="69" t="s">
        <v>34</v>
      </c>
      <c r="B55" s="25" t="s">
        <v>45</v>
      </c>
      <c r="C55" s="70"/>
      <c r="D55" s="77"/>
      <c r="F55" s="106">
        <v>100000</v>
      </c>
      <c r="G55" s="106">
        <v>100000</v>
      </c>
      <c r="H55" s="106">
        <v>100000</v>
      </c>
      <c r="I55" s="106">
        <v>100000</v>
      </c>
      <c r="J55" s="24"/>
      <c r="K55" s="24"/>
      <c r="L55" s="106">
        <v>100000</v>
      </c>
      <c r="M55" s="106">
        <v>100000</v>
      </c>
      <c r="N55" s="106">
        <v>100000</v>
      </c>
      <c r="O55" s="106">
        <v>100000</v>
      </c>
      <c r="P55" s="106">
        <v>100000</v>
      </c>
      <c r="Q55" s="24"/>
      <c r="R55" s="24"/>
      <c r="S55" s="112"/>
      <c r="W55" s="24"/>
      <c r="X55" s="24"/>
      <c r="Y55" s="24"/>
      <c r="Z55" s="106">
        <v>100000</v>
      </c>
      <c r="AA55" s="108">
        <v>114400</v>
      </c>
      <c r="AB55" s="106">
        <v>100000</v>
      </c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</row>
    <row r="56" spans="1:67" s="71" customFormat="1" x14ac:dyDescent="0.2">
      <c r="A56" s="69" t="s">
        <v>81</v>
      </c>
      <c r="B56" s="25" t="s">
        <v>82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</row>
    <row r="57" spans="1:67" s="71" customFormat="1" x14ac:dyDescent="0.2">
      <c r="A57" s="69" t="s">
        <v>92</v>
      </c>
      <c r="B57" s="25" t="s">
        <v>93</v>
      </c>
      <c r="C57" s="70"/>
      <c r="D57" s="77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</row>
    <row r="58" spans="1:67" s="71" customFormat="1" x14ac:dyDescent="0.2">
      <c r="A58" s="69" t="s">
        <v>38</v>
      </c>
      <c r="B58" s="25" t="s">
        <v>39</v>
      </c>
      <c r="C58" s="70"/>
      <c r="D58" s="24"/>
      <c r="E58" s="100">
        <v>20000</v>
      </c>
      <c r="F58" s="100">
        <v>25000</v>
      </c>
      <c r="G58" s="100">
        <v>25000</v>
      </c>
      <c r="H58" s="100">
        <v>25000</v>
      </c>
      <c r="I58" s="100">
        <v>25000</v>
      </c>
      <c r="J58" s="24"/>
      <c r="K58" s="24"/>
      <c r="L58" s="24"/>
      <c r="M58" s="24"/>
      <c r="N58" s="24"/>
      <c r="O58" s="24"/>
      <c r="P58" s="100">
        <v>45300</v>
      </c>
      <c r="Q58" s="24"/>
      <c r="R58" s="24"/>
      <c r="S58" s="100">
        <v>215000</v>
      </c>
      <c r="T58" s="24"/>
      <c r="U58" s="24"/>
      <c r="V58" s="24"/>
      <c r="W58" s="24"/>
      <c r="X58" s="24"/>
      <c r="Y58" s="24"/>
      <c r="Z58" s="100">
        <v>215000</v>
      </c>
      <c r="AA58" s="24"/>
      <c r="AB58" s="24"/>
      <c r="AC58" s="100">
        <v>16000</v>
      </c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</row>
    <row r="59" spans="1:67" s="71" customFormat="1" x14ac:dyDescent="0.2">
      <c r="A59" s="69" t="s">
        <v>74</v>
      </c>
      <c r="B59" s="25" t="s">
        <v>83</v>
      </c>
      <c r="C59" s="70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98">
        <v>104492.6</v>
      </c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>
        <v>3500000</v>
      </c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</row>
    <row r="60" spans="1:67" s="73" customFormat="1" ht="2.25" customHeight="1" x14ac:dyDescent="0.2">
      <c r="A60" s="78"/>
      <c r="B60" s="79"/>
      <c r="C60" s="75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 t="s">
        <v>89</v>
      </c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</row>
    <row r="61" spans="1:67" s="94" customFormat="1" ht="33.75" x14ac:dyDescent="0.2">
      <c r="A61" s="91" t="s">
        <v>60</v>
      </c>
      <c r="B61" s="92" t="s">
        <v>58</v>
      </c>
      <c r="C61" s="93">
        <v>248639.70012000017</v>
      </c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</row>
    <row r="62" spans="1:67" s="94" customFormat="1" ht="33.75" x14ac:dyDescent="0.2">
      <c r="A62" s="91" t="s">
        <v>60</v>
      </c>
      <c r="B62" s="92" t="s">
        <v>59</v>
      </c>
      <c r="C62" s="93">
        <v>0</v>
      </c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</row>
    <row r="63" spans="1:67" s="5" customFormat="1" ht="2.25" customHeight="1" x14ac:dyDescent="0.2">
      <c r="A63" s="42"/>
      <c r="B63" s="12"/>
      <c r="C63" s="68"/>
      <c r="D63" s="26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</row>
    <row r="64" spans="1:67" s="5" customFormat="1" x14ac:dyDescent="0.2">
      <c r="A64" s="36" t="s">
        <v>49</v>
      </c>
      <c r="B64" s="12"/>
      <c r="C64" s="13">
        <v>1600000</v>
      </c>
      <c r="D64" s="26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>
        <v>1600000</v>
      </c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>
        <v>1490000</v>
      </c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>
        <v>1490000</v>
      </c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</row>
    <row r="65" spans="1:67" s="5" customFormat="1" x14ac:dyDescent="0.2">
      <c r="A65" s="36" t="s">
        <v>57</v>
      </c>
      <c r="B65" s="12"/>
      <c r="C65" s="68"/>
      <c r="D65" s="26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>
        <v>1490000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</row>
    <row r="66" spans="1:67" s="5" customFormat="1" x14ac:dyDescent="0.2">
      <c r="A66" s="36" t="s">
        <v>61</v>
      </c>
      <c r="B66" s="12"/>
      <c r="C66" s="68"/>
      <c r="D66" s="26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>
        <v>390000</v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>
        <v>112000</v>
      </c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</row>
    <row r="67" spans="1:67" s="5" customFormat="1" ht="2.25" customHeight="1" x14ac:dyDescent="0.2">
      <c r="A67" s="42"/>
      <c r="B67" s="12"/>
      <c r="C67" s="68"/>
      <c r="D67" s="26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</row>
    <row r="68" spans="1:67" s="5" customFormat="1" x14ac:dyDescent="0.2">
      <c r="A68" s="36" t="s">
        <v>72</v>
      </c>
      <c r="B68" s="27" t="s">
        <v>73</v>
      </c>
      <c r="C68" s="62">
        <v>3637079.2460000003</v>
      </c>
      <c r="D68" s="35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</row>
    <row r="69" spans="1:67" s="5" customFormat="1" ht="2.25" customHeight="1" x14ac:dyDescent="0.2">
      <c r="A69" s="42"/>
      <c r="B69" s="12"/>
      <c r="C69" s="61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</row>
    <row r="70" spans="1:67" s="84" customFormat="1" x14ac:dyDescent="0.2">
      <c r="A70" s="81" t="s">
        <v>66</v>
      </c>
      <c r="B70" s="82"/>
      <c r="C70" s="63"/>
      <c r="D70" s="83"/>
      <c r="E70" s="83">
        <f>$C$5+E16-E25</f>
        <v>31810.290000000503</v>
      </c>
      <c r="F70" s="83">
        <f t="shared" ref="F70:AS70" si="6">E70+F16-F25</f>
        <v>120938.14000000048</v>
      </c>
      <c r="G70" s="83">
        <f t="shared" si="6"/>
        <v>497565.99000000057</v>
      </c>
      <c r="H70" s="83">
        <f t="shared" si="6"/>
        <v>845451.12571428635</v>
      </c>
      <c r="I70" s="83">
        <f t="shared" si="6"/>
        <v>274336.261428572</v>
      </c>
      <c r="J70" s="83">
        <f t="shared" si="6"/>
        <v>274336.261428572</v>
      </c>
      <c r="K70" s="83">
        <f t="shared" si="6"/>
        <v>274336.261428572</v>
      </c>
      <c r="L70" s="83">
        <f t="shared" si="6"/>
        <v>571459.25154285762</v>
      </c>
      <c r="M70" s="83">
        <f t="shared" si="6"/>
        <v>528442.79225714342</v>
      </c>
      <c r="N70" s="83">
        <f t="shared" si="6"/>
        <v>264042.38297142903</v>
      </c>
      <c r="O70" s="83">
        <f t="shared" si="6"/>
        <v>236298.58797142911</v>
      </c>
      <c r="P70" s="83">
        <f t="shared" si="6"/>
        <v>2121042.8254357148</v>
      </c>
      <c r="Q70" s="83">
        <f t="shared" si="6"/>
        <v>1183784.630435715</v>
      </c>
      <c r="R70" s="83">
        <f t="shared" si="6"/>
        <v>1183784.630435715</v>
      </c>
      <c r="S70" s="83">
        <f t="shared" si="6"/>
        <v>459655.920435715</v>
      </c>
      <c r="T70" s="83">
        <f t="shared" si="6"/>
        <v>968775.920435715</v>
      </c>
      <c r="U70" s="83">
        <f t="shared" si="6"/>
        <v>340184.39043571497</v>
      </c>
      <c r="V70" s="83">
        <f t="shared" si="6"/>
        <v>434.39043571497314</v>
      </c>
      <c r="W70" s="83">
        <f t="shared" si="6"/>
        <v>-310739.60956428503</v>
      </c>
      <c r="X70" s="83">
        <f t="shared" si="6"/>
        <v>-310739.60956428503</v>
      </c>
      <c r="Y70" s="83">
        <f t="shared" si="6"/>
        <v>5846518.6869957149</v>
      </c>
      <c r="Z70" s="83">
        <f t="shared" si="6"/>
        <v>4868578.6869957149</v>
      </c>
      <c r="AA70" s="83">
        <f t="shared" si="6"/>
        <v>4374178.6869957149</v>
      </c>
      <c r="AB70" s="83">
        <f t="shared" si="6"/>
        <v>3924178.6869957149</v>
      </c>
      <c r="AC70" s="83">
        <f t="shared" si="6"/>
        <v>3608178.6869957149</v>
      </c>
      <c r="AD70" s="83">
        <f t="shared" si="6"/>
        <v>3308178.6869957149</v>
      </c>
      <c r="AE70" s="83">
        <f t="shared" si="6"/>
        <v>2986321.576995715</v>
      </c>
      <c r="AF70" s="83">
        <f t="shared" si="6"/>
        <v>1972443.576995715</v>
      </c>
      <c r="AG70" s="83">
        <f t="shared" si="6"/>
        <v>1867979.576995715</v>
      </c>
      <c r="AH70" s="83">
        <f t="shared" si="6"/>
        <v>-132020.42300428497</v>
      </c>
      <c r="AI70" s="83">
        <f t="shared" si="6"/>
        <v>-132020.42300428497</v>
      </c>
      <c r="AJ70" s="83">
        <f t="shared" si="6"/>
        <v>-132020.42300428497</v>
      </c>
      <c r="AK70" s="83">
        <f t="shared" si="6"/>
        <v>-789969.42300428497</v>
      </c>
      <c r="AL70" s="83">
        <f t="shared" si="6"/>
        <v>3720530.5769957155</v>
      </c>
      <c r="AM70" s="83">
        <f t="shared" si="6"/>
        <v>3720530.5769957155</v>
      </c>
      <c r="AN70" s="83">
        <f t="shared" si="6"/>
        <v>2445192.6769957156</v>
      </c>
      <c r="AO70" s="83">
        <f t="shared" si="6"/>
        <v>2445192.6769957156</v>
      </c>
      <c r="AP70" s="83">
        <f t="shared" si="6"/>
        <v>-1170031.3230042844</v>
      </c>
      <c r="AQ70" s="83">
        <f t="shared" si="6"/>
        <v>-1170031.3230042844</v>
      </c>
      <c r="AR70" s="83">
        <f t="shared" si="6"/>
        <v>-1170031.3230042844</v>
      </c>
      <c r="AS70" s="83">
        <f t="shared" si="6"/>
        <v>-1170031.3230042844</v>
      </c>
      <c r="AT70" s="83">
        <f>AS70+AT16-AT25</f>
        <v>-1530031.3230042844</v>
      </c>
      <c r="AU70" s="83">
        <f t="shared" ref="AU70:BO70" si="7">AT70+AU16-AU25</f>
        <v>-1530031.3230042844</v>
      </c>
      <c r="AV70" s="83">
        <f t="shared" si="7"/>
        <v>-1530031.3230042844</v>
      </c>
      <c r="AW70" s="83">
        <f t="shared" si="7"/>
        <v>-1530031.3230042844</v>
      </c>
      <c r="AX70" s="83">
        <f t="shared" si="7"/>
        <v>4017468.6769957151</v>
      </c>
      <c r="AY70" s="83">
        <f t="shared" si="7"/>
        <v>4017468.6769957151</v>
      </c>
      <c r="AZ70" s="83">
        <f t="shared" si="7"/>
        <v>4017468.6769957151</v>
      </c>
      <c r="BA70" s="83">
        <f t="shared" si="7"/>
        <v>4017468.6769957151</v>
      </c>
      <c r="BB70" s="83">
        <f t="shared" si="7"/>
        <v>4017468.6769957151</v>
      </c>
      <c r="BC70" s="83">
        <f t="shared" si="7"/>
        <v>4017468.6769957151</v>
      </c>
      <c r="BD70" s="83">
        <f t="shared" si="7"/>
        <v>4017468.6769957151</v>
      </c>
      <c r="BE70" s="83">
        <f t="shared" si="7"/>
        <v>4017468.6769957151</v>
      </c>
      <c r="BF70" s="83">
        <f t="shared" si="7"/>
        <v>4017468.6769957151</v>
      </c>
      <c r="BG70" s="83">
        <f t="shared" si="7"/>
        <v>4017468.6769957151</v>
      </c>
      <c r="BH70" s="83">
        <f t="shared" si="7"/>
        <v>4017468.6769957151</v>
      </c>
      <c r="BI70" s="83">
        <f t="shared" si="7"/>
        <v>4017468.6769957151</v>
      </c>
      <c r="BJ70" s="83">
        <f t="shared" si="7"/>
        <v>4017468.6769957151</v>
      </c>
      <c r="BK70" s="83">
        <f t="shared" si="7"/>
        <v>4017468.6769957151</v>
      </c>
      <c r="BL70" s="83">
        <f t="shared" si="7"/>
        <v>4017468.6769957151</v>
      </c>
      <c r="BM70" s="83">
        <f t="shared" si="7"/>
        <v>4017468.6769957151</v>
      </c>
      <c r="BN70" s="83">
        <f t="shared" si="7"/>
        <v>4017468.6769957151</v>
      </c>
      <c r="BO70" s="83">
        <f t="shared" si="7"/>
        <v>4017468.6769957151</v>
      </c>
    </row>
    <row r="72" spans="1:67" s="5" customFormat="1" ht="2.25" customHeigh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</row>
    <row r="73" spans="1:67" s="89" customFormat="1" ht="11.25" customHeight="1" x14ac:dyDescent="0.2">
      <c r="A73" s="85" t="s">
        <v>65</v>
      </c>
      <c r="B73" s="86"/>
      <c r="C73" s="87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</row>
    <row r="74" spans="1:67" s="5" customFormat="1" ht="22.5" x14ac:dyDescent="0.2">
      <c r="A74" s="36" t="s">
        <v>67</v>
      </c>
      <c r="B74" s="27" t="s">
        <v>68</v>
      </c>
      <c r="C74" s="68">
        <v>3221210.79</v>
      </c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</row>
    <row r="75" spans="1:67" s="5" customFormat="1" x14ac:dyDescent="0.2">
      <c r="A75" s="36" t="s">
        <v>69</v>
      </c>
      <c r="B75" s="27" t="s">
        <v>70</v>
      </c>
      <c r="C75" s="68">
        <v>9814338.4000000004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</row>
    <row r="76" spans="1:67" s="5" customFormat="1" x14ac:dyDescent="0.2">
      <c r="A76" s="36"/>
      <c r="B76" s="27"/>
      <c r="C76" s="68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</row>
    <row r="77" spans="1:67" s="5" customFormat="1" x14ac:dyDescent="0.2">
      <c r="A77" s="36"/>
      <c r="B77" s="27"/>
      <c r="C77" s="68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</row>
    <row r="79" spans="1:67" x14ac:dyDescent="0.25">
      <c r="B79" s="14"/>
    </row>
  </sheetData>
  <pageMargins left="0.7" right="0.7" top="0.75" bottom="0.75" header="0.3" footer="0.3"/>
  <pageSetup paperSize="9" orientation="portrait" r:id="rId1"/>
  <legacy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82"/>
  <sheetViews>
    <sheetView topLeftCell="G10" workbookViewId="0">
      <selection activeCell="S20" sqref="S20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0" width="10.85546875" style="3" bestFit="1" customWidth="1"/>
    <col min="11" max="16" width="11.7109375" style="3" bestFit="1" customWidth="1"/>
    <col min="17" max="19" width="11.7109375" style="3" customWidth="1"/>
    <col min="20" max="27" width="11.7109375" style="3" bestFit="1" customWidth="1"/>
    <col min="28" max="49" width="10.85546875" style="3" bestFit="1" customWidth="1"/>
    <col min="50" max="16384" width="9" style="3"/>
  </cols>
  <sheetData>
    <row r="1" spans="1:49" ht="12" thickBot="1" x14ac:dyDescent="0.3"/>
    <row r="2" spans="1:49" s="1" customFormat="1" x14ac:dyDescent="0.2">
      <c r="A2" s="43" t="s">
        <v>50</v>
      </c>
      <c r="B2" s="15" t="s">
        <v>27</v>
      </c>
      <c r="C2" s="50">
        <v>3166128.84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49" s="1" customFormat="1" ht="12" thickBot="1" x14ac:dyDescent="0.25">
      <c r="A3" s="44">
        <v>95.003799999999998</v>
      </c>
      <c r="B3" s="15" t="s">
        <v>28</v>
      </c>
      <c r="C3" s="50">
        <v>10778.95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49" s="8" customFormat="1" ht="12" thickBot="1" x14ac:dyDescent="0.25">
      <c r="A4" s="45"/>
      <c r="B4" s="15" t="s">
        <v>25</v>
      </c>
      <c r="C4" s="51">
        <v>0</v>
      </c>
    </row>
    <row r="5" spans="1:49" s="6" customFormat="1" x14ac:dyDescent="0.2">
      <c r="A5" s="43" t="s">
        <v>51</v>
      </c>
      <c r="B5" s="49" t="s">
        <v>26</v>
      </c>
      <c r="C5" s="52">
        <f>SUM(C2:C4)</f>
        <v>3176907.79</v>
      </c>
    </row>
    <row r="6" spans="1:49" s="6" customFormat="1" ht="12" thickBot="1" x14ac:dyDescent="0.25">
      <c r="A6" s="44">
        <v>82.131399999999999</v>
      </c>
      <c r="B6" s="16"/>
      <c r="C6" s="53"/>
      <c r="D6" s="17"/>
    </row>
    <row r="7" spans="1:49" s="6" customFormat="1" ht="12" thickBot="1" x14ac:dyDescent="0.25">
      <c r="A7" s="105" t="s">
        <v>51</v>
      </c>
      <c r="B7" s="18" t="s">
        <v>62</v>
      </c>
      <c r="C7" s="54">
        <f>SUM(E16:AW16)</f>
        <v>29476598.550240003</v>
      </c>
    </row>
    <row r="8" spans="1:49" x14ac:dyDescent="0.25">
      <c r="A8" s="43" t="s">
        <v>52</v>
      </c>
      <c r="B8" s="18" t="s">
        <v>84</v>
      </c>
      <c r="C8" s="54">
        <f>SUM(E25:AW25)</f>
        <v>32675713.918385718</v>
      </c>
    </row>
    <row r="9" spans="1:49" ht="12" thickBot="1" x14ac:dyDescent="0.3">
      <c r="A9" s="44">
        <v>11.9001</v>
      </c>
      <c r="B9" s="19" t="s">
        <v>64</v>
      </c>
      <c r="C9" s="55">
        <f>C5+C7-C8-C11</f>
        <v>-13073106.366265718</v>
      </c>
    </row>
    <row r="10" spans="1:49" x14ac:dyDescent="0.25">
      <c r="A10" s="99" t="s">
        <v>80</v>
      </c>
      <c r="B10" s="18" t="s">
        <v>23</v>
      </c>
      <c r="C10" s="56">
        <f>C16</f>
        <v>0</v>
      </c>
      <c r="L10" s="30">
        <v>2145977.83</v>
      </c>
    </row>
    <row r="11" spans="1:49" x14ac:dyDescent="0.25">
      <c r="A11" s="101" t="s">
        <v>87</v>
      </c>
      <c r="B11" s="18" t="s">
        <v>24</v>
      </c>
      <c r="C11" s="54">
        <f>C25</f>
        <v>13050898.788120002</v>
      </c>
      <c r="L11" s="3">
        <v>2145977.83</v>
      </c>
    </row>
    <row r="12" spans="1:49" x14ac:dyDescent="0.25">
      <c r="A12" s="107" t="s">
        <v>88</v>
      </c>
    </row>
    <row r="13" spans="1:49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</row>
    <row r="14" spans="1:49" s="2" customFormat="1" x14ac:dyDescent="0.25">
      <c r="A14" s="64"/>
      <c r="B14" s="65"/>
      <c r="C14" s="58" t="s">
        <v>56</v>
      </c>
      <c r="D14" s="66"/>
      <c r="E14" s="66">
        <v>46108</v>
      </c>
      <c r="F14" s="66">
        <v>46109</v>
      </c>
      <c r="G14" s="66">
        <v>46110</v>
      </c>
      <c r="H14" s="66">
        <v>46111</v>
      </c>
      <c r="I14" s="66">
        <v>46112</v>
      </c>
      <c r="J14" s="66">
        <v>46113</v>
      </c>
      <c r="K14" s="66">
        <v>46114</v>
      </c>
      <c r="L14" s="66">
        <v>46115</v>
      </c>
      <c r="M14" s="66">
        <v>46116</v>
      </c>
      <c r="N14" s="66">
        <v>46117</v>
      </c>
      <c r="O14" s="66">
        <v>46118</v>
      </c>
      <c r="P14" s="66">
        <v>46119</v>
      </c>
      <c r="Q14" s="66">
        <v>46120</v>
      </c>
      <c r="R14" s="66">
        <v>46121</v>
      </c>
      <c r="S14" s="66">
        <v>46122</v>
      </c>
      <c r="T14" s="66">
        <v>46123</v>
      </c>
      <c r="U14" s="66">
        <v>46124</v>
      </c>
      <c r="V14" s="66">
        <v>46125</v>
      </c>
      <c r="W14" s="66">
        <v>46126</v>
      </c>
      <c r="X14" s="66">
        <v>46127</v>
      </c>
      <c r="Y14" s="66">
        <v>46128</v>
      </c>
      <c r="Z14" s="66">
        <v>46129</v>
      </c>
      <c r="AA14" s="66">
        <v>46130</v>
      </c>
      <c r="AB14" s="66">
        <v>46131</v>
      </c>
      <c r="AC14" s="66">
        <v>46132</v>
      </c>
      <c r="AD14" s="66">
        <v>46133</v>
      </c>
      <c r="AE14" s="66">
        <v>46134</v>
      </c>
      <c r="AF14" s="66">
        <v>46135</v>
      </c>
      <c r="AG14" s="66">
        <v>46136</v>
      </c>
      <c r="AH14" s="66">
        <v>46137</v>
      </c>
      <c r="AI14" s="66">
        <v>46138</v>
      </c>
      <c r="AJ14" s="66">
        <v>46139</v>
      </c>
      <c r="AK14" s="66">
        <v>46140</v>
      </c>
      <c r="AL14" s="66">
        <v>46141</v>
      </c>
      <c r="AM14" s="66">
        <v>46142</v>
      </c>
      <c r="AN14" s="66">
        <v>46143</v>
      </c>
      <c r="AO14" s="66">
        <v>46144</v>
      </c>
      <c r="AP14" s="66">
        <v>46145</v>
      </c>
      <c r="AQ14" s="66">
        <v>46146</v>
      </c>
      <c r="AR14" s="66">
        <v>46147</v>
      </c>
      <c r="AS14" s="66">
        <v>46148</v>
      </c>
      <c r="AT14" s="66">
        <v>46149</v>
      </c>
      <c r="AU14" s="66">
        <v>46150</v>
      </c>
      <c r="AV14" s="66">
        <v>46151</v>
      </c>
      <c r="AW14" s="66">
        <v>46152</v>
      </c>
    </row>
    <row r="15" spans="1:49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</row>
    <row r="16" spans="1:49" s="2" customFormat="1" x14ac:dyDescent="0.25">
      <c r="A16" s="39" t="s">
        <v>0</v>
      </c>
      <c r="B16" s="20"/>
      <c r="C16" s="29">
        <v>0</v>
      </c>
      <c r="D16" s="29"/>
      <c r="E16" s="29">
        <f t="shared" ref="E16:AB16" si="0">SUM(E17:E24)</f>
        <v>0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29">
        <f t="shared" si="0"/>
        <v>800000</v>
      </c>
      <c r="J16" s="29">
        <f t="shared" si="0"/>
        <v>1000000</v>
      </c>
      <c r="K16" s="29">
        <f t="shared" si="0"/>
        <v>1200000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1500000</v>
      </c>
      <c r="P16" s="29">
        <f t="shared" si="0"/>
        <v>1500000</v>
      </c>
      <c r="Q16" s="29">
        <f t="shared" si="0"/>
        <v>500000</v>
      </c>
      <c r="R16" s="29">
        <f t="shared" si="0"/>
        <v>500000</v>
      </c>
      <c r="S16" s="29">
        <f t="shared" si="0"/>
        <v>4875000</v>
      </c>
      <c r="T16" s="29">
        <f t="shared" si="0"/>
        <v>0</v>
      </c>
      <c r="U16" s="29">
        <f t="shared" si="0"/>
        <v>0</v>
      </c>
      <c r="V16" s="29">
        <f t="shared" si="0"/>
        <v>500000</v>
      </c>
      <c r="W16" s="29">
        <f t="shared" si="0"/>
        <v>1000000</v>
      </c>
      <c r="X16" s="29">
        <f t="shared" si="0"/>
        <v>500000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8564098.5502400007</v>
      </c>
      <c r="AC16" s="29">
        <f t="shared" ref="AC16:AW16" si="1">SUM(AC17:AC24)</f>
        <v>0</v>
      </c>
      <c r="AD16" s="29">
        <f t="shared" si="1"/>
        <v>0</v>
      </c>
      <c r="AE16" s="29">
        <f t="shared" si="1"/>
        <v>0</v>
      </c>
      <c r="AF16" s="29">
        <f t="shared" si="1"/>
        <v>0</v>
      </c>
      <c r="AG16" s="29">
        <f t="shared" si="1"/>
        <v>0</v>
      </c>
      <c r="AH16" s="29">
        <f t="shared" si="1"/>
        <v>0</v>
      </c>
      <c r="AI16" s="29">
        <f t="shared" si="1"/>
        <v>0</v>
      </c>
      <c r="AJ16" s="29">
        <f t="shared" si="1"/>
        <v>0</v>
      </c>
      <c r="AK16" s="29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7037500</v>
      </c>
      <c r="AP16" s="29">
        <f t="shared" si="1"/>
        <v>0</v>
      </c>
      <c r="AQ16" s="29">
        <f t="shared" si="1"/>
        <v>0</v>
      </c>
      <c r="AR16" s="29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29">
        <f t="shared" si="1"/>
        <v>0</v>
      </c>
    </row>
    <row r="17" spans="1:49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</row>
    <row r="18" spans="1:49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</row>
    <row r="19" spans="1:49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>
        <v>800000</v>
      </c>
      <c r="J19" s="30">
        <v>1000000</v>
      </c>
      <c r="K19" s="30">
        <v>1200000</v>
      </c>
      <c r="L19" s="30"/>
      <c r="M19" s="30"/>
      <c r="N19" s="30"/>
      <c r="O19" s="30">
        <v>1500000</v>
      </c>
      <c r="P19" s="30">
        <v>1500000</v>
      </c>
      <c r="Q19" s="30">
        <v>500000</v>
      </c>
      <c r="R19" s="30">
        <v>500000</v>
      </c>
      <c r="S19" s="30"/>
      <c r="T19" s="30"/>
      <c r="U19" s="30"/>
      <c r="V19" s="30">
        <v>500000</v>
      </c>
      <c r="W19" s="30">
        <v>1000000</v>
      </c>
      <c r="X19" s="80">
        <v>500000</v>
      </c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</row>
    <row r="20" spans="1:49" s="80" customFormat="1" ht="13.5" customHeight="1" x14ac:dyDescent="0.25">
      <c r="A20" s="40" t="s">
        <v>12</v>
      </c>
      <c r="B20" s="21"/>
      <c r="C20" s="59"/>
      <c r="D20" s="30"/>
      <c r="E20" s="30"/>
      <c r="F20" s="32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2">
        <v>4875000</v>
      </c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>
        <v>7037500</v>
      </c>
      <c r="AP20" s="30"/>
      <c r="AQ20" s="30"/>
      <c r="AR20" s="30"/>
      <c r="AS20" s="30"/>
      <c r="AT20" s="30"/>
      <c r="AU20" s="30"/>
      <c r="AV20" s="30"/>
      <c r="AW20" s="30"/>
    </row>
    <row r="21" spans="1:49" s="80" customFormat="1" ht="13.5" customHeight="1" x14ac:dyDescent="0.25">
      <c r="A21" s="40" t="s">
        <v>76</v>
      </c>
      <c r="B21" s="21"/>
      <c r="C21" s="59"/>
      <c r="D21" s="30"/>
      <c r="E21" s="30"/>
      <c r="F21" s="32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</row>
    <row r="22" spans="1:49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3">
        <f>90144.8*A3</f>
        <v>8564098.5502400007</v>
      </c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</row>
    <row r="23" spans="1:49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</row>
    <row r="24" spans="1:49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</row>
    <row r="25" spans="1:49" s="4" customFormat="1" x14ac:dyDescent="0.2">
      <c r="A25" s="41" t="s">
        <v>1</v>
      </c>
      <c r="B25" s="22"/>
      <c r="C25" s="34">
        <f>SUM(C27:C68)</f>
        <v>13050898.788120002</v>
      </c>
      <c r="D25" s="34"/>
      <c r="E25" s="34">
        <f t="shared" ref="E25:AW25" si="2">SUM(E26:E69)</f>
        <v>521065.7</v>
      </c>
      <c r="F25" s="34">
        <f t="shared" si="2"/>
        <v>0</v>
      </c>
      <c r="G25" s="34">
        <f t="shared" si="2"/>
        <v>0</v>
      </c>
      <c r="H25" s="34">
        <f t="shared" si="2"/>
        <v>2469151.2599999998</v>
      </c>
      <c r="I25" s="34">
        <f t="shared" si="2"/>
        <v>711365.7</v>
      </c>
      <c r="J25" s="34">
        <f t="shared" si="2"/>
        <v>786365.7</v>
      </c>
      <c r="K25" s="34">
        <f t="shared" si="2"/>
        <v>852608.41428571427</v>
      </c>
      <c r="L25" s="34">
        <f t="shared" si="2"/>
        <v>571608.41428571427</v>
      </c>
      <c r="M25" s="34">
        <f t="shared" si="2"/>
        <v>0</v>
      </c>
      <c r="N25" s="34">
        <f t="shared" si="2"/>
        <v>0</v>
      </c>
      <c r="O25" s="34">
        <f t="shared" si="2"/>
        <v>1215200.6548857144</v>
      </c>
      <c r="P25" s="34">
        <f t="shared" si="2"/>
        <v>1543658.0742857142</v>
      </c>
      <c r="Q25" s="34">
        <f t="shared" si="2"/>
        <v>774442.02428571437</v>
      </c>
      <c r="R25" s="34">
        <f t="shared" si="2"/>
        <v>528385.40999999992</v>
      </c>
      <c r="S25" s="34">
        <f t="shared" si="2"/>
        <v>2930210.6677857144</v>
      </c>
      <c r="T25" s="34">
        <f t="shared" si="2"/>
        <v>941255.95</v>
      </c>
      <c r="U25" s="34">
        <f t="shared" si="2"/>
        <v>0</v>
      </c>
      <c r="V25" s="34">
        <f t="shared" si="2"/>
        <v>1339616.7142857143</v>
      </c>
      <c r="W25" s="34">
        <f t="shared" si="2"/>
        <v>677422.71428571432</v>
      </c>
      <c r="X25" s="34">
        <f t="shared" si="2"/>
        <v>1165952.71</v>
      </c>
      <c r="Y25" s="34">
        <f t="shared" si="2"/>
        <v>339750</v>
      </c>
      <c r="Z25" s="34">
        <f t="shared" si="2"/>
        <v>311174</v>
      </c>
      <c r="AA25" s="34">
        <f t="shared" si="2"/>
        <v>0</v>
      </c>
      <c r="AB25" s="34">
        <f t="shared" si="2"/>
        <v>2264492.6</v>
      </c>
      <c r="AC25" s="34">
        <f t="shared" si="2"/>
        <v>977940</v>
      </c>
      <c r="AD25" s="34">
        <f t="shared" si="2"/>
        <v>494400</v>
      </c>
      <c r="AE25" s="34">
        <f t="shared" si="2"/>
        <v>450000</v>
      </c>
      <c r="AF25" s="34">
        <f t="shared" si="2"/>
        <v>300000</v>
      </c>
      <c r="AG25" s="34">
        <f t="shared" si="2"/>
        <v>300000</v>
      </c>
      <c r="AH25" s="34">
        <f t="shared" si="2"/>
        <v>321857.11</v>
      </c>
      <c r="AI25" s="34">
        <f t="shared" si="2"/>
        <v>2025878.1</v>
      </c>
      <c r="AJ25" s="34">
        <f t="shared" si="2"/>
        <v>104464</v>
      </c>
      <c r="AK25" s="34">
        <f t="shared" si="2"/>
        <v>2000000</v>
      </c>
      <c r="AL25" s="34">
        <f t="shared" si="2"/>
        <v>0</v>
      </c>
      <c r="AM25" s="34">
        <f t="shared" si="2"/>
        <v>0</v>
      </c>
      <c r="AN25" s="34">
        <f t="shared" si="2"/>
        <v>112000</v>
      </c>
      <c r="AO25" s="34">
        <f t="shared" si="2"/>
        <v>1515000</v>
      </c>
      <c r="AP25" s="34">
        <f t="shared" si="2"/>
        <v>0</v>
      </c>
      <c r="AQ25" s="34">
        <f t="shared" si="2"/>
        <v>515224</v>
      </c>
      <c r="AR25" s="34">
        <f t="shared" si="2"/>
        <v>0</v>
      </c>
      <c r="AS25" s="34">
        <f t="shared" si="2"/>
        <v>3615224</v>
      </c>
      <c r="AT25" s="34">
        <f t="shared" si="2"/>
        <v>0</v>
      </c>
      <c r="AU25" s="34">
        <f t="shared" si="2"/>
        <v>0</v>
      </c>
      <c r="AV25" s="34">
        <f t="shared" si="2"/>
        <v>0</v>
      </c>
      <c r="AW25" s="34">
        <f t="shared" si="2"/>
        <v>0</v>
      </c>
    </row>
    <row r="26" spans="1:49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</row>
    <row r="27" spans="1:49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>
        <v>194014.26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</row>
    <row r="28" spans="1:49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</row>
    <row r="29" spans="1:49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>
        <v>1835137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</row>
    <row r="30" spans="1:49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90">
        <v>2000000</v>
      </c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</row>
    <row r="31" spans="1:49" s="1" customFormat="1" x14ac:dyDescent="0.2">
      <c r="A31" s="36" t="s">
        <v>7</v>
      </c>
      <c r="B31" s="23" t="s">
        <v>8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>
        <v>750000</v>
      </c>
      <c r="Q31" s="24"/>
      <c r="R31" s="24"/>
      <c r="S31" s="24">
        <v>360000</v>
      </c>
      <c r="T31" s="24"/>
      <c r="U31" s="24"/>
      <c r="V31" s="24"/>
      <c r="W31" s="24"/>
      <c r="X31" s="24"/>
      <c r="Y31" s="24"/>
      <c r="Z31" s="24"/>
      <c r="AA31" s="24"/>
      <c r="AB31" s="24">
        <v>560000</v>
      </c>
      <c r="AC31" s="24"/>
      <c r="AD31" s="24"/>
      <c r="AE31" s="24"/>
      <c r="AF31" s="24"/>
      <c r="AG31" s="24"/>
      <c r="AH31" s="24">
        <f>643714.22/2</f>
        <v>321857.11</v>
      </c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</row>
    <row r="32" spans="1:49" s="1" customFormat="1" x14ac:dyDescent="0.2">
      <c r="A32" s="36" t="s">
        <v>54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</row>
    <row r="33" spans="1:49" s="1" customFormat="1" x14ac:dyDescent="0.2">
      <c r="A33" s="36" t="s">
        <v>71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>
        <f>30000+10500+3500</f>
        <v>44000</v>
      </c>
      <c r="M33" s="24"/>
      <c r="N33" s="24"/>
      <c r="O33" s="24">
        <v>100000</v>
      </c>
      <c r="P33" s="24"/>
      <c r="Q33" s="24">
        <v>100113.9</v>
      </c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</row>
    <row r="34" spans="1:49" s="1" customFormat="1" x14ac:dyDescent="0.2">
      <c r="A34" s="36" t="s">
        <v>53</v>
      </c>
      <c r="B34" s="23"/>
      <c r="C34" s="60"/>
      <c r="D34" s="24"/>
      <c r="E34" s="100">
        <v>30000</v>
      </c>
      <c r="F34" s="24"/>
      <c r="G34" s="24"/>
      <c r="H34" s="100">
        <v>25000</v>
      </c>
      <c r="I34" s="24"/>
      <c r="J34" s="24"/>
      <c r="K34" s="24"/>
      <c r="L34" s="24"/>
      <c r="M34" s="24"/>
      <c r="N34" s="24"/>
      <c r="O34" s="110">
        <v>100000</v>
      </c>
      <c r="P34" s="111">
        <v>100000</v>
      </c>
      <c r="Q34" s="111">
        <v>100000</v>
      </c>
      <c r="R34" s="111">
        <v>100000</v>
      </c>
      <c r="S34" s="111">
        <v>145949.5</v>
      </c>
      <c r="T34" s="24"/>
      <c r="U34" s="24"/>
      <c r="V34" s="24"/>
      <c r="W34" s="24"/>
      <c r="X34" s="24"/>
      <c r="Y34" s="24"/>
      <c r="Z34" s="24"/>
      <c r="AA34" s="24"/>
      <c r="AB34" s="24"/>
      <c r="AC34" s="24">
        <v>80000</v>
      </c>
      <c r="AD34" s="24">
        <v>80000</v>
      </c>
      <c r="AE34" s="24">
        <v>50000</v>
      </c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</row>
    <row r="35" spans="1:49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</row>
    <row r="36" spans="1:49" s="71" customFormat="1" x14ac:dyDescent="0.2">
      <c r="A36" s="69" t="s">
        <v>14</v>
      </c>
      <c r="B36" s="25" t="s">
        <v>30</v>
      </c>
      <c r="C36" s="70">
        <v>450000</v>
      </c>
      <c r="D36" s="24"/>
      <c r="E36" s="100">
        <v>125000</v>
      </c>
      <c r="F36" s="24"/>
      <c r="G36" s="24"/>
      <c r="I36" s="95">
        <v>162500</v>
      </c>
      <c r="J36" s="95">
        <v>162500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>
        <v>730000</v>
      </c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</row>
    <row r="37" spans="1:49" s="71" customFormat="1" x14ac:dyDescent="0.2">
      <c r="A37" s="69" t="s">
        <v>17</v>
      </c>
      <c r="B37" s="25" t="s">
        <v>41</v>
      </c>
      <c r="C37" s="70">
        <v>1521950</v>
      </c>
      <c r="D37" s="24"/>
      <c r="E37" s="100">
        <v>25000</v>
      </c>
      <c r="F37" s="24"/>
      <c r="G37" s="24"/>
      <c r="H37" s="95">
        <v>75000</v>
      </c>
      <c r="I37" s="95">
        <v>75000</v>
      </c>
      <c r="J37" s="95">
        <v>75000</v>
      </c>
      <c r="K37" s="95">
        <v>75000</v>
      </c>
      <c r="L37" s="95">
        <v>75000</v>
      </c>
      <c r="M37" s="24"/>
      <c r="N37" s="24"/>
      <c r="O37" s="95">
        <v>75000</v>
      </c>
      <c r="P37" s="95">
        <v>75000</v>
      </c>
      <c r="Q37" s="95">
        <v>75000</v>
      </c>
      <c r="R37" s="95">
        <v>75000</v>
      </c>
      <c r="S37" s="95">
        <v>75000</v>
      </c>
      <c r="T37" s="24"/>
      <c r="U37" s="24"/>
      <c r="V37" s="95">
        <v>200000</v>
      </c>
      <c r="W37" s="95">
        <v>100000</v>
      </c>
      <c r="X37" s="95">
        <v>100000</v>
      </c>
      <c r="Y37" s="95">
        <v>100000</v>
      </c>
      <c r="Z37" s="95">
        <v>195950</v>
      </c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</row>
    <row r="38" spans="1:49" s="71" customFormat="1" x14ac:dyDescent="0.2">
      <c r="A38" s="69" t="s">
        <v>15</v>
      </c>
      <c r="B38" s="25" t="s">
        <v>31</v>
      </c>
      <c r="C38" s="70">
        <v>604464</v>
      </c>
      <c r="D38" s="24"/>
      <c r="E38" s="28"/>
      <c r="F38" s="24"/>
      <c r="G38" s="24"/>
      <c r="H38" s="100">
        <v>25000</v>
      </c>
      <c r="I38" s="100">
        <v>25000</v>
      </c>
      <c r="J38" s="100">
        <v>25000</v>
      </c>
      <c r="K38" s="100">
        <v>50000</v>
      </c>
      <c r="L38" s="28"/>
      <c r="M38" s="24"/>
      <c r="N38" s="24"/>
      <c r="O38" s="108">
        <v>100000</v>
      </c>
      <c r="P38" s="108">
        <v>100000</v>
      </c>
      <c r="Q38" s="108">
        <v>50000</v>
      </c>
      <c r="R38" s="108"/>
      <c r="S38" s="108">
        <f>115224-50000</f>
        <v>65224</v>
      </c>
      <c r="T38" s="24"/>
      <c r="U38" s="24"/>
      <c r="V38" s="108">
        <v>100000</v>
      </c>
      <c r="W38" s="108">
        <v>75000</v>
      </c>
      <c r="X38" s="108">
        <v>50000</v>
      </c>
      <c r="Y38" s="108">
        <v>100000</v>
      </c>
      <c r="Z38" s="108">
        <v>115224</v>
      </c>
      <c r="AA38" s="24"/>
      <c r="AB38" s="24"/>
      <c r="AC38" s="108">
        <v>100000</v>
      </c>
      <c r="AD38" s="108">
        <v>100000</v>
      </c>
      <c r="AE38" s="108">
        <v>100000</v>
      </c>
      <c r="AF38" s="108">
        <v>100000</v>
      </c>
      <c r="AG38" s="108">
        <v>100000</v>
      </c>
      <c r="AH38" s="24"/>
      <c r="AI38" s="24"/>
      <c r="AJ38" s="108">
        <v>104464</v>
      </c>
      <c r="AK38" s="24"/>
      <c r="AL38" s="24"/>
      <c r="AM38" s="24"/>
      <c r="AN38" s="24"/>
      <c r="AO38" s="24">
        <v>25000</v>
      </c>
      <c r="AP38" s="24"/>
      <c r="AQ38" s="98">
        <v>515224</v>
      </c>
      <c r="AR38" s="24"/>
      <c r="AS38" s="24">
        <v>115224</v>
      </c>
      <c r="AT38" s="24"/>
      <c r="AU38" s="24"/>
      <c r="AV38" s="24"/>
      <c r="AW38" s="24"/>
    </row>
    <row r="39" spans="1:49" s="71" customFormat="1" x14ac:dyDescent="0.2">
      <c r="A39" s="69" t="s">
        <v>18</v>
      </c>
      <c r="B39" s="25" t="s">
        <v>32</v>
      </c>
      <c r="C39" s="70">
        <v>1000000</v>
      </c>
      <c r="D39" s="24"/>
      <c r="E39" s="100">
        <v>250000</v>
      </c>
      <c r="F39" s="24"/>
      <c r="G39" s="24"/>
      <c r="H39" s="95">
        <v>200000</v>
      </c>
      <c r="I39" s="95">
        <v>200000</v>
      </c>
      <c r="J39" s="95">
        <v>200000</v>
      </c>
      <c r="K39" s="95">
        <v>150000</v>
      </c>
      <c r="L39" s="28"/>
      <c r="M39" s="28"/>
      <c r="N39" s="28"/>
      <c r="O39" s="28"/>
      <c r="P39" s="28"/>
      <c r="Q39" s="28"/>
      <c r="R39" s="28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</row>
    <row r="40" spans="1:49" s="73" customFormat="1" x14ac:dyDescent="0.2">
      <c r="A40" s="69" t="s">
        <v>21</v>
      </c>
      <c r="B40" s="25" t="s">
        <v>45</v>
      </c>
      <c r="C40" s="70">
        <v>1305799</v>
      </c>
      <c r="D40" s="72"/>
      <c r="E40" s="72"/>
      <c r="F40" s="72"/>
      <c r="G40" s="72"/>
      <c r="H40" s="28"/>
      <c r="I40" s="28"/>
      <c r="J40" s="28" t="s">
        <v>89</v>
      </c>
      <c r="K40" s="95">
        <f>1305799/7</f>
        <v>186542.71428571429</v>
      </c>
      <c r="L40" s="95">
        <f>1305799/7</f>
        <v>186542.71428571429</v>
      </c>
      <c r="M40" s="24"/>
      <c r="N40" s="24"/>
      <c r="O40" s="95">
        <f>1305799/7</f>
        <v>186542.71428571429</v>
      </c>
      <c r="P40" s="95">
        <f>1305799/7</f>
        <v>186542.71428571429</v>
      </c>
      <c r="Q40" s="95">
        <f>1305799/7</f>
        <v>186542.71428571429</v>
      </c>
      <c r="R40" s="95">
        <v>100000</v>
      </c>
      <c r="S40" s="95">
        <f>1305799/7</f>
        <v>186542.71428571429</v>
      </c>
      <c r="T40" s="24"/>
      <c r="U40" s="24"/>
      <c r="V40" s="95">
        <f>1305799/7</f>
        <v>186542.71428571429</v>
      </c>
      <c r="W40" s="95">
        <f>1305799/7</f>
        <v>186542.71428571429</v>
      </c>
      <c r="X40" s="95">
        <v>86542.71</v>
      </c>
      <c r="Y40" s="24"/>
      <c r="Z40" s="24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</row>
    <row r="41" spans="1:49" s="71" customFormat="1" x14ac:dyDescent="0.2">
      <c r="A41" s="69" t="s">
        <v>19</v>
      </c>
      <c r="B41" s="25" t="s">
        <v>46</v>
      </c>
      <c r="C41" s="70">
        <v>1045041.8</v>
      </c>
      <c r="D41" s="24"/>
      <c r="E41" s="100">
        <v>25000</v>
      </c>
      <c r="F41" s="24"/>
      <c r="G41" s="24"/>
      <c r="H41" s="95">
        <v>25000</v>
      </c>
      <c r="I41" s="95">
        <v>25000</v>
      </c>
      <c r="J41" s="95">
        <v>50000</v>
      </c>
      <c r="K41" s="95">
        <v>50000</v>
      </c>
      <c r="L41" s="95">
        <v>50000</v>
      </c>
      <c r="M41" s="24"/>
      <c r="N41" s="24"/>
      <c r="O41" s="24">
        <v>75000</v>
      </c>
      <c r="P41" s="24">
        <v>75000</v>
      </c>
      <c r="Q41" s="24"/>
      <c r="R41" s="24">
        <v>75000</v>
      </c>
      <c r="T41" s="24"/>
      <c r="U41" s="24"/>
      <c r="V41" s="24">
        <v>305134</v>
      </c>
      <c r="W41" s="24">
        <v>150000</v>
      </c>
      <c r="X41" s="24"/>
      <c r="Y41" s="24"/>
      <c r="Z41" s="24"/>
      <c r="AA41" s="24"/>
      <c r="AB41" s="24"/>
      <c r="AC41" s="24">
        <v>50000</v>
      </c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</row>
    <row r="42" spans="1:49" s="71" customFormat="1" x14ac:dyDescent="0.2">
      <c r="A42" s="69" t="s">
        <v>16</v>
      </c>
      <c r="B42" s="25" t="s">
        <v>32</v>
      </c>
      <c r="C42" s="70">
        <v>231200</v>
      </c>
      <c r="D42" s="24"/>
      <c r="F42" s="24"/>
      <c r="G42" s="24"/>
      <c r="H42" s="28"/>
      <c r="I42" s="95">
        <v>32800</v>
      </c>
      <c r="J42" s="95">
        <v>32800</v>
      </c>
      <c r="K42" s="95">
        <v>25000</v>
      </c>
      <c r="L42" s="95">
        <v>25000</v>
      </c>
      <c r="M42" s="24"/>
      <c r="O42" s="95">
        <v>25000</v>
      </c>
      <c r="P42" s="113">
        <v>25000</v>
      </c>
      <c r="Q42" s="24">
        <v>9400</v>
      </c>
      <c r="R42" s="95">
        <v>25000</v>
      </c>
      <c r="S42" s="24">
        <v>50000</v>
      </c>
      <c r="T42" s="24"/>
      <c r="U42" s="24"/>
      <c r="V42" s="108">
        <v>332940</v>
      </c>
      <c r="W42" s="108">
        <v>165880</v>
      </c>
      <c r="X42" s="108">
        <v>99410</v>
      </c>
      <c r="Y42" s="24"/>
      <c r="Z42" s="24"/>
      <c r="AA42" s="24"/>
      <c r="AB42" s="24"/>
      <c r="AC42" s="108">
        <f>100000+332940</f>
        <v>432940</v>
      </c>
      <c r="AD42" s="108">
        <v>200000</v>
      </c>
      <c r="AE42" s="108">
        <v>200000</v>
      </c>
      <c r="AF42" s="108">
        <v>200000</v>
      </c>
      <c r="AG42" s="108">
        <v>200000</v>
      </c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</row>
    <row r="43" spans="1:49" s="71" customFormat="1" x14ac:dyDescent="0.2">
      <c r="A43" s="69" t="s">
        <v>85</v>
      </c>
      <c r="B43" s="25" t="s">
        <v>47</v>
      </c>
      <c r="C43" s="70">
        <f>4750*A6</f>
        <v>390124.15</v>
      </c>
      <c r="D43" s="24"/>
      <c r="E43" s="100">
        <f>500*$A$6</f>
        <v>41065.699999999997</v>
      </c>
      <c r="F43" s="24"/>
      <c r="G43" s="24"/>
      <c r="H43" s="95">
        <v>65000</v>
      </c>
      <c r="I43" s="95">
        <f t="shared" ref="I43:O43" si="3">500*$A$6</f>
        <v>41065.699999999997</v>
      </c>
      <c r="J43" s="95">
        <f t="shared" si="3"/>
        <v>41065.699999999997</v>
      </c>
      <c r="K43" s="95">
        <f t="shared" si="3"/>
        <v>41065.699999999997</v>
      </c>
      <c r="L43" s="95">
        <f t="shared" si="3"/>
        <v>41065.699999999997</v>
      </c>
      <c r="M43" s="24"/>
      <c r="N43" s="24"/>
      <c r="O43" s="95">
        <f t="shared" si="3"/>
        <v>41065.699999999997</v>
      </c>
      <c r="P43" s="95">
        <v>78729.95</v>
      </c>
      <c r="Q43" s="24"/>
      <c r="R43" s="24"/>
      <c r="S43" s="24"/>
      <c r="T43" s="100">
        <v>218623.78</v>
      </c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</row>
    <row r="44" spans="1:49" s="73" customFormat="1" x14ac:dyDescent="0.2">
      <c r="A44" s="69" t="s">
        <v>22</v>
      </c>
      <c r="B44" s="25" t="s">
        <v>48</v>
      </c>
      <c r="C44" s="75"/>
      <c r="D44" s="72"/>
      <c r="E44" s="72"/>
      <c r="F44" s="72"/>
      <c r="G44" s="72"/>
      <c r="H44" s="24"/>
      <c r="I44" s="24"/>
      <c r="J44" s="24"/>
      <c r="K44" s="24"/>
      <c r="L44" s="24"/>
      <c r="N44" s="24"/>
      <c r="O44" s="100">
        <f>15906*A9</f>
        <v>189282.99059999999</v>
      </c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</row>
    <row r="45" spans="1:49" s="71" customFormat="1" x14ac:dyDescent="0.2">
      <c r="A45" s="69" t="s">
        <v>36</v>
      </c>
      <c r="B45" s="25" t="s">
        <v>37</v>
      </c>
      <c r="C45" s="70"/>
      <c r="D45" s="24"/>
      <c r="E45" s="72"/>
      <c r="F45" s="24"/>
      <c r="G45" s="24"/>
      <c r="H45" s="24"/>
      <c r="I45" s="24"/>
      <c r="J45" s="100">
        <v>25000</v>
      </c>
      <c r="K45" s="100">
        <v>25000</v>
      </c>
      <c r="L45" s="24"/>
      <c r="M45" s="24"/>
      <c r="N45" s="24"/>
      <c r="O45" s="24"/>
      <c r="P45" s="24"/>
      <c r="Q45" s="24"/>
      <c r="R45" s="24"/>
      <c r="S45" s="103">
        <f>2577.5*$A$6-J45-K45</f>
        <v>161693.68349999998</v>
      </c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</row>
    <row r="46" spans="1:49" s="71" customFormat="1" x14ac:dyDescent="0.2">
      <c r="A46" s="69" t="s">
        <v>86</v>
      </c>
      <c r="B46" s="25" t="s">
        <v>35</v>
      </c>
      <c r="C46" s="70">
        <f>3250*$A$6</f>
        <v>266927.05</v>
      </c>
      <c r="D46" s="77"/>
      <c r="E46" s="24"/>
      <c r="F46" s="24"/>
      <c r="G46" s="24"/>
      <c r="H46" s="24"/>
      <c r="I46" s="24"/>
      <c r="L46" s="24"/>
      <c r="M46" s="24"/>
      <c r="N46" s="24"/>
      <c r="O46" s="95">
        <f>$C$46/5</f>
        <v>53385.409999999996</v>
      </c>
      <c r="P46" s="95">
        <f>$C$46/5</f>
        <v>53385.409999999996</v>
      </c>
      <c r="Q46" s="95">
        <f>$C$46/5</f>
        <v>53385.409999999996</v>
      </c>
      <c r="R46" s="95">
        <f>$C$46/5</f>
        <v>53385.409999999996</v>
      </c>
      <c r="S46" s="108">
        <f>$C$46/5+2400*A6</f>
        <v>250500.77</v>
      </c>
      <c r="T46" s="100">
        <f>4050*A6</f>
        <v>332632.17</v>
      </c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</row>
    <row r="47" spans="1:49" s="71" customFormat="1" x14ac:dyDescent="0.2">
      <c r="A47" s="69" t="s">
        <v>78</v>
      </c>
      <c r="B47" s="25" t="s">
        <v>79</v>
      </c>
      <c r="C47" s="70"/>
      <c r="D47" s="77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</row>
    <row r="48" spans="1:49" s="71" customFormat="1" x14ac:dyDescent="0.2">
      <c r="A48" s="69" t="s">
        <v>29</v>
      </c>
      <c r="B48" s="25" t="s">
        <v>42</v>
      </c>
      <c r="C48" s="70">
        <v>20000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</row>
    <row r="49" spans="1:49" s="71" customFormat="1" x14ac:dyDescent="0.2">
      <c r="A49" s="69" t="s">
        <v>29</v>
      </c>
      <c r="B49" s="25" t="s">
        <v>43</v>
      </c>
      <c r="C49" s="70">
        <v>439750</v>
      </c>
      <c r="D49" s="24"/>
      <c r="E49" s="24"/>
      <c r="F49" s="24"/>
      <c r="G49" s="24"/>
      <c r="H49" s="24"/>
      <c r="I49" s="24"/>
      <c r="J49" s="24"/>
      <c r="K49" s="95">
        <v>100000</v>
      </c>
      <c r="L49" s="24"/>
      <c r="M49" s="24"/>
      <c r="N49" s="24"/>
      <c r="O49" s="24"/>
      <c r="P49" s="24"/>
      <c r="Q49" s="95">
        <v>100000</v>
      </c>
      <c r="T49" s="24"/>
      <c r="U49" s="24"/>
      <c r="V49" s="24"/>
      <c r="W49" s="24"/>
      <c r="X49" s="95">
        <v>100000</v>
      </c>
      <c r="Y49" s="95">
        <v>139750</v>
      </c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</row>
    <row r="50" spans="1:49" s="71" customFormat="1" x14ac:dyDescent="0.2">
      <c r="A50" s="69" t="s">
        <v>29</v>
      </c>
      <c r="B50" s="25" t="s">
        <v>55</v>
      </c>
      <c r="C50" s="76">
        <f>3530*A6</f>
        <v>289923.842</v>
      </c>
      <c r="D50" s="24"/>
      <c r="E50" s="24"/>
      <c r="F50" s="24"/>
      <c r="G50" s="24"/>
      <c r="I50" s="95">
        <v>25000</v>
      </c>
      <c r="J50" s="95">
        <v>50000</v>
      </c>
      <c r="K50" s="95">
        <v>25000</v>
      </c>
      <c r="L50" s="95">
        <v>25000</v>
      </c>
      <c r="M50" s="24"/>
      <c r="N50" s="24"/>
      <c r="O50" s="95">
        <v>169923.84</v>
      </c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</row>
    <row r="51" spans="1:49" s="71" customFormat="1" x14ac:dyDescent="0.2">
      <c r="A51" s="69" t="s">
        <v>40</v>
      </c>
      <c r="B51" s="25" t="s">
        <v>44</v>
      </c>
      <c r="C51" s="70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>
        <v>1878</v>
      </c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</row>
    <row r="52" spans="1:49" s="71" customFormat="1" x14ac:dyDescent="0.2">
      <c r="A52" s="69" t="s">
        <v>90</v>
      </c>
      <c r="B52" s="25" t="s">
        <v>91</v>
      </c>
      <c r="C52" s="70"/>
      <c r="D52" s="77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>
        <v>2024000.1</v>
      </c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</row>
    <row r="53" spans="1:49" s="71" customFormat="1" x14ac:dyDescent="0.2">
      <c r="A53" s="69" t="s">
        <v>96</v>
      </c>
      <c r="B53" s="25"/>
      <c r="C53" s="70"/>
      <c r="D53" s="77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</row>
    <row r="54" spans="1:49" s="71" customFormat="1" x14ac:dyDescent="0.2">
      <c r="A54" s="69" t="s">
        <v>94</v>
      </c>
      <c r="B54" s="25" t="s">
        <v>95</v>
      </c>
      <c r="C54" s="70"/>
      <c r="D54" s="77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</row>
    <row r="55" spans="1:49" s="71" customFormat="1" x14ac:dyDescent="0.2">
      <c r="A55" s="69" t="s">
        <v>34</v>
      </c>
      <c r="B55" s="25" t="s">
        <v>45</v>
      </c>
      <c r="C55" s="70"/>
      <c r="D55" s="77"/>
      <c r="E55" s="24"/>
      <c r="F55" s="24"/>
      <c r="G55" s="24"/>
      <c r="I55" s="106">
        <v>100000</v>
      </c>
      <c r="J55" s="106">
        <v>100000</v>
      </c>
      <c r="K55" s="106">
        <v>100000</v>
      </c>
      <c r="L55" s="106">
        <v>100000</v>
      </c>
      <c r="M55" s="24"/>
      <c r="N55" s="24"/>
      <c r="O55" s="106">
        <v>100000</v>
      </c>
      <c r="P55" s="106">
        <v>100000</v>
      </c>
      <c r="Q55" s="106">
        <v>100000</v>
      </c>
      <c r="R55" s="106">
        <v>100000</v>
      </c>
      <c r="S55" s="106">
        <v>100000</v>
      </c>
      <c r="T55" s="24"/>
      <c r="U55" s="24"/>
      <c r="V55" s="112"/>
      <c r="Z55" s="24"/>
      <c r="AA55" s="24"/>
      <c r="AB55" s="24"/>
      <c r="AC55" s="106">
        <v>100000</v>
      </c>
      <c r="AD55" s="108">
        <v>114400</v>
      </c>
      <c r="AE55" s="106">
        <v>100000</v>
      </c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</row>
    <row r="56" spans="1:49" s="71" customFormat="1" x14ac:dyDescent="0.2">
      <c r="A56" s="69" t="s">
        <v>81</v>
      </c>
      <c r="B56" s="25" t="s">
        <v>82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</row>
    <row r="57" spans="1:49" s="71" customFormat="1" x14ac:dyDescent="0.2">
      <c r="A57" s="69" t="s">
        <v>92</v>
      </c>
      <c r="B57" s="25" t="s">
        <v>93</v>
      </c>
      <c r="C57" s="70"/>
      <c r="D57" s="77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</row>
    <row r="58" spans="1:49" s="71" customFormat="1" x14ac:dyDescent="0.2">
      <c r="A58" s="69" t="s">
        <v>38</v>
      </c>
      <c r="B58" s="25" t="s">
        <v>39</v>
      </c>
      <c r="C58" s="70"/>
      <c r="D58" s="24"/>
      <c r="E58" s="100">
        <v>25000</v>
      </c>
      <c r="F58" s="24"/>
      <c r="G58" s="24"/>
      <c r="H58" s="100">
        <v>25000</v>
      </c>
      <c r="I58" s="100">
        <v>25000</v>
      </c>
      <c r="J58" s="100">
        <v>25000</v>
      </c>
      <c r="K58" s="100">
        <v>25000</v>
      </c>
      <c r="L58" s="100">
        <v>25000</v>
      </c>
      <c r="M58" s="24"/>
      <c r="N58" s="24"/>
      <c r="O58" s="24"/>
      <c r="P58" s="24"/>
      <c r="Q58" s="24"/>
      <c r="R58" s="24"/>
      <c r="S58" s="100">
        <v>45300</v>
      </c>
      <c r="T58" s="24"/>
      <c r="U58" s="24"/>
      <c r="V58" s="100">
        <v>215000</v>
      </c>
      <c r="W58" s="24"/>
      <c r="X58" s="24"/>
      <c r="Y58" s="24"/>
      <c r="Z58" s="24"/>
      <c r="AA58" s="24"/>
      <c r="AB58" s="24"/>
      <c r="AC58" s="100">
        <v>215000</v>
      </c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</row>
    <row r="59" spans="1:49" s="71" customFormat="1" x14ac:dyDescent="0.2">
      <c r="A59" s="69" t="s">
        <v>74</v>
      </c>
      <c r="B59" s="25" t="s">
        <v>83</v>
      </c>
      <c r="C59" s="70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98">
        <v>104492.6</v>
      </c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>
        <v>3500000</v>
      </c>
      <c r="AT59" s="24"/>
      <c r="AU59" s="24"/>
      <c r="AV59" s="24"/>
      <c r="AW59" s="24"/>
    </row>
    <row r="60" spans="1:49" s="73" customFormat="1" ht="2.25" customHeight="1" x14ac:dyDescent="0.2">
      <c r="A60" s="78"/>
      <c r="B60" s="79"/>
      <c r="C60" s="75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 t="s">
        <v>89</v>
      </c>
      <c r="AT60" s="72"/>
      <c r="AU60" s="72"/>
      <c r="AV60" s="72"/>
      <c r="AW60" s="72"/>
    </row>
    <row r="61" spans="1:49" s="94" customFormat="1" ht="33.75" x14ac:dyDescent="0.2">
      <c r="A61" s="91" t="s">
        <v>60</v>
      </c>
      <c r="B61" s="92" t="s">
        <v>58</v>
      </c>
      <c r="C61" s="93">
        <v>248639.70012000017</v>
      </c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</row>
    <row r="62" spans="1:49" s="94" customFormat="1" ht="33.75" x14ac:dyDescent="0.2">
      <c r="A62" s="91" t="s">
        <v>60</v>
      </c>
      <c r="B62" s="92" t="s">
        <v>59</v>
      </c>
      <c r="C62" s="93">
        <v>0</v>
      </c>
      <c r="D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</row>
    <row r="63" spans="1:49" s="5" customFormat="1" ht="2.25" customHeight="1" x14ac:dyDescent="0.2">
      <c r="A63" s="42"/>
      <c r="B63" s="12"/>
      <c r="C63" s="68"/>
      <c r="D63" s="26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</row>
    <row r="64" spans="1:49" s="5" customFormat="1" x14ac:dyDescent="0.2">
      <c r="A64" s="36" t="s">
        <v>49</v>
      </c>
      <c r="B64" s="12"/>
      <c r="C64" s="13">
        <v>1600000</v>
      </c>
      <c r="D64" s="26"/>
      <c r="E64" s="9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>
        <v>1600000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>
        <v>1490000</v>
      </c>
      <c r="AP64" s="13"/>
      <c r="AQ64" s="13"/>
      <c r="AR64" s="13"/>
      <c r="AS64" s="13"/>
      <c r="AT64" s="13"/>
      <c r="AU64" s="13"/>
      <c r="AV64" s="13"/>
      <c r="AW64" s="13"/>
    </row>
    <row r="65" spans="1:49" s="5" customFormat="1" x14ac:dyDescent="0.2">
      <c r="A65" s="36" t="s">
        <v>57</v>
      </c>
      <c r="B65" s="12"/>
      <c r="C65" s="68"/>
      <c r="D65" s="26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>
        <v>1490000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</row>
    <row r="66" spans="1:49" s="5" customFormat="1" x14ac:dyDescent="0.2">
      <c r="A66" s="36" t="s">
        <v>61</v>
      </c>
      <c r="B66" s="12"/>
      <c r="C66" s="68"/>
      <c r="D66" s="26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>
        <v>390000</v>
      </c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>
        <v>112000</v>
      </c>
      <c r="AO66" s="13"/>
      <c r="AP66" s="13"/>
      <c r="AQ66" s="13"/>
      <c r="AR66" s="13"/>
      <c r="AS66" s="13"/>
      <c r="AT66" s="13"/>
      <c r="AU66" s="13"/>
      <c r="AV66" s="13"/>
      <c r="AW66" s="13"/>
    </row>
    <row r="67" spans="1:49" s="5" customFormat="1" ht="2.25" customHeight="1" x14ac:dyDescent="0.2">
      <c r="A67" s="42"/>
      <c r="B67" s="12"/>
      <c r="C67" s="68"/>
      <c r="D67" s="26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</row>
    <row r="68" spans="1:49" s="5" customFormat="1" x14ac:dyDescent="0.2">
      <c r="A68" s="36" t="s">
        <v>72</v>
      </c>
      <c r="B68" s="27" t="s">
        <v>73</v>
      </c>
      <c r="C68" s="62">
        <v>3637079.2460000003</v>
      </c>
      <c r="D68" s="35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</row>
    <row r="69" spans="1:49" s="5" customFormat="1" ht="2.25" customHeight="1" x14ac:dyDescent="0.2">
      <c r="A69" s="42"/>
      <c r="B69" s="12"/>
      <c r="C69" s="61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</row>
    <row r="70" spans="1:49" s="84" customFormat="1" x14ac:dyDescent="0.2">
      <c r="A70" s="81" t="s">
        <v>66</v>
      </c>
      <c r="B70" s="82"/>
      <c r="C70" s="63"/>
      <c r="D70" s="83"/>
      <c r="E70" s="83">
        <f>$C$5+E16-E25</f>
        <v>2655842.09</v>
      </c>
      <c r="F70" s="83">
        <f t="shared" ref="F70:AW70" si="4">E70+F16-F25</f>
        <v>2655842.09</v>
      </c>
      <c r="G70" s="83">
        <f t="shared" si="4"/>
        <v>2655842.09</v>
      </c>
      <c r="H70" s="83">
        <f t="shared" si="4"/>
        <v>186690.83000000007</v>
      </c>
      <c r="I70" s="83">
        <f t="shared" si="4"/>
        <v>275325.13000000012</v>
      </c>
      <c r="J70" s="83">
        <f t="shared" si="4"/>
        <v>488959.43000000017</v>
      </c>
      <c r="K70" s="83">
        <f t="shared" si="4"/>
        <v>836351.0157142859</v>
      </c>
      <c r="L70" s="83">
        <f t="shared" si="4"/>
        <v>264742.60142857162</v>
      </c>
      <c r="M70" s="83">
        <f t="shared" si="4"/>
        <v>264742.60142857162</v>
      </c>
      <c r="N70" s="83">
        <f t="shared" si="4"/>
        <v>264742.60142857162</v>
      </c>
      <c r="O70" s="83">
        <f t="shared" si="4"/>
        <v>549541.94654285721</v>
      </c>
      <c r="P70" s="83">
        <f t="shared" si="4"/>
        <v>505883.87225714303</v>
      </c>
      <c r="Q70" s="83">
        <f t="shared" si="4"/>
        <v>231441.84797142865</v>
      </c>
      <c r="R70" s="83">
        <f t="shared" si="4"/>
        <v>203056.43797142874</v>
      </c>
      <c r="S70" s="83">
        <f t="shared" si="4"/>
        <v>2147845.7701857146</v>
      </c>
      <c r="T70" s="83">
        <f t="shared" si="4"/>
        <v>1206589.8201857146</v>
      </c>
      <c r="U70" s="83">
        <f t="shared" si="4"/>
        <v>1206589.8201857146</v>
      </c>
      <c r="V70" s="83">
        <f t="shared" si="4"/>
        <v>366973.10590000032</v>
      </c>
      <c r="W70" s="83">
        <f t="shared" si="4"/>
        <v>689550.391614286</v>
      </c>
      <c r="X70" s="83">
        <f t="shared" si="4"/>
        <v>23597.681614286033</v>
      </c>
      <c r="Y70" s="83">
        <f t="shared" si="4"/>
        <v>-316152.31838571397</v>
      </c>
      <c r="Z70" s="83">
        <f t="shared" si="4"/>
        <v>-627326.31838571397</v>
      </c>
      <c r="AA70" s="83">
        <f t="shared" si="4"/>
        <v>-627326.31838571397</v>
      </c>
      <c r="AB70" s="83">
        <f t="shared" si="4"/>
        <v>5672279.6318542864</v>
      </c>
      <c r="AC70" s="83">
        <f t="shared" si="4"/>
        <v>4694339.6318542864</v>
      </c>
      <c r="AD70" s="83">
        <f t="shared" si="4"/>
        <v>4199939.6318542864</v>
      </c>
      <c r="AE70" s="83">
        <f t="shared" si="4"/>
        <v>3749939.6318542864</v>
      </c>
      <c r="AF70" s="83">
        <f t="shared" si="4"/>
        <v>3449939.6318542864</v>
      </c>
      <c r="AG70" s="83">
        <f t="shared" si="4"/>
        <v>3149939.6318542864</v>
      </c>
      <c r="AH70" s="83">
        <f t="shared" si="4"/>
        <v>2828082.5218542865</v>
      </c>
      <c r="AI70" s="83">
        <f t="shared" si="4"/>
        <v>802204.42185428645</v>
      </c>
      <c r="AJ70" s="83">
        <f t="shared" si="4"/>
        <v>697740.42185428645</v>
      </c>
      <c r="AK70" s="83">
        <f t="shared" si="4"/>
        <v>-1302259.5781457135</v>
      </c>
      <c r="AL70" s="83">
        <f t="shared" si="4"/>
        <v>-1302259.5781457135</v>
      </c>
      <c r="AM70" s="83">
        <f t="shared" si="4"/>
        <v>-1302259.5781457135</v>
      </c>
      <c r="AN70" s="83">
        <f t="shared" si="4"/>
        <v>-1414259.5781457135</v>
      </c>
      <c r="AO70" s="83">
        <f t="shared" si="4"/>
        <v>4108240.4218542865</v>
      </c>
      <c r="AP70" s="83">
        <f t="shared" si="4"/>
        <v>4108240.4218542865</v>
      </c>
      <c r="AQ70" s="83">
        <f t="shared" si="4"/>
        <v>3593016.4218542865</v>
      </c>
      <c r="AR70" s="83">
        <f t="shared" si="4"/>
        <v>3593016.4218542865</v>
      </c>
      <c r="AS70" s="83">
        <f t="shared" si="4"/>
        <v>-22207.578145713545</v>
      </c>
      <c r="AT70" s="83">
        <f t="shared" si="4"/>
        <v>-22207.578145713545</v>
      </c>
      <c r="AU70" s="83">
        <f t="shared" si="4"/>
        <v>-22207.578145713545</v>
      </c>
      <c r="AV70" s="83">
        <f t="shared" si="4"/>
        <v>-22207.578145713545</v>
      </c>
      <c r="AW70" s="83">
        <f t="shared" si="4"/>
        <v>-22207.578145713545</v>
      </c>
    </row>
    <row r="72" spans="1:49" s="5" customFormat="1" ht="2.25" customHeigh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</row>
    <row r="73" spans="1:49" s="89" customFormat="1" ht="11.25" customHeight="1" x14ac:dyDescent="0.2">
      <c r="A73" s="85" t="s">
        <v>65</v>
      </c>
      <c r="B73" s="86"/>
      <c r="C73" s="87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</row>
    <row r="74" spans="1:49" s="5" customFormat="1" ht="22.5" x14ac:dyDescent="0.2">
      <c r="A74" s="36" t="s">
        <v>67</v>
      </c>
      <c r="B74" s="27" t="s">
        <v>68</v>
      </c>
      <c r="C74" s="68">
        <v>3221210.79</v>
      </c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</row>
    <row r="75" spans="1:49" s="5" customFormat="1" x14ac:dyDescent="0.2">
      <c r="A75" s="36" t="s">
        <v>69</v>
      </c>
      <c r="B75" s="27" t="s">
        <v>70</v>
      </c>
      <c r="C75" s="68">
        <v>9814338.4000000004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</row>
    <row r="76" spans="1:49" s="5" customFormat="1" x14ac:dyDescent="0.2">
      <c r="A76" s="36"/>
      <c r="B76" s="27"/>
      <c r="C76" s="68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</row>
    <row r="77" spans="1:49" s="5" customFormat="1" x14ac:dyDescent="0.2">
      <c r="A77" s="36"/>
      <c r="B77" s="27"/>
      <c r="C77" s="68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</row>
    <row r="79" spans="1:49" x14ac:dyDescent="0.25">
      <c r="B79" s="14"/>
    </row>
    <row r="82" spans="7:7" x14ac:dyDescent="0.25">
      <c r="G82" s="109"/>
    </row>
  </sheetData>
  <pageMargins left="0.7" right="0.7" top="0.75" bottom="0.75" header="0.3" footer="0.3"/>
  <pageSetup paperSize="9" orientation="portrait" r:id="rId1"/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82"/>
  <sheetViews>
    <sheetView topLeftCell="A37" workbookViewId="0">
      <selection activeCell="A40" sqref="A40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1" width="10.85546875" style="3" bestFit="1" customWidth="1"/>
    <col min="12" max="17" width="11.7109375" style="3" bestFit="1" customWidth="1"/>
    <col min="18" max="20" width="11.7109375" style="3" customWidth="1"/>
    <col min="21" max="28" width="11.7109375" style="3" bestFit="1" customWidth="1"/>
    <col min="29" max="50" width="10.85546875" style="3" bestFit="1" customWidth="1"/>
    <col min="51" max="16384" width="9" style="3"/>
  </cols>
  <sheetData>
    <row r="1" spans="1:50" ht="12" thickBot="1" x14ac:dyDescent="0.3"/>
    <row r="2" spans="1:50" s="1" customFormat="1" x14ac:dyDescent="0.2">
      <c r="A2" s="43" t="s">
        <v>50</v>
      </c>
      <c r="B2" s="15" t="s">
        <v>27</v>
      </c>
      <c r="C2" s="50">
        <v>3780043.49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50" s="1" customFormat="1" ht="12" thickBot="1" x14ac:dyDescent="0.25">
      <c r="A3" s="44">
        <v>93.809700000000007</v>
      </c>
      <c r="B3" s="15" t="s">
        <v>28</v>
      </c>
      <c r="C3" s="50">
        <v>10778.95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50" s="8" customFormat="1" ht="12" thickBot="1" x14ac:dyDescent="0.25">
      <c r="A4" s="45"/>
      <c r="B4" s="15" t="s">
        <v>25</v>
      </c>
      <c r="C4" s="51">
        <v>0</v>
      </c>
    </row>
    <row r="5" spans="1:50" s="6" customFormat="1" x14ac:dyDescent="0.2">
      <c r="A5" s="43" t="s">
        <v>51</v>
      </c>
      <c r="B5" s="49" t="s">
        <v>26</v>
      </c>
      <c r="C5" s="52">
        <f>SUM(C2:C4)</f>
        <v>3790822.4400000004</v>
      </c>
    </row>
    <row r="6" spans="1:50" s="6" customFormat="1" ht="12" thickBot="1" x14ac:dyDescent="0.25">
      <c r="A6" s="44">
        <v>80.719200000000001</v>
      </c>
      <c r="B6" s="16"/>
      <c r="C6" s="53"/>
      <c r="D6" s="17"/>
    </row>
    <row r="7" spans="1:50" s="6" customFormat="1" ht="12" thickBot="1" x14ac:dyDescent="0.25">
      <c r="A7" s="105" t="s">
        <v>51</v>
      </c>
      <c r="B7" s="18" t="s">
        <v>62</v>
      </c>
      <c r="C7" s="54">
        <f>SUM(E16:AX16)</f>
        <v>28952867.964560002</v>
      </c>
    </row>
    <row r="8" spans="1:50" x14ac:dyDescent="0.25">
      <c r="A8" s="43" t="s">
        <v>52</v>
      </c>
      <c r="B8" s="18" t="s">
        <v>84</v>
      </c>
      <c r="C8" s="54">
        <f>SUM(E25:AX25)</f>
        <v>32778186.980771426</v>
      </c>
    </row>
    <row r="9" spans="1:50" ht="12" thickBot="1" x14ac:dyDescent="0.3">
      <c r="A9" s="44">
        <v>11.694699999999999</v>
      </c>
      <c r="B9" s="19" t="s">
        <v>64</v>
      </c>
      <c r="C9" s="55">
        <f>C5+C7-C8-C11</f>
        <v>-13599384.748331424</v>
      </c>
    </row>
    <row r="10" spans="1:50" x14ac:dyDescent="0.25">
      <c r="A10" s="99" t="s">
        <v>80</v>
      </c>
      <c r="B10" s="18" t="s">
        <v>23</v>
      </c>
      <c r="C10" s="56">
        <f>C16</f>
        <v>0</v>
      </c>
    </row>
    <row r="11" spans="1:50" x14ac:dyDescent="0.25">
      <c r="A11" s="101" t="s">
        <v>87</v>
      </c>
      <c r="B11" s="18" t="s">
        <v>24</v>
      </c>
      <c r="C11" s="54">
        <f>C25</f>
        <v>13564888.172120001</v>
      </c>
    </row>
    <row r="12" spans="1:50" x14ac:dyDescent="0.25">
      <c r="A12" s="107" t="s">
        <v>88</v>
      </c>
    </row>
    <row r="13" spans="1:50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s="2" customFormat="1" x14ac:dyDescent="0.25">
      <c r="A14" s="64"/>
      <c r="B14" s="65"/>
      <c r="C14" s="58" t="s">
        <v>56</v>
      </c>
      <c r="D14" s="66"/>
      <c r="E14" s="66">
        <v>46107</v>
      </c>
      <c r="F14" s="66">
        <v>46108</v>
      </c>
      <c r="G14" s="66">
        <v>46109</v>
      </c>
      <c r="H14" s="66">
        <v>46110</v>
      </c>
      <c r="I14" s="66">
        <v>46111</v>
      </c>
      <c r="J14" s="66">
        <v>46112</v>
      </c>
      <c r="K14" s="66">
        <v>46113</v>
      </c>
      <c r="L14" s="66">
        <v>46114</v>
      </c>
      <c r="M14" s="66">
        <v>46115</v>
      </c>
      <c r="N14" s="66">
        <v>46116</v>
      </c>
      <c r="O14" s="66">
        <v>46117</v>
      </c>
      <c r="P14" s="66">
        <v>46118</v>
      </c>
      <c r="Q14" s="66">
        <v>46119</v>
      </c>
      <c r="R14" s="66">
        <v>46120</v>
      </c>
      <c r="S14" s="66">
        <v>46121</v>
      </c>
      <c r="T14" s="66">
        <v>46122</v>
      </c>
      <c r="U14" s="66">
        <v>46123</v>
      </c>
      <c r="V14" s="66">
        <v>46124</v>
      </c>
      <c r="W14" s="66">
        <v>46125</v>
      </c>
      <c r="X14" s="66">
        <v>46126</v>
      </c>
      <c r="Y14" s="66">
        <v>46127</v>
      </c>
      <c r="Z14" s="66">
        <v>46128</v>
      </c>
      <c r="AA14" s="66">
        <v>46129</v>
      </c>
      <c r="AB14" s="66">
        <v>46130</v>
      </c>
      <c r="AC14" s="66">
        <v>46131</v>
      </c>
      <c r="AD14" s="66">
        <v>46132</v>
      </c>
      <c r="AE14" s="66">
        <v>46133</v>
      </c>
      <c r="AF14" s="66">
        <v>46134</v>
      </c>
      <c r="AG14" s="66">
        <v>46135</v>
      </c>
      <c r="AH14" s="66">
        <v>46136</v>
      </c>
      <c r="AI14" s="66">
        <v>46137</v>
      </c>
      <c r="AJ14" s="66">
        <v>46138</v>
      </c>
      <c r="AK14" s="66">
        <v>46139</v>
      </c>
      <c r="AL14" s="66">
        <v>46140</v>
      </c>
      <c r="AM14" s="66">
        <v>46141</v>
      </c>
      <c r="AN14" s="66">
        <v>46142</v>
      </c>
      <c r="AO14" s="66">
        <v>46143</v>
      </c>
      <c r="AP14" s="66">
        <v>46144</v>
      </c>
      <c r="AQ14" s="66">
        <v>46145</v>
      </c>
      <c r="AR14" s="66">
        <v>46146</v>
      </c>
      <c r="AS14" s="66">
        <v>46147</v>
      </c>
      <c r="AT14" s="66">
        <v>46148</v>
      </c>
      <c r="AU14" s="66">
        <v>46149</v>
      </c>
      <c r="AV14" s="66">
        <v>46150</v>
      </c>
      <c r="AW14" s="66">
        <v>46151</v>
      </c>
      <c r="AX14" s="66">
        <v>46152</v>
      </c>
    </row>
    <row r="15" spans="1:50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</row>
    <row r="16" spans="1:50" s="2" customFormat="1" x14ac:dyDescent="0.25">
      <c r="A16" s="39" t="s">
        <v>0</v>
      </c>
      <c r="B16" s="20"/>
      <c r="C16" s="29">
        <v>0</v>
      </c>
      <c r="D16" s="29"/>
      <c r="E16" s="29">
        <f t="shared" ref="E16:AC16" si="0">SUM(E17:E24)</f>
        <v>0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29">
        <f t="shared" si="0"/>
        <v>0</v>
      </c>
      <c r="J16" s="29">
        <f t="shared" si="0"/>
        <v>2145977.83</v>
      </c>
      <c r="K16" s="29">
        <f t="shared" si="0"/>
        <v>2145977.83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29">
        <f t="shared" si="0"/>
        <v>2145977.83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4875000</v>
      </c>
      <c r="U16" s="29">
        <f t="shared" si="0"/>
        <v>0</v>
      </c>
      <c r="V16" s="29">
        <f t="shared" si="0"/>
        <v>0</v>
      </c>
      <c r="W16" s="29">
        <f t="shared" si="0"/>
        <v>2145977.83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8456456.6445600018</v>
      </c>
      <c r="AD16" s="29">
        <f t="shared" ref="AD16:AX16" si="1">SUM(AD17:AD24)</f>
        <v>0</v>
      </c>
      <c r="AE16" s="29">
        <f t="shared" si="1"/>
        <v>0</v>
      </c>
      <c r="AF16" s="29">
        <f t="shared" si="1"/>
        <v>0</v>
      </c>
      <c r="AG16" s="29">
        <f t="shared" si="1"/>
        <v>0</v>
      </c>
      <c r="AH16" s="29">
        <f t="shared" si="1"/>
        <v>0</v>
      </c>
      <c r="AI16" s="29">
        <f t="shared" si="1"/>
        <v>0</v>
      </c>
      <c r="AJ16" s="29">
        <f t="shared" si="1"/>
        <v>0</v>
      </c>
      <c r="AK16" s="29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7037500</v>
      </c>
      <c r="AQ16" s="29">
        <f t="shared" si="1"/>
        <v>0</v>
      </c>
      <c r="AR16" s="29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29">
        <f t="shared" si="1"/>
        <v>0</v>
      </c>
      <c r="AX16" s="29">
        <f t="shared" si="1"/>
        <v>0</v>
      </c>
    </row>
    <row r="17" spans="1:50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</row>
    <row r="18" spans="1:50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</row>
    <row r="19" spans="1:50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>
        <v>2145977.83</v>
      </c>
      <c r="K19" s="30">
        <v>2145977.83</v>
      </c>
      <c r="L19" s="30"/>
      <c r="M19" s="30"/>
      <c r="N19" s="30"/>
      <c r="O19" s="30"/>
      <c r="P19" s="30">
        <v>2145977.83</v>
      </c>
      <c r="Q19" s="30"/>
      <c r="S19" s="30"/>
      <c r="T19" s="30"/>
      <c r="U19" s="30"/>
      <c r="V19" s="30"/>
      <c r="W19" s="30">
        <v>2145977.83</v>
      </c>
      <c r="X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</row>
    <row r="20" spans="1:50" s="80" customFormat="1" ht="13.5" customHeight="1" x14ac:dyDescent="0.25">
      <c r="A20" s="40" t="s">
        <v>12</v>
      </c>
      <c r="B20" s="21"/>
      <c r="C20" s="59"/>
      <c r="D20" s="30"/>
      <c r="E20" s="30"/>
      <c r="F20" s="30"/>
      <c r="G20" s="32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2">
        <v>4875000</v>
      </c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>
        <v>7037500</v>
      </c>
      <c r="AQ20" s="30"/>
      <c r="AR20" s="30"/>
      <c r="AS20" s="30"/>
      <c r="AT20" s="30"/>
      <c r="AU20" s="30"/>
      <c r="AV20" s="30"/>
      <c r="AW20" s="30"/>
      <c r="AX20" s="30"/>
    </row>
    <row r="21" spans="1:50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2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</row>
    <row r="22" spans="1:50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3">
        <f>90144.8*A3</f>
        <v>8456456.6445600018</v>
      </c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</row>
    <row r="23" spans="1:50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</row>
    <row r="24" spans="1:50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</row>
    <row r="25" spans="1:50" s="4" customFormat="1" x14ac:dyDescent="0.2">
      <c r="A25" s="41" t="s">
        <v>1</v>
      </c>
      <c r="B25" s="22"/>
      <c r="C25" s="34">
        <f>SUM(C27:C68)</f>
        <v>13564888.172120001</v>
      </c>
      <c r="D25" s="34"/>
      <c r="E25" s="34">
        <f t="shared" ref="E25:AX25" si="2">SUM(E26:E69)</f>
        <v>612234.65</v>
      </c>
      <c r="F25" s="34">
        <f t="shared" si="2"/>
        <v>620359.6</v>
      </c>
      <c r="G25" s="34">
        <f t="shared" si="2"/>
        <v>0</v>
      </c>
      <c r="H25" s="34">
        <f t="shared" si="2"/>
        <v>0</v>
      </c>
      <c r="I25" s="34">
        <f t="shared" si="2"/>
        <v>2791651.26</v>
      </c>
      <c r="J25" s="34">
        <f t="shared" si="2"/>
        <v>935659.6</v>
      </c>
      <c r="K25" s="34">
        <f t="shared" si="2"/>
        <v>958098.37599999993</v>
      </c>
      <c r="L25" s="34">
        <f t="shared" si="2"/>
        <v>784702.3142857143</v>
      </c>
      <c r="M25" s="34">
        <f t="shared" si="2"/>
        <v>876980.05228571431</v>
      </c>
      <c r="N25" s="34">
        <f t="shared" si="2"/>
        <v>186015.8982</v>
      </c>
      <c r="O25" s="34">
        <f t="shared" si="2"/>
        <v>545949.5</v>
      </c>
      <c r="P25" s="34">
        <f t="shared" si="2"/>
        <v>929483.09428571421</v>
      </c>
      <c r="Q25" s="34">
        <f t="shared" si="2"/>
        <v>1439010.1942857143</v>
      </c>
      <c r="R25" s="34">
        <f t="shared" si="2"/>
        <v>514010.1942857143</v>
      </c>
      <c r="S25" s="34">
        <f t="shared" si="2"/>
        <v>589010.1942857143</v>
      </c>
      <c r="T25" s="34">
        <f t="shared" si="2"/>
        <v>3122410.2742857141</v>
      </c>
      <c r="U25" s="34">
        <f t="shared" si="2"/>
        <v>935536.54</v>
      </c>
      <c r="V25" s="34">
        <f t="shared" si="2"/>
        <v>0</v>
      </c>
      <c r="W25" s="34">
        <f t="shared" si="2"/>
        <v>1339616.7142857143</v>
      </c>
      <c r="X25" s="34">
        <f t="shared" si="2"/>
        <v>1052422.7142857143</v>
      </c>
      <c r="Y25" s="34">
        <f t="shared" si="2"/>
        <v>1429410</v>
      </c>
      <c r="Z25" s="34">
        <f t="shared" si="2"/>
        <v>200000</v>
      </c>
      <c r="AA25" s="34">
        <f t="shared" si="2"/>
        <v>311174</v>
      </c>
      <c r="AB25" s="34">
        <f t="shared" si="2"/>
        <v>160000</v>
      </c>
      <c r="AC25" s="34">
        <f t="shared" si="2"/>
        <v>2264492.6</v>
      </c>
      <c r="AD25" s="34">
        <f t="shared" si="2"/>
        <v>215000</v>
      </c>
      <c r="AE25" s="34">
        <f t="shared" si="2"/>
        <v>0</v>
      </c>
      <c r="AF25" s="34">
        <f t="shared" si="2"/>
        <v>0</v>
      </c>
      <c r="AG25" s="34">
        <f t="shared" si="2"/>
        <v>0</v>
      </c>
      <c r="AH25" s="34">
        <f t="shared" si="2"/>
        <v>0</v>
      </c>
      <c r="AI25" s="34">
        <f t="shared" si="2"/>
        <v>321857.11</v>
      </c>
      <c r="AJ25" s="34">
        <f t="shared" si="2"/>
        <v>2025878.1</v>
      </c>
      <c r="AK25" s="34">
        <f t="shared" si="2"/>
        <v>0</v>
      </c>
      <c r="AL25" s="34">
        <f t="shared" si="2"/>
        <v>2000000</v>
      </c>
      <c r="AM25" s="34">
        <f t="shared" si="2"/>
        <v>0</v>
      </c>
      <c r="AN25" s="34">
        <f t="shared" si="2"/>
        <v>0</v>
      </c>
      <c r="AO25" s="34">
        <f t="shared" si="2"/>
        <v>112000</v>
      </c>
      <c r="AP25" s="34">
        <f t="shared" si="2"/>
        <v>1490000</v>
      </c>
      <c r="AQ25" s="34">
        <f t="shared" si="2"/>
        <v>0</v>
      </c>
      <c r="AR25" s="34">
        <f t="shared" si="2"/>
        <v>515224</v>
      </c>
      <c r="AS25" s="34">
        <f t="shared" si="2"/>
        <v>0</v>
      </c>
      <c r="AT25" s="34">
        <f t="shared" si="2"/>
        <v>3500000</v>
      </c>
      <c r="AU25" s="34">
        <f t="shared" si="2"/>
        <v>0</v>
      </c>
      <c r="AV25" s="34">
        <f t="shared" si="2"/>
        <v>0</v>
      </c>
      <c r="AW25" s="34">
        <f t="shared" si="2"/>
        <v>0</v>
      </c>
      <c r="AX25" s="34">
        <f t="shared" si="2"/>
        <v>0</v>
      </c>
    </row>
    <row r="26" spans="1:50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</row>
    <row r="27" spans="1:50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>
        <v>194014.26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</row>
    <row r="28" spans="1:50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</row>
    <row r="29" spans="1:50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>
        <v>1835137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</row>
    <row r="30" spans="1:50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90">
        <v>2000000</v>
      </c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</row>
    <row r="31" spans="1:50" s="1" customFormat="1" x14ac:dyDescent="0.2">
      <c r="A31" s="36" t="s">
        <v>7</v>
      </c>
      <c r="B31" s="23" t="s">
        <v>8</v>
      </c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>
        <v>750000</v>
      </c>
      <c r="R31" s="24"/>
      <c r="S31" s="24"/>
      <c r="T31" s="24">
        <v>360000</v>
      </c>
      <c r="U31" s="24"/>
      <c r="V31" s="24"/>
      <c r="W31" s="24"/>
      <c r="X31" s="24"/>
      <c r="Y31" s="24"/>
      <c r="Z31" s="24"/>
      <c r="AA31" s="24"/>
      <c r="AB31" s="24"/>
      <c r="AC31" s="24">
        <v>560000</v>
      </c>
      <c r="AD31" s="24"/>
      <c r="AE31" s="24"/>
      <c r="AF31" s="24"/>
      <c r="AG31" s="24"/>
      <c r="AH31" s="24"/>
      <c r="AI31" s="24">
        <f>643714.22/2</f>
        <v>321857.11</v>
      </c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</row>
    <row r="32" spans="1:50" s="1" customFormat="1" x14ac:dyDescent="0.2">
      <c r="A32" s="36" t="s">
        <v>54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</row>
    <row r="33" spans="1:50" s="1" customFormat="1" x14ac:dyDescent="0.2">
      <c r="A33" s="36" t="s">
        <v>71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>
        <f>30000+10500+3500</f>
        <v>44000</v>
      </c>
      <c r="N33" s="24"/>
      <c r="O33" s="24"/>
      <c r="P33" s="24">
        <v>200113.3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</row>
    <row r="34" spans="1:50" s="1" customFormat="1" x14ac:dyDescent="0.2">
      <c r="A34" s="36" t="s">
        <v>53</v>
      </c>
      <c r="B34" s="23"/>
      <c r="C34" s="60"/>
      <c r="D34" s="24"/>
      <c r="E34" s="100">
        <v>30000</v>
      </c>
      <c r="F34" s="100">
        <v>30000</v>
      </c>
      <c r="G34" s="24"/>
      <c r="H34" s="24"/>
      <c r="I34" s="100">
        <v>25000</v>
      </c>
      <c r="J34" s="24"/>
      <c r="K34" s="24"/>
      <c r="L34" s="24"/>
      <c r="M34" s="24"/>
      <c r="N34" s="24"/>
      <c r="O34" s="24">
        <v>545949.5</v>
      </c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>
        <v>160000</v>
      </c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</row>
    <row r="35" spans="1:50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 s="71" customFormat="1" x14ac:dyDescent="0.2">
      <c r="A36" s="69" t="s">
        <v>14</v>
      </c>
      <c r="B36" s="25" t="s">
        <v>30</v>
      </c>
      <c r="C36" s="70">
        <v>575000</v>
      </c>
      <c r="D36" s="24"/>
      <c r="E36" s="100">
        <v>125000</v>
      </c>
      <c r="F36" s="95">
        <v>125000</v>
      </c>
      <c r="G36" s="24"/>
      <c r="H36" s="24"/>
      <c r="I36" s="95">
        <v>162500</v>
      </c>
      <c r="J36" s="95">
        <v>162500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>
        <v>730000</v>
      </c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</row>
    <row r="37" spans="1:50" s="71" customFormat="1" x14ac:dyDescent="0.2">
      <c r="A37" s="69" t="s">
        <v>17</v>
      </c>
      <c r="B37" s="25" t="s">
        <v>41</v>
      </c>
      <c r="C37" s="70">
        <v>1596950</v>
      </c>
      <c r="D37" s="24"/>
      <c r="E37" s="100">
        <v>75000</v>
      </c>
      <c r="F37" s="95">
        <v>75000</v>
      </c>
      <c r="G37" s="24"/>
      <c r="H37" s="24"/>
      <c r="I37" s="95">
        <v>75000</v>
      </c>
      <c r="J37" s="95">
        <v>75000</v>
      </c>
      <c r="K37" s="95">
        <v>75000</v>
      </c>
      <c r="L37" s="95">
        <v>75000</v>
      </c>
      <c r="M37" s="95">
        <v>75000</v>
      </c>
      <c r="N37" s="24"/>
      <c r="O37" s="24"/>
      <c r="P37" s="95">
        <v>75000</v>
      </c>
      <c r="Q37" s="95">
        <v>75000</v>
      </c>
      <c r="R37" s="95">
        <v>75000</v>
      </c>
      <c r="S37" s="95">
        <v>75000</v>
      </c>
      <c r="T37" s="95">
        <v>75000</v>
      </c>
      <c r="U37" s="24"/>
      <c r="V37" s="24"/>
      <c r="W37" s="95">
        <v>200000</v>
      </c>
      <c r="X37" s="95">
        <v>100000</v>
      </c>
      <c r="Y37" s="95">
        <v>100000</v>
      </c>
      <c r="Z37" s="95">
        <v>100000</v>
      </c>
      <c r="AA37" s="95">
        <v>195950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</row>
    <row r="38" spans="1:50" s="71" customFormat="1" x14ac:dyDescent="0.2">
      <c r="A38" s="69" t="s">
        <v>15</v>
      </c>
      <c r="B38" s="25" t="s">
        <v>31</v>
      </c>
      <c r="C38" s="70">
        <v>629464</v>
      </c>
      <c r="D38" s="24"/>
      <c r="E38" s="100">
        <v>25000</v>
      </c>
      <c r="F38" s="95">
        <v>25000</v>
      </c>
      <c r="G38" s="24"/>
      <c r="H38" s="24"/>
      <c r="I38" s="100">
        <v>100000</v>
      </c>
      <c r="J38" s="100">
        <v>100000</v>
      </c>
      <c r="K38" s="100">
        <v>100000</v>
      </c>
      <c r="L38" s="100">
        <v>100000</v>
      </c>
      <c r="M38" s="100">
        <v>115224</v>
      </c>
      <c r="N38" s="24"/>
      <c r="O38" s="24"/>
      <c r="P38" s="108">
        <v>100000</v>
      </c>
      <c r="Q38" s="108">
        <v>100000</v>
      </c>
      <c r="R38" s="108">
        <v>100000</v>
      </c>
      <c r="S38" s="108">
        <v>100000</v>
      </c>
      <c r="T38" s="108">
        <v>115224</v>
      </c>
      <c r="U38" s="24"/>
      <c r="V38" s="24"/>
      <c r="W38" s="108">
        <v>100000</v>
      </c>
      <c r="X38" s="108">
        <v>100000</v>
      </c>
      <c r="Y38" s="108">
        <v>100000</v>
      </c>
      <c r="Z38" s="108">
        <v>100000</v>
      </c>
      <c r="AA38" s="108">
        <v>115224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98">
        <v>515224</v>
      </c>
      <c r="AS38" s="24"/>
      <c r="AT38" s="24"/>
      <c r="AU38" s="24"/>
      <c r="AV38" s="24"/>
      <c r="AW38" s="24"/>
      <c r="AX38" s="24"/>
    </row>
    <row r="39" spans="1:50" s="71" customFormat="1" x14ac:dyDescent="0.2">
      <c r="A39" s="69" t="s">
        <v>18</v>
      </c>
      <c r="B39" s="25" t="s">
        <v>32</v>
      </c>
      <c r="C39" s="70">
        <v>1200000</v>
      </c>
      <c r="D39" s="24"/>
      <c r="E39" s="100">
        <v>200000</v>
      </c>
      <c r="F39" s="95">
        <v>200000</v>
      </c>
      <c r="G39" s="24"/>
      <c r="H39" s="24"/>
      <c r="I39" s="95">
        <v>200000</v>
      </c>
      <c r="J39" s="95">
        <v>300000</v>
      </c>
      <c r="K39" s="95">
        <v>300000</v>
      </c>
      <c r="L39" s="28"/>
      <c r="M39" s="28"/>
      <c r="N39" s="28"/>
      <c r="O39" s="28"/>
      <c r="P39" s="28"/>
      <c r="Q39" s="28"/>
      <c r="R39" s="28"/>
      <c r="S39" s="28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</row>
    <row r="40" spans="1:50" s="73" customFormat="1" x14ac:dyDescent="0.2">
      <c r="A40" s="69" t="s">
        <v>21</v>
      </c>
      <c r="B40" s="25" t="s">
        <v>45</v>
      </c>
      <c r="C40" s="70">
        <v>1305799</v>
      </c>
      <c r="D40" s="72"/>
      <c r="E40" s="28"/>
      <c r="F40" s="72"/>
      <c r="G40" s="72"/>
      <c r="H40" s="72"/>
      <c r="I40" s="28"/>
      <c r="J40" s="28"/>
      <c r="K40" s="28" t="s">
        <v>89</v>
      </c>
      <c r="L40" s="95">
        <f>1305799/7</f>
        <v>186542.71428571429</v>
      </c>
      <c r="M40" s="95">
        <f>1305799/7</f>
        <v>186542.71428571429</v>
      </c>
      <c r="N40" s="24"/>
      <c r="O40" s="24"/>
      <c r="P40" s="95">
        <f>1305799/7</f>
        <v>186542.71428571429</v>
      </c>
      <c r="Q40" s="95">
        <f>1305799/7</f>
        <v>186542.71428571429</v>
      </c>
      <c r="R40" s="95">
        <f>1305799/7</f>
        <v>186542.71428571429</v>
      </c>
      <c r="S40" s="95">
        <f>1305799/7</f>
        <v>186542.71428571429</v>
      </c>
      <c r="T40" s="95">
        <f>1305799/7</f>
        <v>186542.71428571429</v>
      </c>
      <c r="U40" s="24"/>
      <c r="V40" s="24"/>
      <c r="W40" s="95">
        <f>1305799/7</f>
        <v>186542.71428571429</v>
      </c>
      <c r="X40" s="95">
        <f>1305799/7</f>
        <v>186542.71428571429</v>
      </c>
      <c r="Y40" s="24"/>
      <c r="Z40" s="24"/>
      <c r="AA40" s="24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</row>
    <row r="41" spans="1:50" s="71" customFormat="1" x14ac:dyDescent="0.2">
      <c r="A41" s="69" t="s">
        <v>19</v>
      </c>
      <c r="B41" s="25" t="s">
        <v>46</v>
      </c>
      <c r="C41" s="70">
        <v>1080134.05</v>
      </c>
      <c r="D41" s="24"/>
      <c r="E41" s="100">
        <v>46904.85</v>
      </c>
      <c r="F41" s="95">
        <v>50000</v>
      </c>
      <c r="G41" s="24"/>
      <c r="H41" s="24"/>
      <c r="I41" s="95">
        <v>75000</v>
      </c>
      <c r="J41" s="95">
        <v>75000</v>
      </c>
      <c r="K41" s="95">
        <v>50000</v>
      </c>
      <c r="L41" s="95">
        <v>50000</v>
      </c>
      <c r="M41" s="95">
        <v>50000</v>
      </c>
      <c r="N41" s="24"/>
      <c r="O41" s="24"/>
      <c r="P41" s="24">
        <v>75000</v>
      </c>
      <c r="Q41" s="24">
        <v>75000</v>
      </c>
      <c r="R41" s="24"/>
      <c r="S41" s="24">
        <v>75000</v>
      </c>
      <c r="T41" s="24">
        <v>150000</v>
      </c>
      <c r="U41" s="24"/>
      <c r="V41" s="24"/>
      <c r="W41" s="24">
        <v>305134</v>
      </c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</row>
    <row r="42" spans="1:50" s="71" customFormat="1" x14ac:dyDescent="0.2">
      <c r="A42" s="69" t="s">
        <v>16</v>
      </c>
      <c r="B42" s="25" t="s">
        <v>32</v>
      </c>
      <c r="C42" s="70">
        <v>281200</v>
      </c>
      <c r="D42" s="24"/>
      <c r="E42" s="100">
        <v>50000</v>
      </c>
      <c r="F42" s="95">
        <v>50000</v>
      </c>
      <c r="G42" s="24"/>
      <c r="H42" s="24"/>
      <c r="I42" s="28"/>
      <c r="J42" s="95">
        <v>32800</v>
      </c>
      <c r="K42" s="95">
        <v>32800</v>
      </c>
      <c r="L42" s="95">
        <v>57800</v>
      </c>
      <c r="M42" s="95">
        <v>57800</v>
      </c>
      <c r="N42" s="24"/>
      <c r="P42" s="24"/>
      <c r="R42" s="24"/>
      <c r="T42" s="24"/>
      <c r="U42" s="24"/>
      <c r="V42" s="24"/>
      <c r="W42" s="108">
        <v>332940</v>
      </c>
      <c r="X42" s="108">
        <v>665880</v>
      </c>
      <c r="Y42" s="108">
        <v>499410</v>
      </c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</row>
    <row r="43" spans="1:50" s="71" customFormat="1" x14ac:dyDescent="0.2">
      <c r="A43" s="69" t="s">
        <v>85</v>
      </c>
      <c r="B43" s="25" t="s">
        <v>47</v>
      </c>
      <c r="C43" s="70">
        <f>5000*A6</f>
        <v>403596</v>
      </c>
      <c r="D43" s="24"/>
      <c r="E43" s="100">
        <v>20179.8</v>
      </c>
      <c r="F43" s="95">
        <f>500*$A$6</f>
        <v>40359.599999999999</v>
      </c>
      <c r="G43" s="24"/>
      <c r="H43" s="24"/>
      <c r="I43" s="28"/>
      <c r="J43" s="95">
        <f t="shared" ref="J43:P43" si="3">500*$A$6</f>
        <v>40359.599999999999</v>
      </c>
      <c r="K43" s="95">
        <f t="shared" si="3"/>
        <v>40359.599999999999</v>
      </c>
      <c r="L43" s="95">
        <f t="shared" si="3"/>
        <v>40359.599999999999</v>
      </c>
      <c r="M43" s="95">
        <f t="shared" si="3"/>
        <v>40359.599999999999</v>
      </c>
      <c r="N43" s="24"/>
      <c r="O43" s="24"/>
      <c r="P43" s="95">
        <f t="shared" si="3"/>
        <v>40359.599999999999</v>
      </c>
      <c r="Q43" s="24"/>
      <c r="R43" s="24"/>
      <c r="S43" s="24"/>
      <c r="T43" s="24"/>
      <c r="U43" s="100">
        <v>218623.78</v>
      </c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</row>
    <row r="44" spans="1:50" s="73" customFormat="1" x14ac:dyDescent="0.2">
      <c r="A44" s="69" t="s">
        <v>22</v>
      </c>
      <c r="B44" s="25" t="s">
        <v>48</v>
      </c>
      <c r="C44" s="75"/>
      <c r="D44" s="72"/>
      <c r="E44" s="72"/>
      <c r="F44" s="72"/>
      <c r="G44" s="72"/>
      <c r="H44" s="72"/>
      <c r="I44" s="24"/>
      <c r="J44" s="24"/>
      <c r="K44" s="24"/>
      <c r="L44" s="24"/>
      <c r="M44" s="24"/>
      <c r="N44" s="100">
        <f>15906*A9</f>
        <v>186015.8982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</row>
    <row r="45" spans="1:50" s="71" customFormat="1" x14ac:dyDescent="0.2">
      <c r="A45" s="69" t="s">
        <v>36</v>
      </c>
      <c r="B45" s="25" t="s">
        <v>37</v>
      </c>
      <c r="C45" s="70"/>
      <c r="D45" s="24"/>
      <c r="E45" s="72"/>
      <c r="F45" s="72"/>
      <c r="G45" s="24"/>
      <c r="H45" s="24"/>
      <c r="I45" s="24"/>
      <c r="J45" s="24"/>
      <c r="K45" s="100">
        <v>25000</v>
      </c>
      <c r="L45" s="100">
        <v>25000</v>
      </c>
      <c r="M45" s="103">
        <f>2577.5*$A$6-K45-L45</f>
        <v>158053.73800000001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</row>
    <row r="46" spans="1:50" s="71" customFormat="1" x14ac:dyDescent="0.2">
      <c r="A46" s="69" t="s">
        <v>86</v>
      </c>
      <c r="B46" s="25" t="s">
        <v>35</v>
      </c>
      <c r="C46" s="70">
        <f>3250*$A$6</f>
        <v>262337.40000000002</v>
      </c>
      <c r="D46" s="77"/>
      <c r="E46" s="24"/>
      <c r="F46" s="24"/>
      <c r="G46" s="24"/>
      <c r="H46" s="24"/>
      <c r="N46" s="24"/>
      <c r="O46" s="24"/>
      <c r="P46" s="95">
        <f>$C$46/5</f>
        <v>52467.48</v>
      </c>
      <c r="Q46" s="95">
        <f>$C$46/5</f>
        <v>52467.48</v>
      </c>
      <c r="R46" s="95">
        <f>$C$46/5</f>
        <v>52467.48</v>
      </c>
      <c r="S46" s="95">
        <f>$C$46/5</f>
        <v>52467.48</v>
      </c>
      <c r="T46" s="108">
        <f>$C$46/5+2400*A6</f>
        <v>246193.56000000003</v>
      </c>
      <c r="U46" s="100">
        <f>4050*A6</f>
        <v>326912.76</v>
      </c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</row>
    <row r="47" spans="1:50" s="71" customFormat="1" x14ac:dyDescent="0.2">
      <c r="A47" s="69" t="s">
        <v>78</v>
      </c>
      <c r="B47" s="25" t="s">
        <v>79</v>
      </c>
      <c r="C47" s="70"/>
      <c r="D47" s="77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</row>
    <row r="48" spans="1:50" s="71" customFormat="1" x14ac:dyDescent="0.2">
      <c r="A48" s="69" t="s">
        <v>29</v>
      </c>
      <c r="B48" s="25" t="s">
        <v>42</v>
      </c>
      <c r="C48" s="70">
        <v>20000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</row>
    <row r="49" spans="1:50" s="71" customFormat="1" x14ac:dyDescent="0.2">
      <c r="A49" s="69" t="s">
        <v>29</v>
      </c>
      <c r="B49" s="25" t="s">
        <v>43</v>
      </c>
      <c r="C49" s="70">
        <v>439750</v>
      </c>
      <c r="D49" s="24"/>
      <c r="E49" s="24"/>
      <c r="F49" s="24"/>
      <c r="G49" s="24"/>
      <c r="H49" s="24"/>
      <c r="I49" s="24"/>
      <c r="J49" s="24"/>
      <c r="K49" s="24"/>
      <c r="L49" s="95">
        <v>100000</v>
      </c>
      <c r="M49" s="24"/>
      <c r="N49" s="24"/>
      <c r="O49" s="24"/>
      <c r="P49" s="95">
        <v>100000</v>
      </c>
      <c r="Q49" s="95">
        <v>100000</v>
      </c>
      <c r="S49" s="24"/>
      <c r="T49" s="95">
        <v>139750</v>
      </c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</row>
    <row r="50" spans="1:50" s="71" customFormat="1" x14ac:dyDescent="0.2">
      <c r="A50" s="69" t="s">
        <v>29</v>
      </c>
      <c r="B50" s="25" t="s">
        <v>55</v>
      </c>
      <c r="C50" s="76">
        <f>3530*A6</f>
        <v>284938.77600000001</v>
      </c>
      <c r="D50" s="24"/>
      <c r="E50" s="24"/>
      <c r="F50" s="24"/>
      <c r="G50" s="24"/>
      <c r="H50" s="24"/>
      <c r="J50" s="95">
        <v>25000</v>
      </c>
      <c r="K50" s="95">
        <f>C50-J50-L50-M50</f>
        <v>209938.77600000001</v>
      </c>
      <c r="L50" s="95">
        <v>25000</v>
      </c>
      <c r="M50" s="95">
        <v>25000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</row>
    <row r="51" spans="1:50" s="71" customFormat="1" x14ac:dyDescent="0.2">
      <c r="A51" s="69" t="s">
        <v>40</v>
      </c>
      <c r="B51" s="25" t="s">
        <v>44</v>
      </c>
      <c r="C51" s="70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>
        <v>1878</v>
      </c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</row>
    <row r="52" spans="1:50" s="71" customFormat="1" x14ac:dyDescent="0.2">
      <c r="A52" s="69" t="s">
        <v>90</v>
      </c>
      <c r="B52" s="25" t="s">
        <v>91</v>
      </c>
      <c r="C52" s="70"/>
      <c r="D52" s="77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>
        <v>2024000.1</v>
      </c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</row>
    <row r="53" spans="1:50" s="71" customFormat="1" x14ac:dyDescent="0.2">
      <c r="A53" s="69" t="s">
        <v>96</v>
      </c>
      <c r="B53" s="25"/>
      <c r="C53" s="70"/>
      <c r="D53" s="77"/>
      <c r="E53" s="100">
        <v>5550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</row>
    <row r="54" spans="1:50" s="71" customFormat="1" x14ac:dyDescent="0.2">
      <c r="A54" s="69" t="s">
        <v>94</v>
      </c>
      <c r="B54" s="25" t="s">
        <v>95</v>
      </c>
      <c r="C54" s="70"/>
      <c r="D54" s="77"/>
      <c r="E54" s="100">
        <v>4800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</row>
    <row r="55" spans="1:50" s="71" customFormat="1" x14ac:dyDescent="0.2">
      <c r="A55" s="69" t="s">
        <v>34</v>
      </c>
      <c r="B55" s="25" t="s">
        <v>45</v>
      </c>
      <c r="C55" s="70"/>
      <c r="D55" s="77"/>
      <c r="E55" s="24"/>
      <c r="F55" s="24"/>
      <c r="G55" s="24"/>
      <c r="H55" s="24"/>
      <c r="I55" s="106">
        <v>100000</v>
      </c>
      <c r="J55" s="106">
        <v>100000</v>
      </c>
      <c r="K55" s="106">
        <v>100000</v>
      </c>
      <c r="L55" s="106">
        <v>100000</v>
      </c>
      <c r="M55" s="106">
        <v>100000</v>
      </c>
      <c r="N55" s="24"/>
      <c r="O55" s="24"/>
      <c r="P55" s="106">
        <v>100000</v>
      </c>
      <c r="Q55" s="106">
        <v>100000</v>
      </c>
      <c r="R55" s="106">
        <v>100000</v>
      </c>
      <c r="S55" s="106">
        <v>100000</v>
      </c>
      <c r="T55" s="106">
        <v>314400</v>
      </c>
      <c r="U55" s="24"/>
      <c r="V55" s="24"/>
      <c r="W55" s="106"/>
      <c r="X55" s="106"/>
      <c r="Y55" s="108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</row>
    <row r="56" spans="1:50" s="71" customFormat="1" x14ac:dyDescent="0.2">
      <c r="A56" s="69" t="s">
        <v>81</v>
      </c>
      <c r="B56" s="25" t="s">
        <v>82</v>
      </c>
      <c r="C56" s="70"/>
      <c r="D56" s="77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</row>
    <row r="57" spans="1:50" s="71" customFormat="1" x14ac:dyDescent="0.2">
      <c r="A57" s="69" t="s">
        <v>92</v>
      </c>
      <c r="B57" s="25" t="s">
        <v>93</v>
      </c>
      <c r="C57" s="70"/>
      <c r="D57" s="77"/>
      <c r="E57" s="100">
        <v>4000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</row>
    <row r="58" spans="1:50" s="71" customFormat="1" x14ac:dyDescent="0.2">
      <c r="A58" s="69" t="s">
        <v>38</v>
      </c>
      <c r="B58" s="25" t="s">
        <v>39</v>
      </c>
      <c r="C58" s="70"/>
      <c r="D58" s="24"/>
      <c r="E58" s="100">
        <v>25800</v>
      </c>
      <c r="F58" s="100">
        <v>25000</v>
      </c>
      <c r="G58" s="24"/>
      <c r="H58" s="24"/>
      <c r="I58" s="100">
        <v>25000</v>
      </c>
      <c r="J58" s="100">
        <v>25000</v>
      </c>
      <c r="K58" s="100">
        <v>25000</v>
      </c>
      <c r="L58" s="100">
        <v>25000</v>
      </c>
      <c r="M58" s="100">
        <v>25000</v>
      </c>
      <c r="N58" s="24"/>
      <c r="O58" s="24"/>
      <c r="P58" s="24"/>
      <c r="Q58" s="24"/>
      <c r="R58" s="24"/>
      <c r="S58" s="24"/>
      <c r="T58" s="100">
        <v>45300</v>
      </c>
      <c r="U58" s="24"/>
      <c r="V58" s="24"/>
      <c r="W58" s="24">
        <v>215000</v>
      </c>
      <c r="X58" s="24"/>
      <c r="Y58" s="24"/>
      <c r="Z58" s="24"/>
      <c r="AA58" s="24"/>
      <c r="AB58" s="24"/>
      <c r="AC58" s="24"/>
      <c r="AD58" s="24">
        <v>215000</v>
      </c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</row>
    <row r="59" spans="1:50" s="71" customFormat="1" x14ac:dyDescent="0.2">
      <c r="A59" s="69" t="s">
        <v>74</v>
      </c>
      <c r="B59" s="25" t="s">
        <v>83</v>
      </c>
      <c r="C59" s="70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98">
        <v>104492.6</v>
      </c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>
        <v>3500000</v>
      </c>
      <c r="AU59" s="24"/>
      <c r="AV59" s="24"/>
      <c r="AW59" s="24"/>
      <c r="AX59" s="24"/>
    </row>
    <row r="60" spans="1:50" s="73" customFormat="1" ht="2.25" customHeight="1" x14ac:dyDescent="0.2">
      <c r="A60" s="78"/>
      <c r="B60" s="79"/>
      <c r="C60" s="75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 t="s">
        <v>89</v>
      </c>
      <c r="AU60" s="72"/>
      <c r="AV60" s="72"/>
      <c r="AW60" s="72"/>
      <c r="AX60" s="72"/>
    </row>
    <row r="61" spans="1:50" s="94" customFormat="1" ht="33.75" x14ac:dyDescent="0.2">
      <c r="A61" s="91" t="s">
        <v>60</v>
      </c>
      <c r="B61" s="92" t="s">
        <v>58</v>
      </c>
      <c r="C61" s="93">
        <v>248639.70012000017</v>
      </c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</row>
    <row r="62" spans="1:50" s="94" customFormat="1" ht="33.75" x14ac:dyDescent="0.2">
      <c r="A62" s="91" t="s">
        <v>60</v>
      </c>
      <c r="B62" s="92" t="s">
        <v>59</v>
      </c>
      <c r="C62" s="93">
        <v>0</v>
      </c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</row>
    <row r="63" spans="1:50" s="5" customFormat="1" ht="2.25" customHeight="1" x14ac:dyDescent="0.2">
      <c r="A63" s="42"/>
      <c r="B63" s="12"/>
      <c r="C63" s="68"/>
      <c r="D63" s="26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spans="1:50" s="5" customFormat="1" x14ac:dyDescent="0.2">
      <c r="A64" s="36" t="s">
        <v>49</v>
      </c>
      <c r="B64" s="12"/>
      <c r="C64" s="13">
        <v>1600000</v>
      </c>
      <c r="D64" s="26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>
        <v>1600000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>
        <v>1490000</v>
      </c>
      <c r="AQ64" s="13"/>
      <c r="AR64" s="13"/>
      <c r="AS64" s="13"/>
      <c r="AT64" s="13"/>
      <c r="AU64" s="13"/>
      <c r="AV64" s="13"/>
      <c r="AW64" s="13"/>
      <c r="AX64" s="13"/>
    </row>
    <row r="65" spans="1:50" s="5" customFormat="1" x14ac:dyDescent="0.2">
      <c r="A65" s="36" t="s">
        <v>57</v>
      </c>
      <c r="B65" s="12"/>
      <c r="C65" s="68"/>
      <c r="D65" s="26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>
        <v>1490000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spans="1:50" s="5" customFormat="1" x14ac:dyDescent="0.2">
      <c r="A66" s="36" t="s">
        <v>61</v>
      </c>
      <c r="B66" s="12"/>
      <c r="C66" s="68"/>
      <c r="D66" s="26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>
        <v>390000</v>
      </c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>
        <v>112000</v>
      </c>
      <c r="AP66" s="13"/>
      <c r="AQ66" s="13"/>
      <c r="AR66" s="13"/>
      <c r="AS66" s="13"/>
      <c r="AT66" s="13"/>
      <c r="AU66" s="13"/>
      <c r="AV66" s="13"/>
      <c r="AW66" s="13"/>
      <c r="AX66" s="13"/>
    </row>
    <row r="67" spans="1:50" s="5" customFormat="1" ht="2.25" customHeight="1" x14ac:dyDescent="0.2">
      <c r="A67" s="42"/>
      <c r="B67" s="12"/>
      <c r="C67" s="68"/>
      <c r="D67" s="26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spans="1:50" s="5" customFormat="1" x14ac:dyDescent="0.2">
      <c r="A68" s="36" t="s">
        <v>72</v>
      </c>
      <c r="B68" s="27" t="s">
        <v>73</v>
      </c>
      <c r="C68" s="62">
        <v>3637079.2460000003</v>
      </c>
      <c r="D68" s="35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</row>
    <row r="69" spans="1:50" s="5" customFormat="1" ht="2.25" customHeight="1" x14ac:dyDescent="0.2">
      <c r="A69" s="42"/>
      <c r="B69" s="12"/>
      <c r="C69" s="61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spans="1:50" s="84" customFormat="1" x14ac:dyDescent="0.2">
      <c r="A70" s="81" t="s">
        <v>66</v>
      </c>
      <c r="B70" s="82"/>
      <c r="C70" s="63"/>
      <c r="D70" s="83"/>
      <c r="E70" s="83">
        <f>$C$5+E16-E25</f>
        <v>3178587.7900000005</v>
      </c>
      <c r="F70" s="83">
        <f t="shared" ref="F70:AX70" si="4">E70+F16-F25</f>
        <v>2558228.1900000004</v>
      </c>
      <c r="G70" s="83">
        <f t="shared" si="4"/>
        <v>2558228.1900000004</v>
      </c>
      <c r="H70" s="83">
        <f t="shared" si="4"/>
        <v>2558228.1900000004</v>
      </c>
      <c r="I70" s="83">
        <f t="shared" si="4"/>
        <v>-233423.06999999937</v>
      </c>
      <c r="J70" s="83">
        <f t="shared" si="4"/>
        <v>976895.16000000073</v>
      </c>
      <c r="K70" s="83">
        <f t="shared" si="4"/>
        <v>2164774.614000001</v>
      </c>
      <c r="L70" s="83">
        <f t="shared" si="4"/>
        <v>1380072.2997142868</v>
      </c>
      <c r="M70" s="83">
        <f t="shared" si="4"/>
        <v>503092.2474285725</v>
      </c>
      <c r="N70" s="83">
        <f t="shared" si="4"/>
        <v>317076.34922857251</v>
      </c>
      <c r="O70" s="83">
        <f t="shared" si="4"/>
        <v>-228873.15077142749</v>
      </c>
      <c r="P70" s="83">
        <f t="shared" si="4"/>
        <v>987621.58494285843</v>
      </c>
      <c r="Q70" s="83">
        <f t="shared" si="4"/>
        <v>-451388.60934285587</v>
      </c>
      <c r="R70" s="83">
        <f t="shared" si="4"/>
        <v>-965398.80362857017</v>
      </c>
      <c r="S70" s="83">
        <f t="shared" si="4"/>
        <v>-1554408.9979142845</v>
      </c>
      <c r="T70" s="83">
        <f t="shared" si="4"/>
        <v>198180.72780000139</v>
      </c>
      <c r="U70" s="83">
        <f t="shared" si="4"/>
        <v>-737355.81219999865</v>
      </c>
      <c r="V70" s="83">
        <f t="shared" si="4"/>
        <v>-737355.81219999865</v>
      </c>
      <c r="W70" s="83">
        <f t="shared" si="4"/>
        <v>69005.303514287109</v>
      </c>
      <c r="X70" s="83">
        <f t="shared" si="4"/>
        <v>-983417.41077142721</v>
      </c>
      <c r="Y70" s="83">
        <f t="shared" si="4"/>
        <v>-2412827.4107714272</v>
      </c>
      <c r="Z70" s="83">
        <f t="shared" si="4"/>
        <v>-2612827.4107714272</v>
      </c>
      <c r="AA70" s="83">
        <f t="shared" si="4"/>
        <v>-2924001.4107714272</v>
      </c>
      <c r="AB70" s="83">
        <f t="shared" si="4"/>
        <v>-3084001.4107714272</v>
      </c>
      <c r="AC70" s="83">
        <f t="shared" si="4"/>
        <v>3107962.633788574</v>
      </c>
      <c r="AD70" s="83">
        <f t="shared" si="4"/>
        <v>2892962.633788574</v>
      </c>
      <c r="AE70" s="83">
        <f t="shared" si="4"/>
        <v>2892962.633788574</v>
      </c>
      <c r="AF70" s="83">
        <f t="shared" si="4"/>
        <v>2892962.633788574</v>
      </c>
      <c r="AG70" s="83">
        <f t="shared" si="4"/>
        <v>2892962.633788574</v>
      </c>
      <c r="AH70" s="83">
        <f t="shared" si="4"/>
        <v>2892962.633788574</v>
      </c>
      <c r="AI70" s="83">
        <f t="shared" si="4"/>
        <v>2571105.5237885742</v>
      </c>
      <c r="AJ70" s="83">
        <f t="shared" si="4"/>
        <v>545227.42378857406</v>
      </c>
      <c r="AK70" s="83">
        <f t="shared" si="4"/>
        <v>545227.42378857406</v>
      </c>
      <c r="AL70" s="83">
        <f t="shared" si="4"/>
        <v>-1454772.5762114259</v>
      </c>
      <c r="AM70" s="83">
        <f t="shared" si="4"/>
        <v>-1454772.5762114259</v>
      </c>
      <c r="AN70" s="83">
        <f t="shared" si="4"/>
        <v>-1454772.5762114259</v>
      </c>
      <c r="AO70" s="83">
        <f t="shared" si="4"/>
        <v>-1566772.5762114259</v>
      </c>
      <c r="AP70" s="83">
        <f t="shared" si="4"/>
        <v>3980727.4237885736</v>
      </c>
      <c r="AQ70" s="83">
        <f t="shared" si="4"/>
        <v>3980727.4237885736</v>
      </c>
      <c r="AR70" s="83">
        <f t="shared" si="4"/>
        <v>3465503.4237885736</v>
      </c>
      <c r="AS70" s="83">
        <f t="shared" si="4"/>
        <v>3465503.4237885736</v>
      </c>
      <c r="AT70" s="83">
        <f t="shared" si="4"/>
        <v>-34496.576211426407</v>
      </c>
      <c r="AU70" s="83">
        <f t="shared" si="4"/>
        <v>-34496.576211426407</v>
      </c>
      <c r="AV70" s="83">
        <f t="shared" si="4"/>
        <v>-34496.576211426407</v>
      </c>
      <c r="AW70" s="83">
        <f t="shared" si="4"/>
        <v>-34496.576211426407</v>
      </c>
      <c r="AX70" s="83">
        <f t="shared" si="4"/>
        <v>-34496.576211426407</v>
      </c>
    </row>
    <row r="72" spans="1:50" s="5" customFormat="1" ht="2.25" customHeight="1" x14ac:dyDescent="0.2">
      <c r="A72" s="42"/>
      <c r="B72" s="12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spans="1:50" s="89" customFormat="1" ht="11.25" customHeight="1" x14ac:dyDescent="0.2">
      <c r="A73" s="85" t="s">
        <v>65</v>
      </c>
      <c r="B73" s="86"/>
      <c r="C73" s="87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</row>
    <row r="74" spans="1:50" s="5" customFormat="1" ht="22.5" x14ac:dyDescent="0.2">
      <c r="A74" s="36" t="s">
        <v>67</v>
      </c>
      <c r="B74" s="27" t="s">
        <v>68</v>
      </c>
      <c r="C74" s="68">
        <v>3221210.79</v>
      </c>
      <c r="D74" s="26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spans="1:50" s="5" customFormat="1" x14ac:dyDescent="0.2">
      <c r="A75" s="36" t="s">
        <v>69</v>
      </c>
      <c r="B75" s="27" t="s">
        <v>70</v>
      </c>
      <c r="C75" s="68">
        <v>9814338.4000000004</v>
      </c>
      <c r="D75" s="26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spans="1:50" s="5" customFormat="1" x14ac:dyDescent="0.2">
      <c r="A76" s="36"/>
      <c r="B76" s="27"/>
      <c r="C76" s="68"/>
      <c r="D76" s="26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spans="1:50" s="5" customFormat="1" x14ac:dyDescent="0.2">
      <c r="A77" s="36"/>
      <c r="B77" s="27"/>
      <c r="C77" s="68"/>
      <c r="D77" s="26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9" spans="1:50" x14ac:dyDescent="0.25">
      <c r="B79" s="14"/>
    </row>
    <row r="82" spans="8:8" x14ac:dyDescent="0.25">
      <c r="H82" s="109"/>
    </row>
  </sheetData>
  <pageMargins left="0.7" right="0.7" top="0.75" bottom="0.75" header="0.3" footer="0.3"/>
  <pageSetup paperSize="9" orientation="portrait" r:id="rId1"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75"/>
  <sheetViews>
    <sheetView topLeftCell="A28" workbookViewId="0">
      <selection activeCell="C36" sqref="C36:C50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3" width="10.85546875" style="3" bestFit="1" customWidth="1"/>
    <col min="14" max="19" width="11.7109375" style="3" bestFit="1" customWidth="1"/>
    <col min="20" max="22" width="11.7109375" style="3" customWidth="1"/>
    <col min="23" max="30" width="11.7109375" style="3" bestFit="1" customWidth="1"/>
    <col min="31" max="52" width="10.85546875" style="3" bestFit="1" customWidth="1"/>
    <col min="53" max="16384" width="9" style="3"/>
  </cols>
  <sheetData>
    <row r="1" spans="1:52" ht="12" thickBot="1" x14ac:dyDescent="0.3"/>
    <row r="2" spans="1:52" s="1" customFormat="1" x14ac:dyDescent="0.2">
      <c r="A2" s="43" t="s">
        <v>50</v>
      </c>
      <c r="B2" s="15" t="s">
        <v>27</v>
      </c>
      <c r="C2" s="50">
        <v>4420021.25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52" s="1" customFormat="1" ht="12" thickBot="1" x14ac:dyDescent="0.25">
      <c r="A3" s="44">
        <v>94.726399999999998</v>
      </c>
      <c r="B3" s="15" t="s">
        <v>28</v>
      </c>
      <c r="C3" s="50">
        <v>10778.95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52" s="8" customFormat="1" ht="12" thickBot="1" x14ac:dyDescent="0.25">
      <c r="A4" s="45"/>
      <c r="B4" s="15" t="s">
        <v>25</v>
      </c>
      <c r="C4" s="51">
        <v>0</v>
      </c>
    </row>
    <row r="5" spans="1:52" s="6" customFormat="1" x14ac:dyDescent="0.2">
      <c r="A5" s="43" t="s">
        <v>51</v>
      </c>
      <c r="B5" s="49" t="s">
        <v>26</v>
      </c>
      <c r="C5" s="52">
        <f>SUM(C2:C4)</f>
        <v>4430800.2</v>
      </c>
    </row>
    <row r="6" spans="1:52" s="6" customFormat="1" ht="12" thickBot="1" x14ac:dyDescent="0.25">
      <c r="A6" s="44">
        <v>81.876300000000001</v>
      </c>
      <c r="B6" s="16"/>
      <c r="C6" s="53"/>
      <c r="D6" s="17"/>
    </row>
    <row r="7" spans="1:52" s="6" customFormat="1" ht="12" thickBot="1" x14ac:dyDescent="0.25">
      <c r="A7" s="105" t="s">
        <v>51</v>
      </c>
      <c r="B7" s="18" t="s">
        <v>62</v>
      </c>
      <c r="C7" s="54">
        <f>SUM(E16:AZ16)</f>
        <v>23451592.382720001</v>
      </c>
    </row>
    <row r="8" spans="1:52" x14ac:dyDescent="0.25">
      <c r="A8" s="43" t="s">
        <v>52</v>
      </c>
      <c r="B8" s="18" t="s">
        <v>84</v>
      </c>
      <c r="C8" s="54">
        <f>SUM(E25:AZ25)</f>
        <v>23361022.486221425</v>
      </c>
    </row>
    <row r="9" spans="1:52" ht="12" thickBot="1" x14ac:dyDescent="0.3">
      <c r="A9" s="44">
        <v>11.870900000000001</v>
      </c>
      <c r="B9" s="19" t="s">
        <v>64</v>
      </c>
      <c r="C9" s="55">
        <f>C5+C7-C8-C11</f>
        <v>-9466781.4636214264</v>
      </c>
    </row>
    <row r="10" spans="1:52" x14ac:dyDescent="0.25">
      <c r="A10" s="99" t="s">
        <v>80</v>
      </c>
      <c r="B10" s="18" t="s">
        <v>23</v>
      </c>
      <c r="C10" s="56">
        <f>C16</f>
        <v>0</v>
      </c>
    </row>
    <row r="11" spans="1:52" x14ac:dyDescent="0.25">
      <c r="A11" s="101" t="s">
        <v>87</v>
      </c>
      <c r="B11" s="18" t="s">
        <v>24</v>
      </c>
      <c r="C11" s="54">
        <f>C25</f>
        <v>13988151.560120001</v>
      </c>
    </row>
    <row r="12" spans="1:52" x14ac:dyDescent="0.25">
      <c r="A12" s="107" t="s">
        <v>88</v>
      </c>
    </row>
    <row r="13" spans="1:52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</row>
    <row r="14" spans="1:52" s="2" customFormat="1" x14ac:dyDescent="0.25">
      <c r="A14" s="64"/>
      <c r="B14" s="65"/>
      <c r="C14" s="58" t="s">
        <v>56</v>
      </c>
      <c r="D14" s="66"/>
      <c r="E14" s="66">
        <v>46105</v>
      </c>
      <c r="F14" s="66">
        <v>46106</v>
      </c>
      <c r="G14" s="66">
        <v>46107</v>
      </c>
      <c r="H14" s="66">
        <v>46108</v>
      </c>
      <c r="I14" s="66">
        <v>46109</v>
      </c>
      <c r="J14" s="66">
        <v>46110</v>
      </c>
      <c r="K14" s="66">
        <v>46111</v>
      </c>
      <c r="L14" s="66">
        <v>46112</v>
      </c>
      <c r="M14" s="66">
        <v>46113</v>
      </c>
      <c r="N14" s="66">
        <v>46114</v>
      </c>
      <c r="O14" s="66">
        <v>46115</v>
      </c>
      <c r="P14" s="66">
        <v>46116</v>
      </c>
      <c r="Q14" s="66">
        <v>46117</v>
      </c>
      <c r="R14" s="66">
        <v>46118</v>
      </c>
      <c r="S14" s="66">
        <v>46119</v>
      </c>
      <c r="T14" s="66">
        <v>46120</v>
      </c>
      <c r="U14" s="66">
        <v>46121</v>
      </c>
      <c r="V14" s="66">
        <v>46122</v>
      </c>
      <c r="W14" s="66">
        <v>46123</v>
      </c>
      <c r="X14" s="66">
        <v>46124</v>
      </c>
      <c r="Y14" s="66">
        <v>46125</v>
      </c>
      <c r="Z14" s="66">
        <v>46126</v>
      </c>
      <c r="AA14" s="66">
        <v>46127</v>
      </c>
      <c r="AB14" s="66">
        <v>46128</v>
      </c>
      <c r="AC14" s="66">
        <v>46129</v>
      </c>
      <c r="AD14" s="66">
        <v>46130</v>
      </c>
      <c r="AE14" s="66">
        <v>46131</v>
      </c>
      <c r="AF14" s="66">
        <v>46132</v>
      </c>
      <c r="AG14" s="66">
        <v>46133</v>
      </c>
      <c r="AH14" s="66">
        <v>46134</v>
      </c>
      <c r="AI14" s="66">
        <v>46135</v>
      </c>
      <c r="AJ14" s="66">
        <v>46136</v>
      </c>
      <c r="AK14" s="66">
        <v>46137</v>
      </c>
      <c r="AL14" s="66">
        <v>46138</v>
      </c>
      <c r="AM14" s="66">
        <v>46139</v>
      </c>
      <c r="AN14" s="66">
        <v>46140</v>
      </c>
      <c r="AO14" s="66">
        <v>46141</v>
      </c>
      <c r="AP14" s="66">
        <v>46142</v>
      </c>
      <c r="AQ14" s="66">
        <v>46143</v>
      </c>
      <c r="AR14" s="66">
        <v>46144</v>
      </c>
      <c r="AS14" s="66">
        <v>46145</v>
      </c>
      <c r="AT14" s="66">
        <v>46146</v>
      </c>
      <c r="AU14" s="66">
        <v>46147</v>
      </c>
      <c r="AV14" s="66">
        <v>46148</v>
      </c>
      <c r="AW14" s="66">
        <v>46149</v>
      </c>
      <c r="AX14" s="66">
        <v>46150</v>
      </c>
      <c r="AY14" s="66">
        <v>46151</v>
      </c>
      <c r="AZ14" s="66">
        <v>46152</v>
      </c>
    </row>
    <row r="15" spans="1:52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</row>
    <row r="16" spans="1:52" s="2" customFormat="1" x14ac:dyDescent="0.25">
      <c r="A16" s="39" t="s">
        <v>0</v>
      </c>
      <c r="B16" s="20"/>
      <c r="C16" s="29">
        <v>0</v>
      </c>
      <c r="D16" s="29"/>
      <c r="E16" s="29">
        <f t="shared" ref="E16:AE16" si="0">SUM(E17:E24)</f>
        <v>0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29">
        <f t="shared" si="0"/>
        <v>4875000</v>
      </c>
      <c r="J16" s="29">
        <f t="shared" si="0"/>
        <v>3000000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8539092.3827199992</v>
      </c>
      <c r="AF16" s="29">
        <f t="shared" ref="AF16:AZ16" si="1">SUM(AF17:AF24)</f>
        <v>0</v>
      </c>
      <c r="AG16" s="29">
        <f t="shared" si="1"/>
        <v>0</v>
      </c>
      <c r="AH16" s="29">
        <f t="shared" si="1"/>
        <v>0</v>
      </c>
      <c r="AI16" s="29">
        <f t="shared" si="1"/>
        <v>0</v>
      </c>
      <c r="AJ16" s="29">
        <f t="shared" si="1"/>
        <v>0</v>
      </c>
      <c r="AK16" s="29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29">
        <f t="shared" si="1"/>
        <v>0</v>
      </c>
      <c r="AR16" s="29">
        <f t="shared" si="1"/>
        <v>7037500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29">
        <f t="shared" si="1"/>
        <v>0</v>
      </c>
      <c r="AX16" s="29">
        <f t="shared" si="1"/>
        <v>0</v>
      </c>
      <c r="AY16" s="29">
        <f t="shared" si="1"/>
        <v>0</v>
      </c>
      <c r="AZ16" s="29">
        <f t="shared" si="1"/>
        <v>0</v>
      </c>
    </row>
    <row r="17" spans="1:52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</row>
    <row r="18" spans="1:52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>
        <v>3000000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</row>
    <row r="19" spans="1:52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</row>
    <row r="20" spans="1:52" s="80" customFormat="1" ht="13.5" customHeight="1" x14ac:dyDescent="0.25">
      <c r="A20" s="40" t="s">
        <v>12</v>
      </c>
      <c r="B20" s="21"/>
      <c r="C20" s="59"/>
      <c r="D20" s="30"/>
      <c r="E20" s="30"/>
      <c r="F20" s="30"/>
      <c r="G20" s="30"/>
      <c r="H20" s="30"/>
      <c r="I20" s="32">
        <v>4875000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>
        <v>7037500</v>
      </c>
      <c r="AS20" s="30"/>
      <c r="AT20" s="30"/>
      <c r="AU20" s="30"/>
      <c r="AV20" s="30"/>
      <c r="AW20" s="30"/>
      <c r="AX20" s="30"/>
      <c r="AY20" s="30"/>
      <c r="AZ20" s="30"/>
    </row>
    <row r="21" spans="1:52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2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</row>
    <row r="22" spans="1:52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3">
        <f>90144.8*A3</f>
        <v>8539092.3827199992</v>
      </c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</row>
    <row r="23" spans="1:52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</row>
    <row r="24" spans="1:52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</row>
    <row r="25" spans="1:52" s="4" customFormat="1" x14ac:dyDescent="0.2">
      <c r="A25" s="41" t="s">
        <v>1</v>
      </c>
      <c r="B25" s="22"/>
      <c r="C25" s="34">
        <f>SUM(C27:C64)</f>
        <v>13988151.560120001</v>
      </c>
      <c r="D25" s="34"/>
      <c r="E25" s="34">
        <f t="shared" ref="E25:AZ25" si="2">SUM(E26:E65)</f>
        <v>691961.05</v>
      </c>
      <c r="F25" s="34">
        <f t="shared" si="2"/>
        <v>987795.26</v>
      </c>
      <c r="G25" s="34">
        <f t="shared" si="2"/>
        <v>675938.15</v>
      </c>
      <c r="H25" s="34">
        <f t="shared" si="2"/>
        <v>756974.31325000001</v>
      </c>
      <c r="I25" s="34">
        <f t="shared" si="2"/>
        <v>1490000</v>
      </c>
      <c r="J25" s="34">
        <f t="shared" si="2"/>
        <v>0</v>
      </c>
      <c r="K25" s="34">
        <f t="shared" si="2"/>
        <v>5313783.3440000005</v>
      </c>
      <c r="L25" s="34">
        <f t="shared" si="2"/>
        <v>542757.745</v>
      </c>
      <c r="M25" s="34">
        <f t="shared" si="2"/>
        <v>548460.86499999999</v>
      </c>
      <c r="N25" s="34">
        <f t="shared" si="2"/>
        <v>438500.45928571431</v>
      </c>
      <c r="O25" s="34">
        <f t="shared" si="2"/>
        <v>527800.45928571431</v>
      </c>
      <c r="P25" s="34">
        <f t="shared" si="2"/>
        <v>188818.53540000002</v>
      </c>
      <c r="Q25" s="34">
        <f t="shared" si="2"/>
        <v>878889.5</v>
      </c>
      <c r="R25" s="34">
        <f t="shared" si="2"/>
        <v>461656.01428571425</v>
      </c>
      <c r="S25" s="34">
        <f t="shared" si="2"/>
        <v>1011542.7142857143</v>
      </c>
      <c r="T25" s="34">
        <f t="shared" si="2"/>
        <v>261542.71428571429</v>
      </c>
      <c r="U25" s="34">
        <f t="shared" si="2"/>
        <v>760952.71428571432</v>
      </c>
      <c r="V25" s="34">
        <f t="shared" si="2"/>
        <v>621542.71428571432</v>
      </c>
      <c r="W25" s="34">
        <f t="shared" si="2"/>
        <v>940222.79500000004</v>
      </c>
      <c r="X25" s="34">
        <f t="shared" si="2"/>
        <v>0</v>
      </c>
      <c r="Y25" s="34">
        <f t="shared" si="2"/>
        <v>186542.71428571429</v>
      </c>
      <c r="Z25" s="34">
        <f t="shared" si="2"/>
        <v>186542.71428571429</v>
      </c>
      <c r="AA25" s="34">
        <f t="shared" si="2"/>
        <v>515224</v>
      </c>
      <c r="AB25" s="34">
        <f t="shared" si="2"/>
        <v>0</v>
      </c>
      <c r="AC25" s="34">
        <f t="shared" si="2"/>
        <v>0</v>
      </c>
      <c r="AD25" s="34">
        <f t="shared" si="2"/>
        <v>160000</v>
      </c>
      <c r="AE25" s="34">
        <f t="shared" si="2"/>
        <v>2264492.6</v>
      </c>
      <c r="AF25" s="34">
        <f t="shared" si="2"/>
        <v>0</v>
      </c>
      <c r="AG25" s="34">
        <f t="shared" si="2"/>
        <v>0</v>
      </c>
      <c r="AH25" s="34">
        <f t="shared" si="2"/>
        <v>0</v>
      </c>
      <c r="AI25" s="34">
        <f t="shared" si="2"/>
        <v>0</v>
      </c>
      <c r="AJ25" s="34">
        <f t="shared" si="2"/>
        <v>0</v>
      </c>
      <c r="AK25" s="34">
        <f t="shared" si="2"/>
        <v>321857.11</v>
      </c>
      <c r="AL25" s="34">
        <f t="shared" si="2"/>
        <v>0</v>
      </c>
      <c r="AM25" s="34">
        <f t="shared" si="2"/>
        <v>0</v>
      </c>
      <c r="AN25" s="34">
        <f t="shared" si="2"/>
        <v>2000000</v>
      </c>
      <c r="AO25" s="34">
        <f t="shared" si="2"/>
        <v>0</v>
      </c>
      <c r="AP25" s="34">
        <f t="shared" si="2"/>
        <v>0</v>
      </c>
      <c r="AQ25" s="34">
        <f t="shared" si="2"/>
        <v>112000</v>
      </c>
      <c r="AR25" s="34">
        <f t="shared" si="2"/>
        <v>0</v>
      </c>
      <c r="AS25" s="34">
        <f t="shared" si="2"/>
        <v>0</v>
      </c>
      <c r="AT25" s="34">
        <f t="shared" si="2"/>
        <v>515224</v>
      </c>
      <c r="AU25" s="34">
        <f t="shared" si="2"/>
        <v>0</v>
      </c>
      <c r="AV25" s="34">
        <f t="shared" si="2"/>
        <v>0</v>
      </c>
      <c r="AW25" s="34">
        <f t="shared" si="2"/>
        <v>0</v>
      </c>
      <c r="AX25" s="34">
        <f t="shared" si="2"/>
        <v>0</v>
      </c>
      <c r="AY25" s="34">
        <f t="shared" si="2"/>
        <v>0</v>
      </c>
      <c r="AZ25" s="34">
        <f t="shared" si="2"/>
        <v>0</v>
      </c>
    </row>
    <row r="26" spans="1:52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</row>
    <row r="27" spans="1:52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>
        <v>194014.26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</row>
    <row r="28" spans="1:52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</row>
    <row r="29" spans="1:52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>
        <v>1835137</v>
      </c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</row>
    <row r="30" spans="1:52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>
        <v>180947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90">
        <v>2000000</v>
      </c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</row>
    <row r="31" spans="1:52" s="1" customFormat="1" x14ac:dyDescent="0.2">
      <c r="A31" s="36" t="s">
        <v>7</v>
      </c>
      <c r="B31" s="23" t="s">
        <v>8</v>
      </c>
      <c r="C31" s="60"/>
      <c r="D31" s="24"/>
      <c r="E31" s="24"/>
      <c r="F31" s="24">
        <f>643714.22/2</f>
        <v>321857.11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>
        <v>750000</v>
      </c>
      <c r="T31" s="24"/>
      <c r="U31" s="24"/>
      <c r="V31" s="24">
        <v>360000</v>
      </c>
      <c r="W31" s="24"/>
      <c r="X31" s="24"/>
      <c r="Y31" s="24"/>
      <c r="Z31" s="24"/>
      <c r="AA31" s="24"/>
      <c r="AB31" s="24"/>
      <c r="AC31" s="24"/>
      <c r="AD31" s="24"/>
      <c r="AE31" s="24">
        <v>560000</v>
      </c>
      <c r="AF31" s="24"/>
      <c r="AG31" s="24"/>
      <c r="AH31" s="24"/>
      <c r="AI31" s="24"/>
      <c r="AJ31" s="24"/>
      <c r="AK31" s="24">
        <f>643714.22/2</f>
        <v>321857.11</v>
      </c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</row>
    <row r="32" spans="1:52" s="1" customFormat="1" x14ac:dyDescent="0.2">
      <c r="A32" s="36" t="s">
        <v>54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</row>
    <row r="33" spans="1:52" s="1" customFormat="1" x14ac:dyDescent="0.2">
      <c r="A33" s="36" t="s">
        <v>71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>
        <f>30000+10500+3500</f>
        <v>44000</v>
      </c>
      <c r="P33" s="24"/>
      <c r="Q33" s="24"/>
      <c r="R33" s="24">
        <v>200113.3</v>
      </c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</row>
    <row r="34" spans="1:52" s="1" customFormat="1" x14ac:dyDescent="0.2">
      <c r="A34" s="36" t="s">
        <v>53</v>
      </c>
      <c r="B34" s="23"/>
      <c r="C34" s="60"/>
      <c r="D34" s="24"/>
      <c r="E34" s="100">
        <v>51022.9</v>
      </c>
      <c r="F34" s="100">
        <v>25000</v>
      </c>
      <c r="G34" s="100">
        <v>30000</v>
      </c>
      <c r="H34" s="100">
        <v>30000</v>
      </c>
      <c r="I34" s="24"/>
      <c r="J34" s="24"/>
      <c r="K34" s="24"/>
      <c r="L34" s="24"/>
      <c r="M34" s="24"/>
      <c r="N34" s="24"/>
      <c r="O34" s="24"/>
      <c r="P34" s="24"/>
      <c r="Q34" s="24">
        <v>545949.5</v>
      </c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>
        <v>160000</v>
      </c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</row>
    <row r="35" spans="1:52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</row>
    <row r="36" spans="1:52" s="71" customFormat="1" x14ac:dyDescent="0.2">
      <c r="A36" s="69" t="s">
        <v>14</v>
      </c>
      <c r="B36" s="25" t="s">
        <v>30</v>
      </c>
      <c r="C36" s="70">
        <v>700000</v>
      </c>
      <c r="D36" s="24"/>
      <c r="E36" s="95">
        <v>125000</v>
      </c>
      <c r="F36" s="95">
        <v>125000</v>
      </c>
      <c r="G36" s="95">
        <v>125000</v>
      </c>
      <c r="H36" s="95">
        <v>125000</v>
      </c>
      <c r="I36" s="24"/>
      <c r="J36" s="24"/>
      <c r="K36" s="95">
        <v>100000</v>
      </c>
      <c r="L36" s="95">
        <v>100000</v>
      </c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</row>
    <row r="37" spans="1:52" s="71" customFormat="1" x14ac:dyDescent="0.2">
      <c r="A37" s="69" t="s">
        <v>17</v>
      </c>
      <c r="B37" s="25" t="s">
        <v>41</v>
      </c>
      <c r="C37" s="70">
        <v>1750000</v>
      </c>
      <c r="D37" s="24"/>
      <c r="E37" s="95">
        <v>75000</v>
      </c>
      <c r="F37" s="95">
        <v>75000</v>
      </c>
      <c r="G37" s="95">
        <v>75000</v>
      </c>
      <c r="H37" s="95">
        <v>75000</v>
      </c>
      <c r="I37" s="24"/>
      <c r="J37" s="24"/>
      <c r="K37" s="95">
        <v>75000</v>
      </c>
      <c r="L37" s="95">
        <v>75000</v>
      </c>
      <c r="M37" s="95">
        <v>75000</v>
      </c>
      <c r="N37" s="95">
        <v>75000</v>
      </c>
      <c r="O37" s="95">
        <v>75000</v>
      </c>
      <c r="P37" s="24"/>
      <c r="Q37" s="24"/>
      <c r="R37" s="95">
        <v>75000</v>
      </c>
      <c r="S37" s="95">
        <v>75000</v>
      </c>
      <c r="T37" s="95">
        <v>75000</v>
      </c>
      <c r="U37" s="95">
        <v>75000</v>
      </c>
      <c r="V37" s="95">
        <v>75000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</row>
    <row r="38" spans="1:52" s="71" customFormat="1" x14ac:dyDescent="0.2">
      <c r="A38" s="69" t="s">
        <v>15</v>
      </c>
      <c r="B38" s="25" t="s">
        <v>31</v>
      </c>
      <c r="C38" s="70">
        <v>654464</v>
      </c>
      <c r="D38" s="24"/>
      <c r="E38" s="95">
        <v>25000</v>
      </c>
      <c r="F38" s="95">
        <v>25000</v>
      </c>
      <c r="G38" s="95">
        <v>25000</v>
      </c>
      <c r="H38" s="95">
        <v>25000</v>
      </c>
      <c r="I38" s="24"/>
      <c r="J38" s="24"/>
      <c r="K38" s="100">
        <f>515224</f>
        <v>515224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100">
        <v>515224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98">
        <v>515224</v>
      </c>
      <c r="AU38" s="24"/>
      <c r="AV38" s="24"/>
      <c r="AW38" s="24"/>
      <c r="AX38" s="24"/>
      <c r="AY38" s="24"/>
      <c r="AZ38" s="24"/>
    </row>
    <row r="39" spans="1:52" s="71" customFormat="1" x14ac:dyDescent="0.2">
      <c r="A39" s="69" t="s">
        <v>18</v>
      </c>
      <c r="B39" s="25" t="s">
        <v>32</v>
      </c>
      <c r="C39" s="70">
        <v>1200000</v>
      </c>
      <c r="D39" s="24"/>
      <c r="E39" s="95">
        <v>200000</v>
      </c>
      <c r="F39" s="95">
        <v>200000</v>
      </c>
      <c r="G39" s="95">
        <v>200000</v>
      </c>
      <c r="H39" s="95">
        <v>200000</v>
      </c>
      <c r="I39" s="24"/>
      <c r="J39" s="24"/>
      <c r="K39" s="95">
        <v>200000</v>
      </c>
      <c r="L39" s="95">
        <v>100000</v>
      </c>
      <c r="M39" s="95">
        <v>100000</v>
      </c>
      <c r="N39" s="28"/>
      <c r="O39" s="28"/>
      <c r="P39" s="28"/>
      <c r="Q39" s="28"/>
      <c r="R39" s="28"/>
      <c r="S39" s="28"/>
      <c r="T39" s="28"/>
      <c r="U39" s="28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</row>
    <row r="40" spans="1:52" s="73" customFormat="1" x14ac:dyDescent="0.2">
      <c r="A40" s="69" t="s">
        <v>21</v>
      </c>
      <c r="B40" s="25" t="s">
        <v>45</v>
      </c>
      <c r="C40" s="70">
        <v>1305799</v>
      </c>
      <c r="D40" s="72"/>
      <c r="E40" s="28"/>
      <c r="F40" s="28"/>
      <c r="G40" s="28"/>
      <c r="H40" s="72"/>
      <c r="I40" s="72"/>
      <c r="J40" s="72"/>
      <c r="K40" s="28"/>
      <c r="L40" s="28"/>
      <c r="M40" s="28"/>
      <c r="N40" s="95">
        <f>1305799/7</f>
        <v>186542.71428571429</v>
      </c>
      <c r="O40" s="95">
        <f>1305799/7</f>
        <v>186542.71428571429</v>
      </c>
      <c r="P40" s="24"/>
      <c r="Q40" s="24"/>
      <c r="R40" s="95">
        <f>1305799/7</f>
        <v>186542.71428571429</v>
      </c>
      <c r="S40" s="95">
        <f>1305799/7</f>
        <v>186542.71428571429</v>
      </c>
      <c r="T40" s="95">
        <f>1305799/7</f>
        <v>186542.71428571429</v>
      </c>
      <c r="U40" s="95">
        <f>1305799/7</f>
        <v>186542.71428571429</v>
      </c>
      <c r="V40" s="95">
        <f>1305799/7</f>
        <v>186542.71428571429</v>
      </c>
      <c r="W40" s="24"/>
      <c r="X40" s="24"/>
      <c r="Y40" s="95">
        <f>1305799/7</f>
        <v>186542.71428571429</v>
      </c>
      <c r="Z40" s="95">
        <f>1305799/7</f>
        <v>186542.71428571429</v>
      </c>
      <c r="AA40" s="24"/>
      <c r="AB40" s="24"/>
      <c r="AC40" s="24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</row>
    <row r="41" spans="1:52" s="71" customFormat="1" x14ac:dyDescent="0.2">
      <c r="A41" s="69" t="s">
        <v>19</v>
      </c>
      <c r="B41" s="25" t="s">
        <v>46</v>
      </c>
      <c r="C41" s="70">
        <v>1136716.8</v>
      </c>
      <c r="D41" s="24"/>
      <c r="E41" s="95">
        <v>50000</v>
      </c>
      <c r="F41" s="95">
        <v>50000</v>
      </c>
      <c r="G41" s="95">
        <v>50000</v>
      </c>
      <c r="H41" s="95">
        <v>50000</v>
      </c>
      <c r="I41" s="24"/>
      <c r="J41" s="24"/>
      <c r="K41" s="95">
        <v>50000</v>
      </c>
      <c r="L41" s="95">
        <v>50000</v>
      </c>
      <c r="M41" s="95">
        <v>50000</v>
      </c>
      <c r="N41" s="95">
        <v>50000</v>
      </c>
      <c r="O41" s="95">
        <v>50000</v>
      </c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</row>
    <row r="42" spans="1:52" s="71" customFormat="1" x14ac:dyDescent="0.2">
      <c r="A42" s="69" t="s">
        <v>16</v>
      </c>
      <c r="B42" s="25" t="s">
        <v>32</v>
      </c>
      <c r="C42" s="70">
        <v>331200</v>
      </c>
      <c r="D42" s="24"/>
      <c r="E42" s="95">
        <v>50000</v>
      </c>
      <c r="F42" s="95">
        <v>50000</v>
      </c>
      <c r="G42" s="95">
        <v>50000</v>
      </c>
      <c r="H42" s="95">
        <v>50000</v>
      </c>
      <c r="I42" s="24"/>
      <c r="J42" s="24"/>
      <c r="K42" s="98">
        <v>665880</v>
      </c>
      <c r="L42" s="95">
        <v>32800</v>
      </c>
      <c r="M42" s="95">
        <v>32800</v>
      </c>
      <c r="N42" s="95">
        <v>32800</v>
      </c>
      <c r="O42" s="95">
        <v>32800</v>
      </c>
      <c r="P42" s="24"/>
      <c r="Q42" s="98">
        <v>332940</v>
      </c>
      <c r="R42" s="24"/>
      <c r="S42" s="24"/>
      <c r="T42" s="24"/>
      <c r="U42" s="98">
        <v>499410</v>
      </c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</row>
    <row r="43" spans="1:52" s="71" customFormat="1" x14ac:dyDescent="0.2">
      <c r="A43" s="69" t="s">
        <v>85</v>
      </c>
      <c r="B43" s="25" t="s">
        <v>47</v>
      </c>
      <c r="C43" s="70">
        <f>5000*A6</f>
        <v>409381.5</v>
      </c>
      <c r="D43" s="24"/>
      <c r="E43" s="95">
        <f>500*$A$6</f>
        <v>40938.15</v>
      </c>
      <c r="F43" s="95">
        <f>500*$A$6</f>
        <v>40938.15</v>
      </c>
      <c r="G43" s="95">
        <f>500*$A$6</f>
        <v>40938.15</v>
      </c>
      <c r="H43" s="95">
        <f>500*$A$6</f>
        <v>40938.15</v>
      </c>
      <c r="I43" s="24"/>
      <c r="J43" s="24"/>
      <c r="K43" s="95">
        <f>500*$A$6</f>
        <v>40938.15</v>
      </c>
      <c r="L43" s="95">
        <f>500*$A$6</f>
        <v>40938.15</v>
      </c>
      <c r="M43" s="95">
        <f>500*$A$6</f>
        <v>40938.15</v>
      </c>
      <c r="N43" s="95">
        <f>500*$A$6</f>
        <v>40938.15</v>
      </c>
      <c r="O43" s="95">
        <f>500*$A$6</f>
        <v>40938.15</v>
      </c>
      <c r="P43" s="24"/>
      <c r="Q43" s="24"/>
      <c r="R43" s="24"/>
      <c r="S43" s="24"/>
      <c r="T43" s="24"/>
      <c r="U43" s="24"/>
      <c r="V43" s="24"/>
      <c r="W43" s="100">
        <v>218623.78</v>
      </c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</row>
    <row r="44" spans="1:52" s="73" customFormat="1" x14ac:dyDescent="0.2">
      <c r="A44" s="69" t="s">
        <v>22</v>
      </c>
      <c r="B44" s="25" t="s">
        <v>48</v>
      </c>
      <c r="C44" s="75"/>
      <c r="D44" s="72"/>
      <c r="E44" s="72"/>
      <c r="F44" s="72"/>
      <c r="G44" s="72"/>
      <c r="H44" s="72"/>
      <c r="I44" s="72"/>
      <c r="J44" s="72"/>
      <c r="K44" s="24"/>
      <c r="L44" s="24"/>
      <c r="M44" s="24"/>
      <c r="N44" s="24"/>
      <c r="O44" s="24"/>
      <c r="P44" s="100">
        <f>15906*A9</f>
        <v>188818.53540000002</v>
      </c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</row>
    <row r="45" spans="1:52" s="71" customFormat="1" x14ac:dyDescent="0.2">
      <c r="A45" s="69" t="s">
        <v>36</v>
      </c>
      <c r="B45" s="25" t="s">
        <v>37</v>
      </c>
      <c r="C45" s="70"/>
      <c r="D45" s="24"/>
      <c r="E45" s="100">
        <v>25000</v>
      </c>
      <c r="F45" s="100">
        <v>25000</v>
      </c>
      <c r="G45" s="100">
        <v>25000</v>
      </c>
      <c r="H45" s="103">
        <f>2577.5*$A$6-E45-F45-G45</f>
        <v>136036.16325000001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</row>
    <row r="46" spans="1:52" s="71" customFormat="1" x14ac:dyDescent="0.2">
      <c r="A46" s="69" t="s">
        <v>86</v>
      </c>
      <c r="B46" s="25" t="s">
        <v>35</v>
      </c>
      <c r="C46" s="70">
        <f>3250*$A$6</f>
        <v>266097.97499999998</v>
      </c>
      <c r="D46" s="77"/>
      <c r="E46" s="24"/>
      <c r="F46" s="28"/>
      <c r="G46" s="24"/>
      <c r="H46" s="24"/>
      <c r="I46" s="24"/>
      <c r="J46" s="24"/>
      <c r="K46" s="95">
        <f>$C$46/5</f>
        <v>53219.594999999994</v>
      </c>
      <c r="L46" s="95">
        <f>$C$46/5</f>
        <v>53219.594999999994</v>
      </c>
      <c r="M46" s="108">
        <f>$C$46/5+2400*A6</f>
        <v>249722.715</v>
      </c>
      <c r="N46" s="95">
        <f>$C$46/5</f>
        <v>53219.594999999994</v>
      </c>
      <c r="O46" s="95">
        <f>$C$46/5</f>
        <v>53219.594999999994</v>
      </c>
      <c r="P46" s="24"/>
      <c r="Q46" s="24"/>
      <c r="R46" s="24"/>
      <c r="S46" s="24"/>
      <c r="T46" s="24"/>
      <c r="U46" s="24"/>
      <c r="V46" s="24"/>
      <c r="W46" s="100">
        <f>4050*A6</f>
        <v>331599.01500000001</v>
      </c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</row>
    <row r="47" spans="1:52" s="71" customFormat="1" x14ac:dyDescent="0.2">
      <c r="A47" s="69" t="s">
        <v>78</v>
      </c>
      <c r="B47" s="25" t="s">
        <v>79</v>
      </c>
      <c r="C47" s="70"/>
      <c r="D47" s="77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</row>
    <row r="48" spans="1:52" s="71" customFormat="1" x14ac:dyDescent="0.2">
      <c r="A48" s="69" t="s">
        <v>29</v>
      </c>
      <c r="B48" s="25" t="s">
        <v>42</v>
      </c>
      <c r="C48" s="70">
        <v>20000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</row>
    <row r="49" spans="1:52" s="71" customFormat="1" x14ac:dyDescent="0.2">
      <c r="A49" s="69" t="s">
        <v>29</v>
      </c>
      <c r="B49" s="25" t="s">
        <v>43</v>
      </c>
      <c r="C49" s="70">
        <v>439750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</row>
    <row r="50" spans="1:52" s="71" customFormat="1" x14ac:dyDescent="0.2">
      <c r="A50" s="69" t="s">
        <v>29</v>
      </c>
      <c r="B50" s="25" t="s">
        <v>55</v>
      </c>
      <c r="C50" s="76">
        <f>3530*A6</f>
        <v>289023.33899999998</v>
      </c>
      <c r="D50" s="24"/>
      <c r="E50" s="95">
        <v>25000</v>
      </c>
      <c r="F50" s="95">
        <v>25000</v>
      </c>
      <c r="G50" s="95">
        <v>25000</v>
      </c>
      <c r="H50" s="95">
        <v>25000</v>
      </c>
      <c r="I50" s="24"/>
      <c r="J50" s="24"/>
      <c r="K50" s="95">
        <f>C50-E50-F50-G50-H50</f>
        <v>189023.33899999998</v>
      </c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</row>
    <row r="51" spans="1:52" s="71" customFormat="1" x14ac:dyDescent="0.2">
      <c r="A51" s="69" t="s">
        <v>40</v>
      </c>
      <c r="B51" s="25" t="s">
        <v>44</v>
      </c>
      <c r="C51" s="70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</row>
    <row r="52" spans="1:52" s="71" customFormat="1" x14ac:dyDescent="0.2">
      <c r="A52" s="69" t="s">
        <v>34</v>
      </c>
      <c r="B52" s="25" t="s">
        <v>45</v>
      </c>
      <c r="C52" s="70"/>
      <c r="D52" s="77"/>
      <c r="E52" s="24"/>
      <c r="F52" s="24"/>
      <c r="G52" s="24"/>
      <c r="I52" s="24"/>
      <c r="J52" s="24"/>
      <c r="K52" s="106">
        <v>1214400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</row>
    <row r="53" spans="1:52" s="71" customFormat="1" x14ac:dyDescent="0.2">
      <c r="A53" s="69" t="s">
        <v>81</v>
      </c>
      <c r="B53" s="25" t="s">
        <v>82</v>
      </c>
      <c r="C53" s="70"/>
      <c r="D53" s="77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</row>
    <row r="54" spans="1:52" s="71" customFormat="1" x14ac:dyDescent="0.2">
      <c r="A54" s="69" t="s">
        <v>38</v>
      </c>
      <c r="B54" s="25" t="s">
        <v>39</v>
      </c>
      <c r="C54" s="70"/>
      <c r="D54" s="24"/>
      <c r="E54" s="100">
        <v>25000</v>
      </c>
      <c r="F54" s="100">
        <v>25000</v>
      </c>
      <c r="G54" s="100">
        <v>30000</v>
      </c>
      <c r="H54" s="24"/>
      <c r="I54" s="24"/>
      <c r="J54" s="24"/>
      <c r="K54" s="24"/>
      <c r="L54" s="100">
        <v>90800</v>
      </c>
      <c r="M54" s="24"/>
      <c r="N54" s="24"/>
      <c r="O54" s="100">
        <v>45300</v>
      </c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</row>
    <row r="55" spans="1:52" s="71" customFormat="1" x14ac:dyDescent="0.2">
      <c r="A55" s="69" t="s">
        <v>74</v>
      </c>
      <c r="B55" s="25" t="s">
        <v>83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98">
        <v>104492.6</v>
      </c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</row>
    <row r="56" spans="1:52" s="73" customFormat="1" ht="2.25" customHeight="1" x14ac:dyDescent="0.2">
      <c r="A56" s="78"/>
      <c r="B56" s="79"/>
      <c r="C56" s="75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</row>
    <row r="57" spans="1:52" s="94" customFormat="1" ht="33.75" x14ac:dyDescent="0.2">
      <c r="A57" s="91" t="s">
        <v>60</v>
      </c>
      <c r="B57" s="92" t="s">
        <v>58</v>
      </c>
      <c r="C57" s="93">
        <v>248639.70012000017</v>
      </c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</row>
    <row r="58" spans="1:52" s="94" customFormat="1" ht="33.75" x14ac:dyDescent="0.2">
      <c r="A58" s="91" t="s">
        <v>60</v>
      </c>
      <c r="B58" s="92" t="s">
        <v>59</v>
      </c>
      <c r="C58" s="93">
        <v>0</v>
      </c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  <c r="AZ58" s="93"/>
    </row>
    <row r="59" spans="1:52" s="5" customFormat="1" ht="2.25" customHeight="1" x14ac:dyDescent="0.2">
      <c r="A59" s="42"/>
      <c r="B59" s="12"/>
      <c r="C59" s="68"/>
      <c r="D59" s="2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</row>
    <row r="60" spans="1:52" s="5" customFormat="1" x14ac:dyDescent="0.2">
      <c r="A60" s="36" t="s">
        <v>49</v>
      </c>
      <c r="B60" s="12"/>
      <c r="C60" s="13">
        <v>1600000</v>
      </c>
      <c r="D60" s="26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>
        <v>1600000</v>
      </c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</row>
    <row r="61" spans="1:52" s="5" customFormat="1" x14ac:dyDescent="0.2">
      <c r="A61" s="36" t="s">
        <v>57</v>
      </c>
      <c r="B61" s="12"/>
      <c r="C61" s="68"/>
      <c r="D61" s="26"/>
      <c r="E61" s="13"/>
      <c r="F61" s="13"/>
      <c r="G61" s="13"/>
      <c r="H61" s="13"/>
      <c r="I61" s="13">
        <v>1490000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</row>
    <row r="62" spans="1:52" s="5" customFormat="1" x14ac:dyDescent="0.2">
      <c r="A62" s="36" t="s">
        <v>61</v>
      </c>
      <c r="B62" s="12"/>
      <c r="C62" s="68"/>
      <c r="D62" s="26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>
        <v>390000</v>
      </c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>
        <v>112000</v>
      </c>
      <c r="AR62" s="13"/>
      <c r="AS62" s="13"/>
      <c r="AT62" s="13"/>
      <c r="AU62" s="13"/>
      <c r="AV62" s="13"/>
      <c r="AW62" s="13"/>
      <c r="AX62" s="13"/>
      <c r="AY62" s="13"/>
      <c r="AZ62" s="13"/>
    </row>
    <row r="63" spans="1:52" s="5" customFormat="1" ht="2.25" customHeight="1" x14ac:dyDescent="0.2">
      <c r="A63" s="42"/>
      <c r="B63" s="12"/>
      <c r="C63" s="68"/>
      <c r="D63" s="26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</row>
    <row r="64" spans="1:52" s="5" customFormat="1" x14ac:dyDescent="0.2">
      <c r="A64" s="36" t="s">
        <v>72</v>
      </c>
      <c r="B64" s="27" t="s">
        <v>73</v>
      </c>
      <c r="C64" s="62">
        <v>3637079.2460000003</v>
      </c>
      <c r="D64" s="35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</row>
    <row r="65" spans="1:52" s="5" customFormat="1" ht="2.25" customHeight="1" x14ac:dyDescent="0.2">
      <c r="A65" s="42"/>
      <c r="B65" s="12"/>
      <c r="C65" s="61"/>
      <c r="D65" s="26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</row>
    <row r="66" spans="1:52" s="84" customFormat="1" x14ac:dyDescent="0.2">
      <c r="A66" s="81" t="s">
        <v>66</v>
      </c>
      <c r="B66" s="82"/>
      <c r="C66" s="63"/>
      <c r="D66" s="83"/>
      <c r="E66" s="83">
        <f>$C$5+E16-E25</f>
        <v>3738839.1500000004</v>
      </c>
      <c r="F66" s="83">
        <f t="shared" ref="F66:AZ66" si="3">E66+F16-F25</f>
        <v>2751043.8900000006</v>
      </c>
      <c r="G66" s="83">
        <f t="shared" si="3"/>
        <v>2075105.7400000007</v>
      </c>
      <c r="H66" s="83">
        <f t="shared" si="3"/>
        <v>1318131.4267500006</v>
      </c>
      <c r="I66" s="83">
        <f t="shared" si="3"/>
        <v>4703131.4267500006</v>
      </c>
      <c r="J66" s="83">
        <f t="shared" si="3"/>
        <v>7703131.4267500006</v>
      </c>
      <c r="K66" s="83">
        <f t="shared" si="3"/>
        <v>2389348.0827500001</v>
      </c>
      <c r="L66" s="83">
        <f t="shared" si="3"/>
        <v>1846590.3377499999</v>
      </c>
      <c r="M66" s="83">
        <f t="shared" si="3"/>
        <v>1298129.47275</v>
      </c>
      <c r="N66" s="83">
        <f t="shared" si="3"/>
        <v>859629.01346428564</v>
      </c>
      <c r="O66" s="83">
        <f t="shared" si="3"/>
        <v>331828.55417857133</v>
      </c>
      <c r="P66" s="83">
        <f t="shared" si="3"/>
        <v>143010.01877857131</v>
      </c>
      <c r="Q66" s="83">
        <f t="shared" si="3"/>
        <v>-735879.48122142872</v>
      </c>
      <c r="R66" s="83">
        <f t="shared" si="3"/>
        <v>-1197535.495507143</v>
      </c>
      <c r="S66" s="83">
        <f t="shared" si="3"/>
        <v>-2209078.2097928571</v>
      </c>
      <c r="T66" s="83">
        <f t="shared" si="3"/>
        <v>-2470620.9240785711</v>
      </c>
      <c r="U66" s="83">
        <f t="shared" si="3"/>
        <v>-3231573.6383642852</v>
      </c>
      <c r="V66" s="83">
        <f t="shared" si="3"/>
        <v>-3853116.3526499998</v>
      </c>
      <c r="W66" s="83">
        <f t="shared" si="3"/>
        <v>-4793339.1476499997</v>
      </c>
      <c r="X66" s="83">
        <f t="shared" si="3"/>
        <v>-4793339.1476499997</v>
      </c>
      <c r="Y66" s="83">
        <f t="shared" si="3"/>
        <v>-4979881.8619357143</v>
      </c>
      <c r="Z66" s="83">
        <f t="shared" si="3"/>
        <v>-5166424.5762214288</v>
      </c>
      <c r="AA66" s="83">
        <f t="shared" si="3"/>
        <v>-5681648.5762214288</v>
      </c>
      <c r="AB66" s="83">
        <f t="shared" si="3"/>
        <v>-5681648.5762214288</v>
      </c>
      <c r="AC66" s="83">
        <f t="shared" si="3"/>
        <v>-5681648.5762214288</v>
      </c>
      <c r="AD66" s="83">
        <f t="shared" si="3"/>
        <v>-5841648.5762214288</v>
      </c>
      <c r="AE66" s="83">
        <f t="shared" si="3"/>
        <v>432951.20649857027</v>
      </c>
      <c r="AF66" s="83">
        <f t="shared" si="3"/>
        <v>432951.20649857027</v>
      </c>
      <c r="AG66" s="83">
        <f t="shared" si="3"/>
        <v>432951.20649857027</v>
      </c>
      <c r="AH66" s="83">
        <f t="shared" si="3"/>
        <v>432951.20649857027</v>
      </c>
      <c r="AI66" s="83">
        <f t="shared" si="3"/>
        <v>432951.20649857027</v>
      </c>
      <c r="AJ66" s="83">
        <f t="shared" si="3"/>
        <v>432951.20649857027</v>
      </c>
      <c r="AK66" s="83">
        <f t="shared" si="3"/>
        <v>111094.09649857029</v>
      </c>
      <c r="AL66" s="83">
        <f t="shared" si="3"/>
        <v>111094.09649857029</v>
      </c>
      <c r="AM66" s="83">
        <f t="shared" si="3"/>
        <v>111094.09649857029</v>
      </c>
      <c r="AN66" s="83">
        <f t="shared" si="3"/>
        <v>-1888905.9035014296</v>
      </c>
      <c r="AO66" s="83">
        <f t="shared" si="3"/>
        <v>-1888905.9035014296</v>
      </c>
      <c r="AP66" s="83">
        <f t="shared" si="3"/>
        <v>-1888905.9035014296</v>
      </c>
      <c r="AQ66" s="83">
        <f t="shared" si="3"/>
        <v>-2000905.9035014296</v>
      </c>
      <c r="AR66" s="83">
        <f t="shared" si="3"/>
        <v>5036594.0964985704</v>
      </c>
      <c r="AS66" s="83">
        <f t="shared" si="3"/>
        <v>5036594.0964985704</v>
      </c>
      <c r="AT66" s="83">
        <f t="shared" si="3"/>
        <v>4521370.0964985704</v>
      </c>
      <c r="AU66" s="83">
        <f t="shared" si="3"/>
        <v>4521370.0964985704</v>
      </c>
      <c r="AV66" s="83">
        <f t="shared" si="3"/>
        <v>4521370.0964985704</v>
      </c>
      <c r="AW66" s="83">
        <f t="shared" si="3"/>
        <v>4521370.0964985704</v>
      </c>
      <c r="AX66" s="83">
        <f t="shared" si="3"/>
        <v>4521370.0964985704</v>
      </c>
      <c r="AY66" s="83">
        <f t="shared" si="3"/>
        <v>4521370.0964985704</v>
      </c>
      <c r="AZ66" s="83">
        <f t="shared" si="3"/>
        <v>4521370.0964985704</v>
      </c>
    </row>
    <row r="68" spans="1:52" s="5" customFormat="1" ht="2.25" customHeight="1" x14ac:dyDescent="0.2">
      <c r="A68" s="42"/>
      <c r="B68" s="12"/>
      <c r="C68" s="68"/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</row>
    <row r="69" spans="1:52" s="89" customFormat="1" ht="11.25" customHeight="1" x14ac:dyDescent="0.2">
      <c r="A69" s="85" t="s">
        <v>65</v>
      </c>
      <c r="B69" s="86"/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</row>
    <row r="70" spans="1:52" s="5" customFormat="1" ht="22.5" x14ac:dyDescent="0.2">
      <c r="A70" s="36" t="s">
        <v>67</v>
      </c>
      <c r="B70" s="27" t="s">
        <v>68</v>
      </c>
      <c r="C70" s="68">
        <v>3221210.79</v>
      </c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</row>
    <row r="71" spans="1:52" s="5" customFormat="1" x14ac:dyDescent="0.2">
      <c r="A71" s="36" t="s">
        <v>69</v>
      </c>
      <c r="B71" s="27" t="s">
        <v>70</v>
      </c>
      <c r="C71" s="68">
        <v>9814338.4000000004</v>
      </c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</row>
    <row r="72" spans="1:52" s="5" customFormat="1" x14ac:dyDescent="0.2">
      <c r="A72" s="36"/>
      <c r="B72" s="27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</row>
    <row r="73" spans="1:52" s="5" customFormat="1" x14ac:dyDescent="0.2">
      <c r="A73" s="36"/>
      <c r="B73" s="27"/>
      <c r="C73" s="68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</row>
    <row r="75" spans="1:52" x14ac:dyDescent="0.25">
      <c r="B75" s="14"/>
    </row>
  </sheetData>
  <pageMargins left="0.7" right="0.7" top="0.75" bottom="0.75" header="0.3" footer="0.3"/>
  <pageSetup paperSize="9" orientation="portrait" r:id="rId1"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75"/>
  <sheetViews>
    <sheetView topLeftCell="A4" workbookViewId="0">
      <selection activeCell="F35" sqref="F35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4" width="10.85546875" style="3" bestFit="1" customWidth="1"/>
    <col min="15" max="20" width="11.7109375" style="3" bestFit="1" customWidth="1"/>
    <col min="21" max="23" width="11.7109375" style="3" customWidth="1"/>
    <col min="24" max="31" width="11.7109375" style="3" bestFit="1" customWidth="1"/>
    <col min="32" max="53" width="10.85546875" style="3" bestFit="1" customWidth="1"/>
    <col min="54" max="16384" width="9" style="3"/>
  </cols>
  <sheetData>
    <row r="1" spans="1:53" ht="12" thickBot="1" x14ac:dyDescent="0.3"/>
    <row r="2" spans="1:53" s="1" customFormat="1" x14ac:dyDescent="0.2">
      <c r="A2" s="43" t="s">
        <v>50</v>
      </c>
      <c r="B2" s="15" t="s">
        <v>27</v>
      </c>
      <c r="C2" s="50">
        <v>5143034.75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53" s="1" customFormat="1" ht="12" thickBot="1" x14ac:dyDescent="0.25">
      <c r="A3" s="44">
        <v>97.288600000000002</v>
      </c>
      <c r="B3" s="15" t="s">
        <v>28</v>
      </c>
      <c r="C3" s="50">
        <v>10778.95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53" s="8" customFormat="1" ht="12" thickBot="1" x14ac:dyDescent="0.25">
      <c r="A4" s="45"/>
      <c r="B4" s="15" t="s">
        <v>25</v>
      </c>
      <c r="C4" s="51">
        <v>0</v>
      </c>
    </row>
    <row r="5" spans="1:53" s="6" customFormat="1" x14ac:dyDescent="0.2">
      <c r="A5" s="43" t="s">
        <v>51</v>
      </c>
      <c r="B5" s="49" t="s">
        <v>26</v>
      </c>
      <c r="C5" s="52">
        <f>SUM(C2:C4)</f>
        <v>5153813.7</v>
      </c>
    </row>
    <row r="6" spans="1:53" s="6" customFormat="1" ht="12" thickBot="1" x14ac:dyDescent="0.25">
      <c r="A6" s="44">
        <v>83.998199999999997</v>
      </c>
      <c r="B6" s="16"/>
      <c r="C6" s="53"/>
      <c r="D6" s="17"/>
    </row>
    <row r="7" spans="1:53" s="6" customFormat="1" ht="12" thickBot="1" x14ac:dyDescent="0.25">
      <c r="A7" s="105" t="s">
        <v>51</v>
      </c>
      <c r="B7" s="18" t="s">
        <v>62</v>
      </c>
      <c r="C7" s="54">
        <f>SUM(E16:BA16)</f>
        <v>23682561.389279999</v>
      </c>
    </row>
    <row r="8" spans="1:53" x14ac:dyDescent="0.25">
      <c r="A8" s="43" t="s">
        <v>52</v>
      </c>
      <c r="B8" s="18" t="s">
        <v>84</v>
      </c>
      <c r="C8" s="54">
        <f>SUM(E25:BA25)</f>
        <v>23768733.849099997</v>
      </c>
    </row>
    <row r="9" spans="1:53" ht="12" thickBot="1" x14ac:dyDescent="0.3">
      <c r="A9" s="44">
        <v>12.2171</v>
      </c>
      <c r="B9" s="19" t="s">
        <v>64</v>
      </c>
      <c r="C9" s="55">
        <f>C5+C7-C8-C11</f>
        <v>-9598148.6519399993</v>
      </c>
    </row>
    <row r="10" spans="1:53" x14ac:dyDescent="0.25">
      <c r="A10" s="99" t="s">
        <v>80</v>
      </c>
      <c r="B10" s="18" t="s">
        <v>23</v>
      </c>
      <c r="C10" s="56">
        <f>C16</f>
        <v>0</v>
      </c>
    </row>
    <row r="11" spans="1:53" x14ac:dyDescent="0.25">
      <c r="A11" s="101" t="s">
        <v>87</v>
      </c>
      <c r="B11" s="18" t="s">
        <v>24</v>
      </c>
      <c r="C11" s="54">
        <f>C25</f>
        <v>14665789.89212</v>
      </c>
    </row>
    <row r="12" spans="1:53" x14ac:dyDescent="0.25">
      <c r="A12" s="107" t="s">
        <v>88</v>
      </c>
    </row>
    <row r="13" spans="1:53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 spans="1:53" s="2" customFormat="1" x14ac:dyDescent="0.25">
      <c r="A14" s="64"/>
      <c r="B14" s="65"/>
      <c r="C14" s="58" t="s">
        <v>56</v>
      </c>
      <c r="D14" s="66"/>
      <c r="E14" s="66">
        <v>46104</v>
      </c>
      <c r="F14" s="66">
        <v>46105</v>
      </c>
      <c r="G14" s="66">
        <v>46106</v>
      </c>
      <c r="H14" s="66">
        <v>46107</v>
      </c>
      <c r="I14" s="66">
        <v>46108</v>
      </c>
      <c r="J14" s="66">
        <v>46109</v>
      </c>
      <c r="K14" s="66">
        <v>46110</v>
      </c>
      <c r="L14" s="66">
        <v>46111</v>
      </c>
      <c r="M14" s="66">
        <v>46112</v>
      </c>
      <c r="N14" s="66">
        <v>46113</v>
      </c>
      <c r="O14" s="66">
        <v>46114</v>
      </c>
      <c r="P14" s="66">
        <v>46115</v>
      </c>
      <c r="Q14" s="66">
        <v>46116</v>
      </c>
      <c r="R14" s="66">
        <v>46117</v>
      </c>
      <c r="S14" s="66">
        <v>46118</v>
      </c>
      <c r="T14" s="66">
        <v>46119</v>
      </c>
      <c r="U14" s="66">
        <v>46120</v>
      </c>
      <c r="V14" s="66">
        <v>46121</v>
      </c>
      <c r="W14" s="66">
        <v>46122</v>
      </c>
      <c r="X14" s="66">
        <v>46123</v>
      </c>
      <c r="Y14" s="66">
        <v>46124</v>
      </c>
      <c r="Z14" s="66">
        <v>46125</v>
      </c>
      <c r="AA14" s="66">
        <v>46126</v>
      </c>
      <c r="AB14" s="66">
        <v>46127</v>
      </c>
      <c r="AC14" s="66">
        <v>46128</v>
      </c>
      <c r="AD14" s="66">
        <v>46129</v>
      </c>
      <c r="AE14" s="66">
        <v>46130</v>
      </c>
      <c r="AF14" s="66">
        <v>46131</v>
      </c>
      <c r="AG14" s="66">
        <v>46132</v>
      </c>
      <c r="AH14" s="66">
        <v>46133</v>
      </c>
      <c r="AI14" s="66">
        <v>46134</v>
      </c>
      <c r="AJ14" s="66">
        <v>46135</v>
      </c>
      <c r="AK14" s="66">
        <v>46136</v>
      </c>
      <c r="AL14" s="66">
        <v>46137</v>
      </c>
      <c r="AM14" s="66">
        <v>46138</v>
      </c>
      <c r="AN14" s="66">
        <v>46139</v>
      </c>
      <c r="AO14" s="66">
        <v>46140</v>
      </c>
      <c r="AP14" s="66">
        <v>46141</v>
      </c>
      <c r="AQ14" s="66">
        <v>46142</v>
      </c>
      <c r="AR14" s="66">
        <v>46143</v>
      </c>
      <c r="AS14" s="66">
        <v>46144</v>
      </c>
      <c r="AT14" s="66">
        <v>46145</v>
      </c>
      <c r="AU14" s="66">
        <v>46146</v>
      </c>
      <c r="AV14" s="66">
        <v>46147</v>
      </c>
      <c r="AW14" s="66">
        <v>46148</v>
      </c>
      <c r="AX14" s="66">
        <v>46149</v>
      </c>
      <c r="AY14" s="66">
        <v>46150</v>
      </c>
      <c r="AZ14" s="66">
        <v>46151</v>
      </c>
      <c r="BA14" s="66">
        <v>46152</v>
      </c>
    </row>
    <row r="15" spans="1:53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</row>
    <row r="16" spans="1:53" s="2" customFormat="1" x14ac:dyDescent="0.25">
      <c r="A16" s="39" t="s">
        <v>0</v>
      </c>
      <c r="B16" s="20"/>
      <c r="C16" s="29">
        <v>0</v>
      </c>
      <c r="D16" s="29"/>
      <c r="E16" s="29">
        <f t="shared" ref="E16:AF16" si="0">SUM(E17:E24)</f>
        <v>0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29">
        <f t="shared" si="0"/>
        <v>0</v>
      </c>
      <c r="J16" s="29">
        <f t="shared" si="0"/>
        <v>4875000</v>
      </c>
      <c r="K16" s="29">
        <f t="shared" si="0"/>
        <v>3000000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0</v>
      </c>
      <c r="AF16" s="29">
        <f t="shared" si="0"/>
        <v>8770061.3892800007</v>
      </c>
      <c r="AG16" s="29">
        <f t="shared" ref="AG16:BA16" si="1">SUM(AG17:AG24)</f>
        <v>0</v>
      </c>
      <c r="AH16" s="29">
        <f t="shared" si="1"/>
        <v>0</v>
      </c>
      <c r="AI16" s="29">
        <f t="shared" si="1"/>
        <v>0</v>
      </c>
      <c r="AJ16" s="29">
        <f t="shared" si="1"/>
        <v>0</v>
      </c>
      <c r="AK16" s="29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29">
        <f t="shared" si="1"/>
        <v>0</v>
      </c>
      <c r="AR16" s="29">
        <f t="shared" si="1"/>
        <v>0</v>
      </c>
      <c r="AS16" s="29">
        <f t="shared" si="1"/>
        <v>7037500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29">
        <f t="shared" si="1"/>
        <v>0</v>
      </c>
      <c r="AX16" s="29">
        <f t="shared" si="1"/>
        <v>0</v>
      </c>
      <c r="AY16" s="29">
        <f t="shared" si="1"/>
        <v>0</v>
      </c>
      <c r="AZ16" s="29">
        <f t="shared" si="1"/>
        <v>0</v>
      </c>
      <c r="BA16" s="29">
        <f t="shared" si="1"/>
        <v>0</v>
      </c>
    </row>
    <row r="17" spans="1:53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</row>
    <row r="18" spans="1:53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>
        <v>3000000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</row>
    <row r="19" spans="1:53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</row>
    <row r="20" spans="1:53" s="80" customFormat="1" ht="13.5" customHeight="1" x14ac:dyDescent="0.25">
      <c r="A20" s="40" t="s">
        <v>12</v>
      </c>
      <c r="B20" s="21"/>
      <c r="C20" s="59"/>
      <c r="D20" s="30"/>
      <c r="E20" s="30"/>
      <c r="F20" s="30"/>
      <c r="G20" s="30"/>
      <c r="H20" s="30"/>
      <c r="I20" s="30"/>
      <c r="J20" s="32">
        <v>4875000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>
        <v>7037500</v>
      </c>
      <c r="AT20" s="30"/>
      <c r="AU20" s="30"/>
      <c r="AV20" s="30"/>
      <c r="AW20" s="30"/>
      <c r="AX20" s="30"/>
      <c r="AY20" s="30"/>
      <c r="AZ20" s="30"/>
      <c r="BA20" s="30"/>
    </row>
    <row r="21" spans="1:53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2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</row>
    <row r="22" spans="1:53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3">
        <f>90144.8*A3</f>
        <v>8770061.3892800007</v>
      </c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</row>
    <row r="23" spans="1:53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</row>
    <row r="24" spans="1:53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</row>
    <row r="25" spans="1:53" s="4" customFormat="1" x14ac:dyDescent="0.2">
      <c r="A25" s="41" t="s">
        <v>1</v>
      </c>
      <c r="B25" s="22"/>
      <c r="C25" s="34">
        <f>SUM(C27:C64)</f>
        <v>14665789.89212</v>
      </c>
      <c r="D25" s="34"/>
      <c r="E25" s="34">
        <f t="shared" ref="E25:BA25" si="2">SUM(E26:E65)</f>
        <v>706999.1</v>
      </c>
      <c r="F25" s="34">
        <f t="shared" si="2"/>
        <v>693022</v>
      </c>
      <c r="G25" s="34">
        <f t="shared" si="2"/>
        <v>988856.21</v>
      </c>
      <c r="H25" s="34">
        <f t="shared" si="2"/>
        <v>676999.1</v>
      </c>
      <c r="I25" s="34">
        <f t="shared" si="2"/>
        <v>738504.46049999993</v>
      </c>
      <c r="J25" s="34">
        <f t="shared" si="2"/>
        <v>1490000</v>
      </c>
      <c r="K25" s="34">
        <f t="shared" si="2"/>
        <v>0</v>
      </c>
      <c r="L25" s="34">
        <f t="shared" si="2"/>
        <v>5119713.3859999999</v>
      </c>
      <c r="M25" s="34">
        <f t="shared" si="2"/>
        <v>645197.92999999993</v>
      </c>
      <c r="N25" s="34">
        <f t="shared" si="2"/>
        <v>655993.61</v>
      </c>
      <c r="O25" s="34">
        <f t="shared" si="2"/>
        <v>454397.93</v>
      </c>
      <c r="P25" s="34">
        <f t="shared" si="2"/>
        <v>543697.92999999993</v>
      </c>
      <c r="Q25" s="34">
        <f t="shared" si="2"/>
        <v>194325.19260000001</v>
      </c>
      <c r="R25" s="34">
        <f t="shared" si="2"/>
        <v>878889.5</v>
      </c>
      <c r="S25" s="34">
        <f t="shared" si="2"/>
        <v>515113.3</v>
      </c>
      <c r="T25" s="34">
        <f t="shared" si="2"/>
        <v>1065000</v>
      </c>
      <c r="U25" s="34">
        <f t="shared" si="2"/>
        <v>315000</v>
      </c>
      <c r="V25" s="34">
        <f t="shared" si="2"/>
        <v>814410</v>
      </c>
      <c r="W25" s="34">
        <f t="shared" si="2"/>
        <v>435000</v>
      </c>
      <c r="X25" s="34">
        <f t="shared" si="2"/>
        <v>948816.49</v>
      </c>
      <c r="Y25" s="34">
        <f t="shared" si="2"/>
        <v>0</v>
      </c>
      <c r="Z25" s="34">
        <f t="shared" si="2"/>
        <v>0</v>
      </c>
      <c r="AA25" s="34">
        <f t="shared" si="2"/>
        <v>0</v>
      </c>
      <c r="AB25" s="34">
        <f t="shared" si="2"/>
        <v>515224</v>
      </c>
      <c r="AC25" s="34">
        <f t="shared" si="2"/>
        <v>0</v>
      </c>
      <c r="AD25" s="34">
        <f t="shared" si="2"/>
        <v>0</v>
      </c>
      <c r="AE25" s="34">
        <f t="shared" si="2"/>
        <v>160000</v>
      </c>
      <c r="AF25" s="34">
        <f t="shared" si="2"/>
        <v>2264492.6</v>
      </c>
      <c r="AG25" s="34">
        <f t="shared" si="2"/>
        <v>0</v>
      </c>
      <c r="AH25" s="34">
        <f t="shared" si="2"/>
        <v>0</v>
      </c>
      <c r="AI25" s="34">
        <f t="shared" si="2"/>
        <v>0</v>
      </c>
      <c r="AJ25" s="34">
        <f t="shared" si="2"/>
        <v>0</v>
      </c>
      <c r="AK25" s="34">
        <f t="shared" si="2"/>
        <v>0</v>
      </c>
      <c r="AL25" s="34">
        <f t="shared" si="2"/>
        <v>321857.11</v>
      </c>
      <c r="AM25" s="34">
        <f t="shared" si="2"/>
        <v>0</v>
      </c>
      <c r="AN25" s="34">
        <f t="shared" si="2"/>
        <v>0</v>
      </c>
      <c r="AO25" s="34">
        <f t="shared" si="2"/>
        <v>2000000</v>
      </c>
      <c r="AP25" s="34">
        <f t="shared" si="2"/>
        <v>0</v>
      </c>
      <c r="AQ25" s="34">
        <f t="shared" si="2"/>
        <v>0</v>
      </c>
      <c r="AR25" s="34">
        <f t="shared" si="2"/>
        <v>112000</v>
      </c>
      <c r="AS25" s="34">
        <f t="shared" si="2"/>
        <v>0</v>
      </c>
      <c r="AT25" s="34">
        <f t="shared" si="2"/>
        <v>0</v>
      </c>
      <c r="AU25" s="34">
        <f t="shared" si="2"/>
        <v>515224</v>
      </c>
      <c r="AV25" s="34">
        <f t="shared" si="2"/>
        <v>0</v>
      </c>
      <c r="AW25" s="34">
        <f t="shared" si="2"/>
        <v>0</v>
      </c>
      <c r="AX25" s="34">
        <f t="shared" si="2"/>
        <v>0</v>
      </c>
      <c r="AY25" s="34">
        <f t="shared" si="2"/>
        <v>0</v>
      </c>
      <c r="AZ25" s="34">
        <f t="shared" si="2"/>
        <v>0</v>
      </c>
      <c r="BA25" s="34">
        <f t="shared" si="2"/>
        <v>0</v>
      </c>
    </row>
    <row r="26" spans="1:53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</row>
    <row r="27" spans="1:53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>
        <v>194014.26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</row>
    <row r="29" spans="1:53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>
        <v>1835137</v>
      </c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>
        <v>180947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90">
        <v>2000000</v>
      </c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</row>
    <row r="31" spans="1:53" s="1" customFormat="1" x14ac:dyDescent="0.2">
      <c r="A31" s="36" t="s">
        <v>7</v>
      </c>
      <c r="B31" s="23" t="s">
        <v>8</v>
      </c>
      <c r="C31" s="60"/>
      <c r="D31" s="24"/>
      <c r="E31" s="24"/>
      <c r="F31" s="24"/>
      <c r="G31" s="24">
        <f>643714.22/2</f>
        <v>321857.11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>
        <v>750000</v>
      </c>
      <c r="U31" s="24"/>
      <c r="V31" s="24"/>
      <c r="W31" s="24">
        <v>360000</v>
      </c>
      <c r="X31" s="24"/>
      <c r="Y31" s="24"/>
      <c r="Z31" s="24"/>
      <c r="AA31" s="24"/>
      <c r="AB31" s="24"/>
      <c r="AC31" s="24"/>
      <c r="AD31" s="24"/>
      <c r="AE31" s="24"/>
      <c r="AF31" s="24">
        <v>560000</v>
      </c>
      <c r="AG31" s="24"/>
      <c r="AH31" s="24"/>
      <c r="AI31" s="24"/>
      <c r="AJ31" s="24"/>
      <c r="AK31" s="24"/>
      <c r="AL31" s="24">
        <f>643714.22/2</f>
        <v>321857.11</v>
      </c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s="1" customFormat="1" x14ac:dyDescent="0.2">
      <c r="A32" s="36" t="s">
        <v>54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</row>
    <row r="33" spans="1:53" s="1" customFormat="1" x14ac:dyDescent="0.2">
      <c r="A33" s="36" t="s">
        <v>71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>
        <f>30000+10500+3500</f>
        <v>44000</v>
      </c>
      <c r="Q33" s="24"/>
      <c r="R33" s="24"/>
      <c r="S33" s="24">
        <v>200113.3</v>
      </c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s="1" customFormat="1" x14ac:dyDescent="0.2">
      <c r="A34" s="36" t="s">
        <v>53</v>
      </c>
      <c r="B34" s="23"/>
      <c r="C34" s="60"/>
      <c r="D34" s="24"/>
      <c r="E34" s="100">
        <v>30000</v>
      </c>
      <c r="F34" s="100">
        <v>51022.9</v>
      </c>
      <c r="G34" s="100">
        <v>25000</v>
      </c>
      <c r="H34" s="100">
        <v>30000</v>
      </c>
      <c r="I34" s="100">
        <v>30000</v>
      </c>
      <c r="J34" s="24"/>
      <c r="K34" s="24"/>
      <c r="L34" s="24"/>
      <c r="M34" s="24"/>
      <c r="N34" s="24"/>
      <c r="O34" s="24"/>
      <c r="P34" s="24"/>
      <c r="Q34" s="24"/>
      <c r="R34" s="24">
        <v>545949.5</v>
      </c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>
        <v>160000</v>
      </c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</row>
    <row r="35" spans="1:53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</row>
    <row r="36" spans="1:53" s="71" customFormat="1" x14ac:dyDescent="0.2">
      <c r="A36" s="69" t="s">
        <v>14</v>
      </c>
      <c r="B36" s="25" t="s">
        <v>30</v>
      </c>
      <c r="C36" s="70">
        <v>800000</v>
      </c>
      <c r="D36" s="24"/>
      <c r="E36" s="95">
        <v>100000</v>
      </c>
      <c r="F36" s="95">
        <v>125000</v>
      </c>
      <c r="G36" s="95">
        <v>125000</v>
      </c>
      <c r="H36" s="95">
        <v>125000</v>
      </c>
      <c r="I36" s="95">
        <v>125000</v>
      </c>
      <c r="J36" s="24"/>
      <c r="K36" s="24"/>
      <c r="L36" s="95">
        <v>100000</v>
      </c>
      <c r="M36" s="95">
        <v>100000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</row>
    <row r="37" spans="1:53" s="71" customFormat="1" x14ac:dyDescent="0.2">
      <c r="A37" s="69" t="s">
        <v>17</v>
      </c>
      <c r="B37" s="25" t="s">
        <v>41</v>
      </c>
      <c r="C37" s="70">
        <v>1825000</v>
      </c>
      <c r="D37" s="24"/>
      <c r="E37" s="95">
        <v>75000</v>
      </c>
      <c r="F37" s="95">
        <v>75000</v>
      </c>
      <c r="G37" s="95">
        <v>75000</v>
      </c>
      <c r="H37" s="95">
        <v>75000</v>
      </c>
      <c r="I37" s="95">
        <v>75000</v>
      </c>
      <c r="J37" s="24"/>
      <c r="K37" s="24"/>
      <c r="L37" s="95">
        <v>75000</v>
      </c>
      <c r="M37" s="95">
        <v>75000</v>
      </c>
      <c r="N37" s="95">
        <v>75000</v>
      </c>
      <c r="O37" s="95">
        <v>75000</v>
      </c>
      <c r="P37" s="95">
        <v>75000</v>
      </c>
      <c r="Q37" s="24"/>
      <c r="R37" s="24"/>
      <c r="S37" s="95">
        <v>75000</v>
      </c>
      <c r="T37" s="95">
        <v>75000</v>
      </c>
      <c r="U37" s="95">
        <v>75000</v>
      </c>
      <c r="V37" s="95">
        <v>75000</v>
      </c>
      <c r="W37" s="95">
        <v>75000</v>
      </c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s="71" customFormat="1" x14ac:dyDescent="0.2">
      <c r="A38" s="69" t="s">
        <v>15</v>
      </c>
      <c r="B38" s="25" t="s">
        <v>31</v>
      </c>
      <c r="C38" s="70">
        <v>679464</v>
      </c>
      <c r="D38" s="24"/>
      <c r="E38" s="95">
        <v>25000</v>
      </c>
      <c r="F38" s="95">
        <v>25000</v>
      </c>
      <c r="G38" s="95">
        <v>25000</v>
      </c>
      <c r="H38" s="95">
        <v>25000</v>
      </c>
      <c r="I38" s="95">
        <v>25000</v>
      </c>
      <c r="J38" s="24"/>
      <c r="K38" s="24"/>
      <c r="L38" s="100">
        <f>515224</f>
        <v>515224</v>
      </c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100">
        <v>515224</v>
      </c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98">
        <v>515224</v>
      </c>
      <c r="AV38" s="24"/>
      <c r="AW38" s="24"/>
      <c r="AX38" s="24"/>
      <c r="AY38" s="24"/>
      <c r="AZ38" s="24"/>
      <c r="BA38" s="24"/>
    </row>
    <row r="39" spans="1:53" s="71" customFormat="1" x14ac:dyDescent="0.2">
      <c r="A39" s="69" t="s">
        <v>18</v>
      </c>
      <c r="B39" s="25" t="s">
        <v>32</v>
      </c>
      <c r="C39" s="70">
        <v>1300000</v>
      </c>
      <c r="D39" s="24"/>
      <c r="E39" s="95">
        <v>100000</v>
      </c>
      <c r="F39" s="95">
        <v>100000</v>
      </c>
      <c r="G39" s="95">
        <v>100000</v>
      </c>
      <c r="H39" s="95">
        <v>100000</v>
      </c>
      <c r="I39" s="95">
        <v>100000</v>
      </c>
      <c r="J39" s="24"/>
      <c r="K39" s="24"/>
      <c r="L39" s="24"/>
      <c r="M39" s="95">
        <v>100000</v>
      </c>
      <c r="N39" s="95">
        <v>100000</v>
      </c>
      <c r="O39" s="95">
        <v>100000</v>
      </c>
      <c r="P39" s="95">
        <v>100000</v>
      </c>
      <c r="Q39" s="24"/>
      <c r="R39" s="24"/>
      <c r="S39" s="95">
        <v>120000</v>
      </c>
      <c r="T39" s="95">
        <v>120000</v>
      </c>
      <c r="U39" s="95">
        <v>120000</v>
      </c>
      <c r="V39" s="95">
        <v>120000</v>
      </c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s="73" customFormat="1" x14ac:dyDescent="0.2">
      <c r="A40" s="69" t="s">
        <v>21</v>
      </c>
      <c r="B40" s="25" t="s">
        <v>45</v>
      </c>
      <c r="C40" s="70">
        <v>1466052</v>
      </c>
      <c r="D40" s="72"/>
      <c r="E40" s="95">
        <v>100000</v>
      </c>
      <c r="F40" s="95">
        <v>100000</v>
      </c>
      <c r="G40" s="95">
        <v>100000</v>
      </c>
      <c r="H40" s="95">
        <v>100000</v>
      </c>
      <c r="I40" s="102">
        <v>100000</v>
      </c>
      <c r="J40" s="72"/>
      <c r="K40" s="72"/>
      <c r="L40" s="24"/>
      <c r="M40" s="95">
        <v>100000</v>
      </c>
      <c r="N40" s="95">
        <v>100000</v>
      </c>
      <c r="O40" s="95">
        <v>100000</v>
      </c>
      <c r="P40" s="95">
        <v>100000</v>
      </c>
      <c r="Q40" s="24"/>
      <c r="R40" s="24"/>
      <c r="S40" s="95">
        <v>120000</v>
      </c>
      <c r="T40" s="95">
        <v>120000</v>
      </c>
      <c r="U40" s="95">
        <v>120000</v>
      </c>
      <c r="V40" s="95">
        <v>120000</v>
      </c>
      <c r="W40" s="24"/>
      <c r="X40" s="24"/>
      <c r="Y40" s="24"/>
      <c r="Z40" s="24"/>
      <c r="AA40" s="24"/>
      <c r="AB40" s="24"/>
      <c r="AC40" s="24"/>
      <c r="AD40" s="24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</row>
    <row r="41" spans="1:53" s="71" customFormat="1" x14ac:dyDescent="0.2">
      <c r="A41" s="69" t="s">
        <v>19</v>
      </c>
      <c r="B41" s="25" t="s">
        <v>46</v>
      </c>
      <c r="C41" s="70">
        <v>1216107.5</v>
      </c>
      <c r="D41" s="24"/>
      <c r="E41" s="95">
        <v>50000</v>
      </c>
      <c r="F41" s="95">
        <v>50000</v>
      </c>
      <c r="G41" s="95">
        <v>50000</v>
      </c>
      <c r="H41" s="95">
        <v>50000</v>
      </c>
      <c r="I41" s="95">
        <v>50000</v>
      </c>
      <c r="J41" s="24"/>
      <c r="K41" s="24"/>
      <c r="L41" s="95">
        <v>50000</v>
      </c>
      <c r="M41" s="95">
        <v>50000</v>
      </c>
      <c r="N41" s="95">
        <v>50000</v>
      </c>
      <c r="O41" s="95">
        <v>50000</v>
      </c>
      <c r="P41" s="95">
        <v>50000</v>
      </c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s="71" customFormat="1" x14ac:dyDescent="0.2">
      <c r="A42" s="69" t="s">
        <v>16</v>
      </c>
      <c r="B42" s="25" t="s">
        <v>32</v>
      </c>
      <c r="C42" s="70">
        <v>381200</v>
      </c>
      <c r="D42" s="24"/>
      <c r="E42" s="95">
        <v>50000</v>
      </c>
      <c r="F42" s="95">
        <v>50000</v>
      </c>
      <c r="G42" s="95">
        <v>50000</v>
      </c>
      <c r="H42" s="95">
        <v>50000</v>
      </c>
      <c r="I42" s="95">
        <v>50000</v>
      </c>
      <c r="J42" s="24"/>
      <c r="K42" s="24"/>
      <c r="L42" s="98">
        <v>665880</v>
      </c>
      <c r="M42" s="95">
        <v>32800</v>
      </c>
      <c r="N42" s="95">
        <v>32800</v>
      </c>
      <c r="O42" s="95">
        <v>32800</v>
      </c>
      <c r="P42" s="95">
        <v>32800</v>
      </c>
      <c r="Q42" s="24"/>
      <c r="R42" s="98">
        <v>332940</v>
      </c>
      <c r="S42" s="24"/>
      <c r="T42" s="24"/>
      <c r="U42" s="24"/>
      <c r="V42" s="98">
        <v>499410</v>
      </c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</row>
    <row r="43" spans="1:53" s="71" customFormat="1" x14ac:dyDescent="0.2">
      <c r="A43" s="69" t="s">
        <v>85</v>
      </c>
      <c r="B43" s="25" t="s">
        <v>47</v>
      </c>
      <c r="C43" s="70">
        <f>5500*A6</f>
        <v>461990.1</v>
      </c>
      <c r="D43" s="24"/>
      <c r="E43" s="95">
        <f>500*$A$6</f>
        <v>41999.1</v>
      </c>
      <c r="F43" s="95">
        <f>500*$A$6</f>
        <v>41999.1</v>
      </c>
      <c r="G43" s="95">
        <f>500*$A$6</f>
        <v>41999.1</v>
      </c>
      <c r="H43" s="95">
        <f>500*$A$6</f>
        <v>41999.1</v>
      </c>
      <c r="I43" s="95">
        <f>500*$A$6</f>
        <v>41999.1</v>
      </c>
      <c r="J43" s="24"/>
      <c r="K43" s="24"/>
      <c r="L43" s="95">
        <f>500*$A$6</f>
        <v>41999.1</v>
      </c>
      <c r="M43" s="95">
        <f>500*$A$6</f>
        <v>41999.1</v>
      </c>
      <c r="N43" s="95">
        <f>500*$A$6</f>
        <v>41999.1</v>
      </c>
      <c r="O43" s="95">
        <f>500*$A$6</f>
        <v>41999.1</v>
      </c>
      <c r="P43" s="95">
        <f>500*$A$6</f>
        <v>41999.1</v>
      </c>
      <c r="Q43" s="24"/>
      <c r="R43" s="24"/>
      <c r="S43" s="24"/>
      <c r="T43" s="24"/>
      <c r="U43" s="24"/>
      <c r="V43" s="24"/>
      <c r="W43" s="24"/>
      <c r="X43" s="100">
        <v>218623.78</v>
      </c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s="73" customFormat="1" x14ac:dyDescent="0.2">
      <c r="A44" s="69" t="s">
        <v>22</v>
      </c>
      <c r="B44" s="25" t="s">
        <v>48</v>
      </c>
      <c r="C44" s="75"/>
      <c r="D44" s="72"/>
      <c r="E44" s="72"/>
      <c r="F44" s="72"/>
      <c r="G44" s="72"/>
      <c r="H44" s="72"/>
      <c r="I44" s="72"/>
      <c r="J44" s="72"/>
      <c r="K44" s="72"/>
      <c r="L44" s="24"/>
      <c r="M44" s="24"/>
      <c r="N44" s="24"/>
      <c r="O44" s="24"/>
      <c r="P44" s="24"/>
      <c r="Q44" s="100">
        <f>15906*A9</f>
        <v>194325.19260000001</v>
      </c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</row>
    <row r="45" spans="1:53" s="71" customFormat="1" x14ac:dyDescent="0.2">
      <c r="A45" s="69" t="s">
        <v>36</v>
      </c>
      <c r="B45" s="25" t="s">
        <v>37</v>
      </c>
      <c r="C45" s="70"/>
      <c r="D45" s="24"/>
      <c r="E45" s="104">
        <v>25000</v>
      </c>
      <c r="F45" s="100">
        <v>25000</v>
      </c>
      <c r="G45" s="100">
        <v>25000</v>
      </c>
      <c r="H45" s="100">
        <v>25000</v>
      </c>
      <c r="I45" s="103">
        <f>2577.5*$A$6-E45-F45-G45-H45</f>
        <v>116505.36049999998</v>
      </c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s="71" customFormat="1" x14ac:dyDescent="0.2">
      <c r="A46" s="69" t="s">
        <v>86</v>
      </c>
      <c r="B46" s="25" t="s">
        <v>35</v>
      </c>
      <c r="C46" s="70">
        <f>3250*$A$6</f>
        <v>272994.14999999997</v>
      </c>
      <c r="D46" s="77"/>
      <c r="E46" s="24"/>
      <c r="F46" s="24"/>
      <c r="G46" s="28"/>
      <c r="H46" s="24"/>
      <c r="I46" s="24"/>
      <c r="J46" s="24"/>
      <c r="K46" s="24"/>
      <c r="L46" s="95">
        <f>$C$46/5</f>
        <v>54598.829999999994</v>
      </c>
      <c r="M46" s="95">
        <f>$C$46/5</f>
        <v>54598.829999999994</v>
      </c>
      <c r="N46" s="108">
        <f>$C$46/5+2400*A6</f>
        <v>256194.50999999998</v>
      </c>
      <c r="O46" s="95">
        <f>$C$46/5</f>
        <v>54598.829999999994</v>
      </c>
      <c r="P46" s="95">
        <f>$C$46/5</f>
        <v>54598.829999999994</v>
      </c>
      <c r="Q46" s="24"/>
      <c r="R46" s="24"/>
      <c r="S46" s="24"/>
      <c r="T46" s="24"/>
      <c r="U46" s="24"/>
      <c r="V46" s="24"/>
      <c r="W46" s="24"/>
      <c r="X46" s="100">
        <f>4050*A6</f>
        <v>340192.70999999996</v>
      </c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</row>
    <row r="47" spans="1:53" s="71" customFormat="1" x14ac:dyDescent="0.2">
      <c r="A47" s="69" t="s">
        <v>78</v>
      </c>
      <c r="B47" s="25" t="s">
        <v>79</v>
      </c>
      <c r="C47" s="70"/>
      <c r="D47" s="77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s="71" customFormat="1" x14ac:dyDescent="0.2">
      <c r="A48" s="69" t="s">
        <v>29</v>
      </c>
      <c r="B48" s="25" t="s">
        <v>42</v>
      </c>
      <c r="C48" s="70">
        <v>20000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</row>
    <row r="49" spans="1:53" s="71" customFormat="1" x14ac:dyDescent="0.2">
      <c r="A49" s="69" t="s">
        <v>29</v>
      </c>
      <c r="B49" s="25" t="s">
        <v>43</v>
      </c>
      <c r="C49" s="70">
        <v>439750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s="71" customFormat="1" x14ac:dyDescent="0.2">
      <c r="A50" s="69" t="s">
        <v>29</v>
      </c>
      <c r="B50" s="25" t="s">
        <v>55</v>
      </c>
      <c r="C50" s="76">
        <f>3780*A6</f>
        <v>317513.196</v>
      </c>
      <c r="D50" s="24"/>
      <c r="E50" s="95">
        <v>25000</v>
      </c>
      <c r="F50" s="95">
        <v>25000</v>
      </c>
      <c r="G50" s="95">
        <v>25000</v>
      </c>
      <c r="H50" s="95">
        <v>25000</v>
      </c>
      <c r="I50" s="95">
        <v>25000</v>
      </c>
      <c r="J50" s="24"/>
      <c r="K50" s="24"/>
      <c r="L50" s="95">
        <f>C50-E50-F50-G50-H50-I50</f>
        <v>192513.196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</row>
    <row r="51" spans="1:53" s="71" customFormat="1" x14ac:dyDescent="0.2">
      <c r="A51" s="69" t="s">
        <v>40</v>
      </c>
      <c r="B51" s="25" t="s">
        <v>44</v>
      </c>
      <c r="C51" s="70"/>
      <c r="D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s="71" customFormat="1" x14ac:dyDescent="0.2">
      <c r="A52" s="69" t="s">
        <v>34</v>
      </c>
      <c r="B52" s="25" t="s">
        <v>45</v>
      </c>
      <c r="C52" s="70"/>
      <c r="D52" s="77"/>
      <c r="E52" s="24"/>
      <c r="F52" s="24"/>
      <c r="G52" s="24"/>
      <c r="H52" s="24"/>
      <c r="J52" s="24"/>
      <c r="K52" s="24"/>
      <c r="L52" s="106">
        <v>1214400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</row>
    <row r="53" spans="1:53" s="71" customFormat="1" x14ac:dyDescent="0.2">
      <c r="A53" s="69" t="s">
        <v>81</v>
      </c>
      <c r="B53" s="25" t="s">
        <v>82</v>
      </c>
      <c r="C53" s="70"/>
      <c r="D53" s="77"/>
      <c r="E53" s="98">
        <v>60000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s="71" customFormat="1" x14ac:dyDescent="0.2">
      <c r="A54" s="69" t="s">
        <v>38</v>
      </c>
      <c r="B54" s="25" t="s">
        <v>39</v>
      </c>
      <c r="C54" s="70"/>
      <c r="D54" s="24"/>
      <c r="E54" s="100">
        <v>25000</v>
      </c>
      <c r="F54" s="100">
        <v>25000</v>
      </c>
      <c r="G54" s="100">
        <v>25000</v>
      </c>
      <c r="H54" s="100">
        <v>30000</v>
      </c>
      <c r="I54" s="24"/>
      <c r="J54" s="24"/>
      <c r="K54" s="24"/>
      <c r="L54" s="24"/>
      <c r="M54" s="100">
        <v>90800</v>
      </c>
      <c r="N54" s="24"/>
      <c r="O54" s="24"/>
      <c r="P54" s="100">
        <v>45300</v>
      </c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</row>
    <row r="55" spans="1:53" s="71" customFormat="1" x14ac:dyDescent="0.2">
      <c r="A55" s="69" t="s">
        <v>74</v>
      </c>
      <c r="B55" s="25" t="s">
        <v>83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98">
        <v>104492.6</v>
      </c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s="73" customFormat="1" ht="2.25" customHeight="1" x14ac:dyDescent="0.2">
      <c r="A56" s="78"/>
      <c r="B56" s="79"/>
      <c r="C56" s="75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</row>
    <row r="57" spans="1:53" s="94" customFormat="1" ht="33.75" x14ac:dyDescent="0.2">
      <c r="A57" s="91" t="s">
        <v>60</v>
      </c>
      <c r="B57" s="92" t="s">
        <v>58</v>
      </c>
      <c r="C57" s="93">
        <v>248639.70012000017</v>
      </c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</row>
    <row r="58" spans="1:53" s="94" customFormat="1" ht="33.75" x14ac:dyDescent="0.2">
      <c r="A58" s="91" t="s">
        <v>60</v>
      </c>
      <c r="B58" s="92" t="s">
        <v>59</v>
      </c>
      <c r="C58" s="93">
        <v>0</v>
      </c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  <c r="AZ58" s="93"/>
      <c r="BA58" s="93"/>
    </row>
    <row r="59" spans="1:53" s="5" customFormat="1" ht="2.25" customHeight="1" x14ac:dyDescent="0.2">
      <c r="A59" s="42"/>
      <c r="B59" s="12"/>
      <c r="C59" s="68"/>
      <c r="D59" s="2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</row>
    <row r="60" spans="1:53" s="5" customFormat="1" x14ac:dyDescent="0.2">
      <c r="A60" s="36" t="s">
        <v>49</v>
      </c>
      <c r="B60" s="12"/>
      <c r="C60" s="13">
        <v>1600000</v>
      </c>
      <c r="D60" s="26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>
        <v>1600000</v>
      </c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</row>
    <row r="61" spans="1:53" s="5" customFormat="1" x14ac:dyDescent="0.2">
      <c r="A61" s="36" t="s">
        <v>57</v>
      </c>
      <c r="B61" s="12"/>
      <c r="C61" s="68"/>
      <c r="D61" s="26"/>
      <c r="E61" s="13"/>
      <c r="F61" s="13"/>
      <c r="G61" s="13"/>
      <c r="H61" s="13"/>
      <c r="I61" s="13"/>
      <c r="J61" s="13">
        <v>1490000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</row>
    <row r="62" spans="1:53" s="5" customFormat="1" x14ac:dyDescent="0.2">
      <c r="A62" s="36" t="s">
        <v>61</v>
      </c>
      <c r="B62" s="12"/>
      <c r="C62" s="68"/>
      <c r="D62" s="26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>
        <v>390000</v>
      </c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>
        <v>112000</v>
      </c>
      <c r="AS62" s="13"/>
      <c r="AT62" s="13"/>
      <c r="AU62" s="13"/>
      <c r="AV62" s="13"/>
      <c r="AW62" s="13"/>
      <c r="AX62" s="13"/>
      <c r="AY62" s="13"/>
      <c r="AZ62" s="13"/>
      <c r="BA62" s="13"/>
    </row>
    <row r="63" spans="1:53" s="5" customFormat="1" ht="2.25" customHeight="1" x14ac:dyDescent="0.2">
      <c r="A63" s="42"/>
      <c r="B63" s="12"/>
      <c r="C63" s="68"/>
      <c r="D63" s="26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</row>
    <row r="64" spans="1:53" s="5" customFormat="1" x14ac:dyDescent="0.2">
      <c r="A64" s="36" t="s">
        <v>72</v>
      </c>
      <c r="B64" s="27" t="s">
        <v>73</v>
      </c>
      <c r="C64" s="62">
        <v>3637079.2460000003</v>
      </c>
      <c r="D64" s="35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</row>
    <row r="65" spans="1:53" s="5" customFormat="1" ht="2.25" customHeight="1" x14ac:dyDescent="0.2">
      <c r="A65" s="42"/>
      <c r="B65" s="12"/>
      <c r="C65" s="61"/>
      <c r="D65" s="26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</row>
    <row r="66" spans="1:53" s="84" customFormat="1" x14ac:dyDescent="0.2">
      <c r="A66" s="81" t="s">
        <v>66</v>
      </c>
      <c r="B66" s="82"/>
      <c r="C66" s="63"/>
      <c r="D66" s="83"/>
      <c r="E66" s="83">
        <f>$C$5+E16-E25</f>
        <v>4446814.6000000006</v>
      </c>
      <c r="F66" s="83">
        <f t="shared" ref="F66:BA66" si="3">E66+F16-F25</f>
        <v>3753792.6000000006</v>
      </c>
      <c r="G66" s="83">
        <f t="shared" si="3"/>
        <v>2764936.3900000006</v>
      </c>
      <c r="H66" s="83">
        <f t="shared" si="3"/>
        <v>2087937.2900000005</v>
      </c>
      <c r="I66" s="83">
        <f t="shared" si="3"/>
        <v>1349432.8295000005</v>
      </c>
      <c r="J66" s="83">
        <f t="shared" si="3"/>
        <v>4734432.8295000009</v>
      </c>
      <c r="K66" s="83">
        <f t="shared" si="3"/>
        <v>7734432.8295000009</v>
      </c>
      <c r="L66" s="83">
        <f t="shared" si="3"/>
        <v>2614719.443500001</v>
      </c>
      <c r="M66" s="83">
        <f t="shared" si="3"/>
        <v>1969521.513500001</v>
      </c>
      <c r="N66" s="83">
        <f t="shared" si="3"/>
        <v>1313527.9035000009</v>
      </c>
      <c r="O66" s="83">
        <f t="shared" si="3"/>
        <v>859129.97350000101</v>
      </c>
      <c r="P66" s="83">
        <f t="shared" si="3"/>
        <v>315432.04350000108</v>
      </c>
      <c r="Q66" s="83">
        <f t="shared" si="3"/>
        <v>121106.85090000107</v>
      </c>
      <c r="R66" s="83">
        <f t="shared" si="3"/>
        <v>-757782.64909999887</v>
      </c>
      <c r="S66" s="83">
        <f t="shared" si="3"/>
        <v>-1272895.9490999989</v>
      </c>
      <c r="T66" s="83">
        <f t="shared" si="3"/>
        <v>-2337895.9490999989</v>
      </c>
      <c r="U66" s="83">
        <f t="shared" si="3"/>
        <v>-2652895.9490999989</v>
      </c>
      <c r="V66" s="83">
        <f t="shared" si="3"/>
        <v>-3467305.9490999989</v>
      </c>
      <c r="W66" s="83">
        <f t="shared" si="3"/>
        <v>-3902305.9490999989</v>
      </c>
      <c r="X66" s="83">
        <f t="shared" si="3"/>
        <v>-4851122.4390999991</v>
      </c>
      <c r="Y66" s="83">
        <f t="shared" si="3"/>
        <v>-4851122.4390999991</v>
      </c>
      <c r="Z66" s="83">
        <f t="shared" si="3"/>
        <v>-4851122.4390999991</v>
      </c>
      <c r="AA66" s="83">
        <f t="shared" si="3"/>
        <v>-4851122.4390999991</v>
      </c>
      <c r="AB66" s="83">
        <f t="shared" si="3"/>
        <v>-5366346.4390999991</v>
      </c>
      <c r="AC66" s="83">
        <f t="shared" si="3"/>
        <v>-5366346.4390999991</v>
      </c>
      <c r="AD66" s="83">
        <f t="shared" si="3"/>
        <v>-5366346.4390999991</v>
      </c>
      <c r="AE66" s="83">
        <f t="shared" si="3"/>
        <v>-5526346.4390999991</v>
      </c>
      <c r="AF66" s="83">
        <f t="shared" si="3"/>
        <v>979222.35018000146</v>
      </c>
      <c r="AG66" s="83">
        <f t="shared" si="3"/>
        <v>979222.35018000146</v>
      </c>
      <c r="AH66" s="83">
        <f t="shared" si="3"/>
        <v>979222.35018000146</v>
      </c>
      <c r="AI66" s="83">
        <f t="shared" si="3"/>
        <v>979222.35018000146</v>
      </c>
      <c r="AJ66" s="83">
        <f t="shared" si="3"/>
        <v>979222.35018000146</v>
      </c>
      <c r="AK66" s="83">
        <f t="shared" si="3"/>
        <v>979222.35018000146</v>
      </c>
      <c r="AL66" s="83">
        <f t="shared" si="3"/>
        <v>657365.24018000148</v>
      </c>
      <c r="AM66" s="83">
        <f t="shared" si="3"/>
        <v>657365.24018000148</v>
      </c>
      <c r="AN66" s="83">
        <f t="shared" si="3"/>
        <v>657365.24018000148</v>
      </c>
      <c r="AO66" s="83">
        <f t="shared" si="3"/>
        <v>-1342634.7598199984</v>
      </c>
      <c r="AP66" s="83">
        <f t="shared" si="3"/>
        <v>-1342634.7598199984</v>
      </c>
      <c r="AQ66" s="83">
        <f t="shared" si="3"/>
        <v>-1342634.7598199984</v>
      </c>
      <c r="AR66" s="83">
        <f t="shared" si="3"/>
        <v>-1454634.7598199984</v>
      </c>
      <c r="AS66" s="83">
        <f t="shared" si="3"/>
        <v>5582865.2401800016</v>
      </c>
      <c r="AT66" s="83">
        <f t="shared" si="3"/>
        <v>5582865.2401800016</v>
      </c>
      <c r="AU66" s="83">
        <f t="shared" si="3"/>
        <v>5067641.2401800016</v>
      </c>
      <c r="AV66" s="83">
        <f t="shared" si="3"/>
        <v>5067641.2401800016</v>
      </c>
      <c r="AW66" s="83">
        <f t="shared" si="3"/>
        <v>5067641.2401800016</v>
      </c>
      <c r="AX66" s="83">
        <f t="shared" si="3"/>
        <v>5067641.2401800016</v>
      </c>
      <c r="AY66" s="83">
        <f t="shared" si="3"/>
        <v>5067641.2401800016</v>
      </c>
      <c r="AZ66" s="83">
        <f t="shared" si="3"/>
        <v>5067641.2401800016</v>
      </c>
      <c r="BA66" s="83">
        <f t="shared" si="3"/>
        <v>5067641.2401800016</v>
      </c>
    </row>
    <row r="68" spans="1:53" s="5" customFormat="1" ht="2.25" customHeight="1" x14ac:dyDescent="0.2">
      <c r="A68" s="42"/>
      <c r="B68" s="12"/>
      <c r="C68" s="68"/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</row>
    <row r="69" spans="1:53" s="89" customFormat="1" ht="11.25" customHeight="1" x14ac:dyDescent="0.2">
      <c r="A69" s="85" t="s">
        <v>65</v>
      </c>
      <c r="B69" s="86"/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</row>
    <row r="70" spans="1:53" s="5" customFormat="1" ht="22.5" x14ac:dyDescent="0.2">
      <c r="A70" s="36" t="s">
        <v>67</v>
      </c>
      <c r="B70" s="27" t="s">
        <v>68</v>
      </c>
      <c r="C70" s="68">
        <v>3221210.79</v>
      </c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</row>
    <row r="71" spans="1:53" s="5" customFormat="1" x14ac:dyDescent="0.2">
      <c r="A71" s="36" t="s">
        <v>69</v>
      </c>
      <c r="B71" s="27" t="s">
        <v>70</v>
      </c>
      <c r="C71" s="68">
        <v>9814338.4000000004</v>
      </c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</row>
    <row r="72" spans="1:53" s="5" customFormat="1" x14ac:dyDescent="0.2">
      <c r="A72" s="36"/>
      <c r="B72" s="27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</row>
    <row r="73" spans="1:53" s="5" customFormat="1" x14ac:dyDescent="0.2">
      <c r="A73" s="36"/>
      <c r="B73" s="27"/>
      <c r="C73" s="68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</row>
    <row r="75" spans="1:53" x14ac:dyDescent="0.25">
      <c r="B75" s="14"/>
    </row>
  </sheetData>
  <pageMargins left="0.7" right="0.7" top="0.75" bottom="0.75" header="0.3" footer="0.3"/>
  <pageSetup paperSize="9" orientation="portrait" r:id="rId1"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75"/>
  <sheetViews>
    <sheetView topLeftCell="A28" workbookViewId="0">
      <selection activeCell="C36" sqref="C36:C50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5" width="10.85546875" style="3" bestFit="1" customWidth="1"/>
    <col min="6" max="7" width="10.85546875" style="3" customWidth="1"/>
    <col min="8" max="17" width="10.85546875" style="3" bestFit="1" customWidth="1"/>
    <col min="18" max="23" width="11.7109375" style="3" bestFit="1" customWidth="1"/>
    <col min="24" max="26" width="11.7109375" style="3" customWidth="1"/>
    <col min="27" max="34" width="11.7109375" style="3" bestFit="1" customWidth="1"/>
    <col min="35" max="56" width="10.85546875" style="3" bestFit="1" customWidth="1"/>
    <col min="57" max="16384" width="9" style="3"/>
  </cols>
  <sheetData>
    <row r="1" spans="1:56" ht="12" thickBot="1" x14ac:dyDescent="0.3"/>
    <row r="2" spans="1:56" s="1" customFormat="1" x14ac:dyDescent="0.2">
      <c r="A2" s="43" t="s">
        <v>50</v>
      </c>
      <c r="B2" s="15" t="s">
        <v>27</v>
      </c>
      <c r="C2" s="50">
        <v>5805154.4000000004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56" s="1" customFormat="1" ht="12" thickBot="1" x14ac:dyDescent="0.25">
      <c r="A3" s="44">
        <v>96.915499999999994</v>
      </c>
      <c r="B3" s="15" t="s">
        <v>28</v>
      </c>
      <c r="C3" s="50">
        <v>10778.95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56" s="8" customFormat="1" ht="12" thickBot="1" x14ac:dyDescent="0.25">
      <c r="A4" s="45"/>
      <c r="B4" s="15" t="s">
        <v>25</v>
      </c>
      <c r="C4" s="51">
        <v>0</v>
      </c>
    </row>
    <row r="5" spans="1:56" s="6" customFormat="1" x14ac:dyDescent="0.2">
      <c r="A5" s="43" t="s">
        <v>51</v>
      </c>
      <c r="B5" s="49" t="s">
        <v>26</v>
      </c>
      <c r="C5" s="52">
        <f>SUM(C2:C4)</f>
        <v>5815933.3500000006</v>
      </c>
    </row>
    <row r="6" spans="1:56" s="6" customFormat="1" ht="12" thickBot="1" x14ac:dyDescent="0.25">
      <c r="A6" s="44">
        <v>84.837900000000005</v>
      </c>
      <c r="B6" s="16"/>
      <c r="C6" s="53"/>
      <c r="D6" s="17"/>
    </row>
    <row r="7" spans="1:56" s="6" customFormat="1" ht="12" thickBot="1" x14ac:dyDescent="0.25">
      <c r="A7" s="46"/>
      <c r="B7" s="18" t="s">
        <v>62</v>
      </c>
      <c r="C7" s="54">
        <f>SUM(E16:BD16)</f>
        <v>23648928.364399999</v>
      </c>
    </row>
    <row r="8" spans="1:56" x14ac:dyDescent="0.25">
      <c r="A8" s="43" t="s">
        <v>52</v>
      </c>
      <c r="B8" s="18" t="s">
        <v>84</v>
      </c>
      <c r="C8" s="54">
        <f>SUM(E25:BD26)</f>
        <v>22999947.816649999</v>
      </c>
    </row>
    <row r="9" spans="1:56" ht="12" thickBot="1" x14ac:dyDescent="0.3">
      <c r="A9" s="44">
        <v>12.382400000000001</v>
      </c>
      <c r="B9" s="19" t="s">
        <v>64</v>
      </c>
      <c r="C9" s="55">
        <f>C5+C7-C8-C11</f>
        <v>-8837200.3333700001</v>
      </c>
    </row>
    <row r="10" spans="1:56" x14ac:dyDescent="0.25">
      <c r="A10" s="99" t="s">
        <v>80</v>
      </c>
      <c r="B10" s="18" t="s">
        <v>23</v>
      </c>
      <c r="C10" s="56">
        <f>C16</f>
        <v>0</v>
      </c>
    </row>
    <row r="11" spans="1:56" x14ac:dyDescent="0.25">
      <c r="A11" s="101" t="s">
        <v>87</v>
      </c>
      <c r="B11" s="18" t="s">
        <v>24</v>
      </c>
      <c r="C11" s="54">
        <f>C25</f>
        <v>15302114.231120002</v>
      </c>
    </row>
    <row r="13" spans="1:56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4" spans="1:56" s="2" customFormat="1" x14ac:dyDescent="0.25">
      <c r="A14" s="64"/>
      <c r="B14" s="65"/>
      <c r="C14" s="58" t="s">
        <v>56</v>
      </c>
      <c r="D14" s="66"/>
      <c r="E14" s="66">
        <v>46101</v>
      </c>
      <c r="F14" s="66">
        <v>46102</v>
      </c>
      <c r="G14" s="66">
        <v>46103</v>
      </c>
      <c r="H14" s="66">
        <v>46104</v>
      </c>
      <c r="I14" s="66">
        <v>46105</v>
      </c>
      <c r="J14" s="66">
        <v>46106</v>
      </c>
      <c r="K14" s="66">
        <v>46107</v>
      </c>
      <c r="L14" s="66">
        <v>46108</v>
      </c>
      <c r="M14" s="66">
        <v>46109</v>
      </c>
      <c r="N14" s="66">
        <v>46110</v>
      </c>
      <c r="O14" s="66">
        <v>46111</v>
      </c>
      <c r="P14" s="66">
        <v>46112</v>
      </c>
      <c r="Q14" s="66">
        <v>46113</v>
      </c>
      <c r="R14" s="66">
        <v>46114</v>
      </c>
      <c r="S14" s="66">
        <v>46115</v>
      </c>
      <c r="T14" s="66">
        <v>46116</v>
      </c>
      <c r="U14" s="66">
        <v>46117</v>
      </c>
      <c r="V14" s="66">
        <v>46118</v>
      </c>
      <c r="W14" s="66">
        <v>46119</v>
      </c>
      <c r="X14" s="66">
        <v>46120</v>
      </c>
      <c r="Y14" s="66">
        <v>46121</v>
      </c>
      <c r="Z14" s="66">
        <v>46122</v>
      </c>
      <c r="AA14" s="66">
        <v>46123</v>
      </c>
      <c r="AB14" s="66">
        <v>46124</v>
      </c>
      <c r="AC14" s="66">
        <v>46125</v>
      </c>
      <c r="AD14" s="66">
        <v>46126</v>
      </c>
      <c r="AE14" s="66">
        <v>46127</v>
      </c>
      <c r="AF14" s="66">
        <v>46128</v>
      </c>
      <c r="AG14" s="66">
        <v>46129</v>
      </c>
      <c r="AH14" s="66">
        <v>46130</v>
      </c>
      <c r="AI14" s="66">
        <v>46131</v>
      </c>
      <c r="AJ14" s="66">
        <v>46132</v>
      </c>
      <c r="AK14" s="66">
        <v>46133</v>
      </c>
      <c r="AL14" s="66">
        <v>46134</v>
      </c>
      <c r="AM14" s="66">
        <v>46135</v>
      </c>
      <c r="AN14" s="66">
        <v>46136</v>
      </c>
      <c r="AO14" s="66">
        <v>46137</v>
      </c>
      <c r="AP14" s="66">
        <v>46138</v>
      </c>
      <c r="AQ14" s="66">
        <v>46139</v>
      </c>
      <c r="AR14" s="66">
        <v>46140</v>
      </c>
      <c r="AS14" s="66">
        <v>46141</v>
      </c>
      <c r="AT14" s="66">
        <v>46142</v>
      </c>
      <c r="AU14" s="66">
        <v>46143</v>
      </c>
      <c r="AV14" s="66">
        <v>46144</v>
      </c>
      <c r="AW14" s="66">
        <v>46145</v>
      </c>
      <c r="AX14" s="66">
        <v>46146</v>
      </c>
      <c r="AY14" s="66">
        <v>46147</v>
      </c>
      <c r="AZ14" s="66">
        <v>46148</v>
      </c>
      <c r="BA14" s="66">
        <v>46149</v>
      </c>
      <c r="BB14" s="66">
        <v>46150</v>
      </c>
      <c r="BC14" s="66">
        <v>46151</v>
      </c>
      <c r="BD14" s="66">
        <v>46152</v>
      </c>
    </row>
    <row r="15" spans="1:56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</row>
    <row r="16" spans="1:56" s="2" customFormat="1" x14ac:dyDescent="0.25">
      <c r="A16" s="39" t="s">
        <v>0</v>
      </c>
      <c r="B16" s="20"/>
      <c r="C16" s="29">
        <v>0</v>
      </c>
      <c r="D16" s="29"/>
      <c r="E16" s="29">
        <f t="shared" ref="E16:AI16" si="0">SUM(E17:E24)</f>
        <v>0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0</v>
      </c>
      <c r="M16" s="29">
        <f t="shared" si="0"/>
        <v>4875000</v>
      </c>
      <c r="N16" s="29">
        <f t="shared" si="0"/>
        <v>3000000</v>
      </c>
      <c r="O16" s="29">
        <f t="shared" si="0"/>
        <v>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8736428.3643999994</v>
      </c>
      <c r="AJ16" s="29">
        <f t="shared" ref="AJ16:BD16" si="1">SUM(AJ17:AJ24)</f>
        <v>0</v>
      </c>
      <c r="AK16" s="29">
        <f t="shared" si="1"/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29">
        <f t="shared" si="1"/>
        <v>0</v>
      </c>
      <c r="AR16" s="29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7037500</v>
      </c>
      <c r="AW16" s="29">
        <f t="shared" si="1"/>
        <v>0</v>
      </c>
      <c r="AX16" s="29">
        <f t="shared" si="1"/>
        <v>0</v>
      </c>
      <c r="AY16" s="29">
        <f t="shared" si="1"/>
        <v>0</v>
      </c>
      <c r="AZ16" s="29">
        <f t="shared" si="1"/>
        <v>0</v>
      </c>
      <c r="BA16" s="29">
        <f t="shared" si="1"/>
        <v>0</v>
      </c>
      <c r="BB16" s="29">
        <f t="shared" si="1"/>
        <v>0</v>
      </c>
      <c r="BC16" s="29">
        <f t="shared" si="1"/>
        <v>0</v>
      </c>
      <c r="BD16" s="29">
        <f t="shared" si="1"/>
        <v>0</v>
      </c>
    </row>
    <row r="17" spans="1:56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</row>
    <row r="18" spans="1:56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>
        <v>3000000</v>
      </c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</row>
    <row r="19" spans="1:56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</row>
    <row r="20" spans="1:56" s="80" customFormat="1" ht="13.5" customHeight="1" x14ac:dyDescent="0.25">
      <c r="A20" s="40" t="s">
        <v>12</v>
      </c>
      <c r="B20" s="21"/>
      <c r="C20" s="59"/>
      <c r="D20" s="30"/>
      <c r="E20" s="30"/>
      <c r="F20" s="30"/>
      <c r="G20" s="30"/>
      <c r="H20" s="30"/>
      <c r="I20" s="30"/>
      <c r="J20" s="30"/>
      <c r="K20" s="30"/>
      <c r="L20" s="30"/>
      <c r="M20" s="32">
        <v>4875000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>
        <v>7037500</v>
      </c>
      <c r="AW20" s="30"/>
      <c r="AX20" s="30"/>
      <c r="AY20" s="30"/>
      <c r="AZ20" s="30"/>
      <c r="BA20" s="30"/>
      <c r="BB20" s="30"/>
      <c r="BC20" s="30"/>
      <c r="BD20" s="30"/>
    </row>
    <row r="21" spans="1:56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2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</row>
    <row r="22" spans="1:56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3">
        <f>90144.8*A3</f>
        <v>8736428.3643999994</v>
      </c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</row>
    <row r="23" spans="1:56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</row>
    <row r="24" spans="1:56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</row>
    <row r="25" spans="1:56" s="4" customFormat="1" x14ac:dyDescent="0.2">
      <c r="A25" s="41" t="s">
        <v>1</v>
      </c>
      <c r="B25" s="22"/>
      <c r="C25" s="34">
        <f>SUM(C27:C64)</f>
        <v>15302114.231120002</v>
      </c>
      <c r="D25" s="34"/>
      <c r="E25" s="34">
        <f t="shared" ref="E25:AI25" si="2">SUM(E26:E65)</f>
        <v>680000</v>
      </c>
      <c r="F25" s="34">
        <f t="shared" si="2"/>
        <v>0</v>
      </c>
      <c r="G25" s="34">
        <f t="shared" si="2"/>
        <v>0</v>
      </c>
      <c r="H25" s="34">
        <f t="shared" si="2"/>
        <v>695000</v>
      </c>
      <c r="I25" s="34">
        <f t="shared" si="2"/>
        <v>686022.9</v>
      </c>
      <c r="J25" s="34">
        <f t="shared" si="2"/>
        <v>1160468.07</v>
      </c>
      <c r="K25" s="34">
        <f t="shared" si="2"/>
        <v>680000</v>
      </c>
      <c r="L25" s="34">
        <f t="shared" si="2"/>
        <v>1580742.9622499999</v>
      </c>
      <c r="M25" s="34">
        <f t="shared" si="2"/>
        <v>1490000</v>
      </c>
      <c r="N25" s="34">
        <f t="shared" si="2"/>
        <v>0</v>
      </c>
      <c r="O25" s="34">
        <f t="shared" si="2"/>
        <v>3659453.1049999995</v>
      </c>
      <c r="P25" s="34">
        <f t="shared" si="2"/>
        <v>541244.63500000001</v>
      </c>
      <c r="Q25" s="34">
        <f t="shared" si="2"/>
        <v>350444.63500000001</v>
      </c>
      <c r="R25" s="34">
        <f t="shared" si="2"/>
        <v>350444.63500000001</v>
      </c>
      <c r="S25" s="34">
        <f t="shared" si="2"/>
        <v>439744.63500000001</v>
      </c>
      <c r="T25" s="34">
        <f t="shared" si="2"/>
        <v>196954.45440000002</v>
      </c>
      <c r="U25" s="34">
        <f t="shared" si="2"/>
        <v>878889.5</v>
      </c>
      <c r="V25" s="34">
        <f t="shared" si="2"/>
        <v>440113.3</v>
      </c>
      <c r="W25" s="34">
        <f t="shared" si="2"/>
        <v>990000</v>
      </c>
      <c r="X25" s="34">
        <f t="shared" si="2"/>
        <v>240000</v>
      </c>
      <c r="Y25" s="34">
        <f t="shared" si="2"/>
        <v>739410</v>
      </c>
      <c r="Z25" s="34">
        <f t="shared" si="2"/>
        <v>360000</v>
      </c>
      <c r="AA25" s="34">
        <f t="shared" si="2"/>
        <v>952217.27500000002</v>
      </c>
      <c r="AB25" s="34">
        <f t="shared" si="2"/>
        <v>0</v>
      </c>
      <c r="AC25" s="34">
        <f t="shared" si="2"/>
        <v>0</v>
      </c>
      <c r="AD25" s="34">
        <f t="shared" si="2"/>
        <v>0</v>
      </c>
      <c r="AE25" s="34">
        <f t="shared" si="2"/>
        <v>515224</v>
      </c>
      <c r="AF25" s="34">
        <f t="shared" si="2"/>
        <v>0</v>
      </c>
      <c r="AG25" s="34">
        <f t="shared" si="2"/>
        <v>0</v>
      </c>
      <c r="AH25" s="34">
        <f t="shared" si="2"/>
        <v>160000</v>
      </c>
      <c r="AI25" s="34">
        <f t="shared" si="2"/>
        <v>2264492.6</v>
      </c>
      <c r="AJ25" s="34">
        <f t="shared" ref="AJ25:BD25" si="3">SUM(AJ26:AJ65)</f>
        <v>0</v>
      </c>
      <c r="AK25" s="34">
        <f t="shared" si="3"/>
        <v>0</v>
      </c>
      <c r="AL25" s="34">
        <f t="shared" si="3"/>
        <v>0</v>
      </c>
      <c r="AM25" s="34">
        <f t="shared" si="3"/>
        <v>0</v>
      </c>
      <c r="AN25" s="34">
        <f t="shared" si="3"/>
        <v>0</v>
      </c>
      <c r="AO25" s="34">
        <f t="shared" si="3"/>
        <v>321857.11</v>
      </c>
      <c r="AP25" s="34">
        <f t="shared" si="3"/>
        <v>0</v>
      </c>
      <c r="AQ25" s="34">
        <f t="shared" si="3"/>
        <v>0</v>
      </c>
      <c r="AR25" s="34">
        <f t="shared" si="3"/>
        <v>2000000</v>
      </c>
      <c r="AS25" s="34">
        <f t="shared" si="3"/>
        <v>0</v>
      </c>
      <c r="AT25" s="34">
        <f t="shared" si="3"/>
        <v>0</v>
      </c>
      <c r="AU25" s="34">
        <f t="shared" si="3"/>
        <v>112000</v>
      </c>
      <c r="AV25" s="34">
        <f t="shared" si="3"/>
        <v>0</v>
      </c>
      <c r="AW25" s="34">
        <f t="shared" si="3"/>
        <v>0</v>
      </c>
      <c r="AX25" s="34">
        <f t="shared" si="3"/>
        <v>515224</v>
      </c>
      <c r="AY25" s="34">
        <f t="shared" si="3"/>
        <v>0</v>
      </c>
      <c r="AZ25" s="34">
        <f t="shared" si="3"/>
        <v>0</v>
      </c>
      <c r="BA25" s="34">
        <f t="shared" si="3"/>
        <v>0</v>
      </c>
      <c r="BB25" s="34">
        <f t="shared" si="3"/>
        <v>0</v>
      </c>
      <c r="BC25" s="34">
        <f t="shared" si="3"/>
        <v>0</v>
      </c>
      <c r="BD25" s="34">
        <f t="shared" si="3"/>
        <v>0</v>
      </c>
    </row>
    <row r="26" spans="1:56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</row>
    <row r="27" spans="1:56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>
        <v>194014.26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</row>
    <row r="28" spans="1:56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</row>
    <row r="29" spans="1:56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>
        <v>1835137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</row>
    <row r="30" spans="1:56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>
        <v>180947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90">
        <v>2000000</v>
      </c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</row>
    <row r="31" spans="1:56" s="1" customFormat="1" x14ac:dyDescent="0.2">
      <c r="A31" s="36" t="s">
        <v>7</v>
      </c>
      <c r="B31" s="23" t="s">
        <v>8</v>
      </c>
      <c r="C31" s="60"/>
      <c r="D31" s="24"/>
      <c r="E31" s="24"/>
      <c r="F31" s="24"/>
      <c r="G31" s="24"/>
      <c r="H31" s="24"/>
      <c r="I31" s="24"/>
      <c r="J31" s="24">
        <f>643714.22/2</f>
        <v>321857.11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>
        <v>750000</v>
      </c>
      <c r="X31" s="24"/>
      <c r="Y31" s="24"/>
      <c r="Z31" s="24">
        <v>360000</v>
      </c>
      <c r="AA31" s="24"/>
      <c r="AB31" s="24"/>
      <c r="AC31" s="24"/>
      <c r="AD31" s="24"/>
      <c r="AE31" s="24"/>
      <c r="AF31" s="24"/>
      <c r="AG31" s="24"/>
      <c r="AH31" s="24"/>
      <c r="AI31" s="24">
        <v>560000</v>
      </c>
      <c r="AJ31" s="24"/>
      <c r="AK31" s="24"/>
      <c r="AL31" s="24"/>
      <c r="AM31" s="24"/>
      <c r="AN31" s="24"/>
      <c r="AO31" s="24">
        <f>643714.22/2</f>
        <v>321857.11</v>
      </c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</row>
    <row r="32" spans="1:56" s="1" customFormat="1" x14ac:dyDescent="0.2">
      <c r="A32" s="36" t="s">
        <v>54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</row>
    <row r="33" spans="1:56" s="1" customFormat="1" x14ac:dyDescent="0.2">
      <c r="A33" s="36" t="s">
        <v>71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>
        <f>30000+10500+3500</f>
        <v>44000</v>
      </c>
      <c r="T33" s="24"/>
      <c r="U33" s="24"/>
      <c r="V33" s="24">
        <v>200113.3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</row>
    <row r="34" spans="1:56" s="1" customFormat="1" x14ac:dyDescent="0.2">
      <c r="A34" s="36" t="s">
        <v>53</v>
      </c>
      <c r="B34" s="23"/>
      <c r="C34" s="60"/>
      <c r="D34" s="24"/>
      <c r="E34" s="100">
        <v>30000</v>
      </c>
      <c r="F34" s="24"/>
      <c r="G34" s="24"/>
      <c r="H34" s="100">
        <v>60000</v>
      </c>
      <c r="I34" s="100">
        <v>51022.9</v>
      </c>
      <c r="J34" s="100">
        <v>25000</v>
      </c>
      <c r="K34" s="100">
        <v>30000</v>
      </c>
      <c r="L34" s="24"/>
      <c r="M34" s="24"/>
      <c r="N34" s="24"/>
      <c r="O34" s="24"/>
      <c r="P34" s="24"/>
      <c r="Q34" s="24"/>
      <c r="R34" s="24"/>
      <c r="S34" s="24"/>
      <c r="T34" s="24"/>
      <c r="U34" s="24">
        <v>545949.5</v>
      </c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>
        <v>160000</v>
      </c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</row>
    <row r="35" spans="1:56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</row>
    <row r="36" spans="1:56" s="71" customFormat="1" x14ac:dyDescent="0.2">
      <c r="A36" s="69" t="s">
        <v>14</v>
      </c>
      <c r="B36" s="25" t="s">
        <v>30</v>
      </c>
      <c r="C36" s="70">
        <v>900000</v>
      </c>
      <c r="D36" s="24"/>
      <c r="E36" s="95">
        <v>100000</v>
      </c>
      <c r="F36" s="24"/>
      <c r="G36" s="24"/>
      <c r="H36" s="95">
        <v>125000</v>
      </c>
      <c r="I36" s="95">
        <v>125000</v>
      </c>
      <c r="J36" s="95">
        <v>125000</v>
      </c>
      <c r="K36" s="95">
        <v>100000</v>
      </c>
      <c r="L36" s="95">
        <v>125000</v>
      </c>
      <c r="M36" s="24"/>
      <c r="N36" s="24"/>
      <c r="O36" s="95">
        <v>100000</v>
      </c>
      <c r="P36" s="95">
        <v>100000</v>
      </c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</row>
    <row r="37" spans="1:56" s="71" customFormat="1" x14ac:dyDescent="0.2">
      <c r="A37" s="69" t="s">
        <v>17</v>
      </c>
      <c r="B37" s="25" t="s">
        <v>41</v>
      </c>
      <c r="C37" s="70">
        <v>1850000</v>
      </c>
      <c r="D37" s="24"/>
      <c r="E37" s="95">
        <v>50000</v>
      </c>
      <c r="F37" s="24"/>
      <c r="G37" s="24"/>
      <c r="H37" s="95">
        <v>50000</v>
      </c>
      <c r="I37" s="95">
        <v>50000</v>
      </c>
      <c r="J37" s="95">
        <v>25000</v>
      </c>
      <c r="K37" s="95"/>
      <c r="L37" s="95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</row>
    <row r="38" spans="1:56" s="71" customFormat="1" x14ac:dyDescent="0.2">
      <c r="A38" s="69" t="s">
        <v>15</v>
      </c>
      <c r="B38" s="25" t="s">
        <v>31</v>
      </c>
      <c r="C38" s="70">
        <v>729464</v>
      </c>
      <c r="D38" s="24"/>
      <c r="E38" s="95">
        <v>50000</v>
      </c>
      <c r="F38" s="24"/>
      <c r="G38" s="24"/>
      <c r="H38" s="95"/>
      <c r="I38" s="95"/>
      <c r="J38" s="95"/>
      <c r="K38" s="95"/>
      <c r="L38" s="95"/>
      <c r="M38" s="24"/>
      <c r="N38" s="24"/>
      <c r="O38" s="100">
        <f>515224</f>
        <v>515224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100">
        <v>515224</v>
      </c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98">
        <v>515224</v>
      </c>
      <c r="AY38" s="24"/>
      <c r="AZ38" s="24"/>
      <c r="BA38" s="24"/>
      <c r="BB38" s="24"/>
      <c r="BC38" s="24"/>
      <c r="BD38" s="24"/>
    </row>
    <row r="39" spans="1:56" s="71" customFormat="1" x14ac:dyDescent="0.2">
      <c r="A39" s="69" t="s">
        <v>18</v>
      </c>
      <c r="B39" s="25" t="s">
        <v>32</v>
      </c>
      <c r="C39" s="70">
        <v>1400000</v>
      </c>
      <c r="D39" s="24"/>
      <c r="E39" s="102">
        <v>100000</v>
      </c>
      <c r="F39" s="24"/>
      <c r="G39" s="24"/>
      <c r="H39" s="95">
        <v>100000</v>
      </c>
      <c r="I39" s="95">
        <v>130000</v>
      </c>
      <c r="J39" s="95">
        <v>130000</v>
      </c>
      <c r="K39" s="95">
        <v>160000</v>
      </c>
      <c r="L39" s="95"/>
      <c r="M39" s="24"/>
      <c r="N39" s="24"/>
      <c r="O39" s="24"/>
      <c r="P39" s="95">
        <v>100000</v>
      </c>
      <c r="Q39" s="95">
        <v>100000</v>
      </c>
      <c r="R39" s="95">
        <v>100000</v>
      </c>
      <c r="S39" s="95">
        <v>100000</v>
      </c>
      <c r="T39" s="24"/>
      <c r="U39" s="24"/>
      <c r="V39" s="95">
        <v>120000</v>
      </c>
      <c r="W39" s="95">
        <v>120000</v>
      </c>
      <c r="X39" s="95">
        <v>120000</v>
      </c>
      <c r="Y39" s="95">
        <v>120000</v>
      </c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</row>
    <row r="40" spans="1:56" s="73" customFormat="1" x14ac:dyDescent="0.2">
      <c r="A40" s="69" t="s">
        <v>21</v>
      </c>
      <c r="B40" s="25" t="s">
        <v>45</v>
      </c>
      <c r="C40" s="70">
        <v>1588223</v>
      </c>
      <c r="D40" s="72"/>
      <c r="E40" s="102">
        <v>100000</v>
      </c>
      <c r="F40" s="72"/>
      <c r="G40" s="72"/>
      <c r="H40" s="95">
        <v>100000</v>
      </c>
      <c r="I40" s="95">
        <v>130000</v>
      </c>
      <c r="J40" s="95">
        <v>130000</v>
      </c>
      <c r="K40" s="95">
        <v>160000</v>
      </c>
      <c r="L40" s="102"/>
      <c r="M40" s="72"/>
      <c r="N40" s="72"/>
      <c r="O40" s="24"/>
      <c r="P40" s="95">
        <v>100000</v>
      </c>
      <c r="Q40" s="95">
        <v>100000</v>
      </c>
      <c r="R40" s="95">
        <v>100000</v>
      </c>
      <c r="S40" s="95">
        <v>100000</v>
      </c>
      <c r="T40" s="24"/>
      <c r="U40" s="24"/>
      <c r="V40" s="95">
        <v>120000</v>
      </c>
      <c r="W40" s="95">
        <v>120000</v>
      </c>
      <c r="X40" s="95">
        <v>120000</v>
      </c>
      <c r="Y40" s="95">
        <v>120000</v>
      </c>
      <c r="Z40" s="24"/>
      <c r="AA40" s="24"/>
      <c r="AB40" s="24"/>
      <c r="AC40" s="24"/>
      <c r="AD40" s="24"/>
      <c r="AE40" s="24"/>
      <c r="AF40" s="24"/>
      <c r="AG40" s="24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</row>
    <row r="41" spans="1:56" s="71" customFormat="1" x14ac:dyDescent="0.2">
      <c r="A41" s="69" t="s">
        <v>19</v>
      </c>
      <c r="B41" s="25" t="s">
        <v>46</v>
      </c>
      <c r="C41" s="70">
        <v>1259901.5</v>
      </c>
      <c r="D41" s="24"/>
      <c r="E41" s="95">
        <v>50000</v>
      </c>
      <c r="F41" s="24"/>
      <c r="G41" s="24"/>
      <c r="H41" s="95">
        <v>50000</v>
      </c>
      <c r="I41" s="95">
        <v>50000</v>
      </c>
      <c r="J41" s="95">
        <v>50000</v>
      </c>
      <c r="K41" s="95">
        <v>50000</v>
      </c>
      <c r="L41" s="95">
        <v>50000</v>
      </c>
      <c r="M41" s="24"/>
      <c r="N41" s="24"/>
      <c r="O41" s="95">
        <v>50000</v>
      </c>
      <c r="P41" s="95">
        <v>50000</v>
      </c>
      <c r="Q41" s="95">
        <v>50000</v>
      </c>
      <c r="R41" s="95">
        <v>50000</v>
      </c>
      <c r="S41" s="95">
        <v>50000</v>
      </c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</row>
    <row r="42" spans="1:56" s="71" customFormat="1" x14ac:dyDescent="0.2">
      <c r="A42" s="69" t="s">
        <v>16</v>
      </c>
      <c r="B42" s="25" t="s">
        <v>32</v>
      </c>
      <c r="C42" s="70">
        <v>481200</v>
      </c>
      <c r="D42" s="24"/>
      <c r="E42" s="95">
        <v>50000</v>
      </c>
      <c r="F42" s="24"/>
      <c r="G42" s="24"/>
      <c r="H42" s="95">
        <v>50000</v>
      </c>
      <c r="I42" s="95">
        <v>50000</v>
      </c>
      <c r="J42" s="95">
        <v>50000</v>
      </c>
      <c r="K42" s="95">
        <v>50000</v>
      </c>
      <c r="L42" s="95">
        <v>50000</v>
      </c>
      <c r="M42" s="24"/>
      <c r="N42" s="24"/>
      <c r="O42" s="98">
        <v>665880</v>
      </c>
      <c r="P42" s="95">
        <v>45300</v>
      </c>
      <c r="Q42" s="95">
        <v>45300</v>
      </c>
      <c r="R42" s="95">
        <v>45300</v>
      </c>
      <c r="S42" s="95">
        <v>45300</v>
      </c>
      <c r="T42" s="24"/>
      <c r="U42" s="98">
        <v>332940</v>
      </c>
      <c r="V42" s="24"/>
      <c r="W42" s="24"/>
      <c r="X42" s="24"/>
      <c r="Y42" s="98">
        <v>499410</v>
      </c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</row>
    <row r="43" spans="1:56" s="71" customFormat="1" x14ac:dyDescent="0.2">
      <c r="A43" s="69" t="s">
        <v>85</v>
      </c>
      <c r="B43" s="25" t="s">
        <v>47</v>
      </c>
      <c r="C43" s="70">
        <v>509027.4</v>
      </c>
      <c r="D43" s="24"/>
      <c r="E43" s="95">
        <v>50000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100">
        <v>218623.78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</row>
    <row r="44" spans="1:56" s="73" customFormat="1" x14ac:dyDescent="0.2">
      <c r="A44" s="69" t="s">
        <v>22</v>
      </c>
      <c r="B44" s="25" t="s">
        <v>48</v>
      </c>
      <c r="C44" s="75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24"/>
      <c r="P44" s="24"/>
      <c r="Q44" s="24"/>
      <c r="R44" s="24"/>
      <c r="S44" s="24"/>
      <c r="T44" s="100">
        <f>15906*A9</f>
        <v>196954.45440000002</v>
      </c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</row>
    <row r="45" spans="1:56" s="71" customFormat="1" x14ac:dyDescent="0.2">
      <c r="A45" s="69" t="s">
        <v>36</v>
      </c>
      <c r="B45" s="25" t="s">
        <v>37</v>
      </c>
      <c r="C45" s="70"/>
      <c r="D45" s="24"/>
      <c r="E45" s="103">
        <v>25000</v>
      </c>
      <c r="F45" s="24"/>
      <c r="G45" s="24"/>
      <c r="H45" s="104">
        <v>25000</v>
      </c>
      <c r="I45" s="100">
        <v>25000</v>
      </c>
      <c r="J45" s="100">
        <v>25000</v>
      </c>
      <c r="K45" s="100">
        <v>50000</v>
      </c>
      <c r="L45" s="103">
        <f>3327.5*$A$6-40955.15-E45-H45-I45-J45-K45</f>
        <v>91342.962250000011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</row>
    <row r="46" spans="1:56" s="71" customFormat="1" x14ac:dyDescent="0.2">
      <c r="A46" s="69" t="s">
        <v>86</v>
      </c>
      <c r="B46" s="25" t="s">
        <v>35</v>
      </c>
      <c r="C46" s="70">
        <f>3250*$A$6</f>
        <v>275723.17499999999</v>
      </c>
      <c r="D46" s="77"/>
      <c r="E46" s="24"/>
      <c r="F46" s="24"/>
      <c r="G46" s="24"/>
      <c r="H46" s="24"/>
      <c r="I46" s="24"/>
      <c r="J46" s="98">
        <f>2400*$A$6</f>
        <v>203610.96000000002</v>
      </c>
      <c r="K46" s="24"/>
      <c r="L46" s="24"/>
      <c r="M46" s="24"/>
      <c r="N46" s="24"/>
      <c r="O46" s="95">
        <f>$C$46/5</f>
        <v>55144.634999999995</v>
      </c>
      <c r="P46" s="95">
        <f>$C$46/5</f>
        <v>55144.634999999995</v>
      </c>
      <c r="Q46" s="95">
        <f>$C$46/5</f>
        <v>55144.634999999995</v>
      </c>
      <c r="R46" s="95">
        <f>$C$46/5</f>
        <v>55144.634999999995</v>
      </c>
      <c r="S46" s="95">
        <f>$C$46/5</f>
        <v>55144.634999999995</v>
      </c>
      <c r="T46" s="24"/>
      <c r="U46" s="24"/>
      <c r="V46" s="24"/>
      <c r="W46" s="24"/>
      <c r="X46" s="24"/>
      <c r="Y46" s="24"/>
      <c r="Z46" s="24"/>
      <c r="AA46" s="100">
        <f>4050*A6</f>
        <v>343593.495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</row>
    <row r="47" spans="1:56" s="71" customFormat="1" x14ac:dyDescent="0.2">
      <c r="A47" s="69" t="s">
        <v>78</v>
      </c>
      <c r="B47" s="25" t="s">
        <v>79</v>
      </c>
      <c r="C47" s="70"/>
      <c r="D47" s="77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</row>
    <row r="48" spans="1:56" s="71" customFormat="1" x14ac:dyDescent="0.2">
      <c r="A48" s="69" t="s">
        <v>29</v>
      </c>
      <c r="B48" s="25" t="s">
        <v>42</v>
      </c>
      <c r="C48" s="70">
        <v>20000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</row>
    <row r="49" spans="1:56" s="71" customFormat="1" x14ac:dyDescent="0.2">
      <c r="A49" s="69" t="s">
        <v>29</v>
      </c>
      <c r="B49" s="25" t="s">
        <v>43</v>
      </c>
      <c r="C49" s="70">
        <v>439750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</row>
    <row r="50" spans="1:56" s="71" customFormat="1" x14ac:dyDescent="0.2">
      <c r="A50" s="69" t="s">
        <v>29</v>
      </c>
      <c r="B50" s="25" t="s">
        <v>55</v>
      </c>
      <c r="C50" s="76">
        <v>363106.21</v>
      </c>
      <c r="D50" s="24"/>
      <c r="E50" s="95">
        <v>50000</v>
      </c>
      <c r="F50" s="24"/>
      <c r="G50" s="24"/>
      <c r="H50" s="95">
        <v>50000</v>
      </c>
      <c r="I50" s="95">
        <v>50000</v>
      </c>
      <c r="J50" s="95">
        <v>50000</v>
      </c>
      <c r="K50" s="95">
        <v>50000</v>
      </c>
      <c r="L50" s="95">
        <v>50000</v>
      </c>
      <c r="M50" s="24"/>
      <c r="N50" s="24"/>
      <c r="O50" s="95">
        <v>63106.21</v>
      </c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</row>
    <row r="51" spans="1:56" s="71" customFormat="1" x14ac:dyDescent="0.2">
      <c r="A51" s="69" t="s">
        <v>40</v>
      </c>
      <c r="B51" s="25" t="s">
        <v>44</v>
      </c>
      <c r="C51" s="70"/>
      <c r="D51" s="24"/>
      <c r="E51" s="24"/>
      <c r="F51" s="24"/>
      <c r="G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</row>
    <row r="52" spans="1:56" s="71" customFormat="1" x14ac:dyDescent="0.2">
      <c r="A52" s="69" t="s">
        <v>34</v>
      </c>
      <c r="B52" s="25" t="s">
        <v>45</v>
      </c>
      <c r="C52" s="70"/>
      <c r="D52" s="77"/>
      <c r="E52" s="24"/>
      <c r="F52" s="24"/>
      <c r="G52" s="24"/>
      <c r="H52" s="24"/>
      <c r="I52" s="24"/>
      <c r="J52" s="24"/>
      <c r="K52" s="24"/>
      <c r="L52" s="98">
        <v>1214400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</row>
    <row r="53" spans="1:56" s="71" customFormat="1" x14ac:dyDescent="0.2">
      <c r="A53" s="69" t="s">
        <v>81</v>
      </c>
      <c r="B53" s="25" t="s">
        <v>82</v>
      </c>
      <c r="C53" s="70"/>
      <c r="D53" s="77"/>
      <c r="E53" s="24"/>
      <c r="F53" s="24"/>
      <c r="G53" s="24"/>
      <c r="H53" s="98">
        <v>60000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</row>
    <row r="54" spans="1:56" s="71" customFormat="1" x14ac:dyDescent="0.2">
      <c r="A54" s="69" t="s">
        <v>38</v>
      </c>
      <c r="B54" s="25" t="s">
        <v>39</v>
      </c>
      <c r="C54" s="70"/>
      <c r="D54" s="24"/>
      <c r="E54" s="100">
        <v>25000</v>
      </c>
      <c r="F54" s="24"/>
      <c r="G54" s="24"/>
      <c r="H54" s="100">
        <v>25000</v>
      </c>
      <c r="I54" s="100">
        <v>25000</v>
      </c>
      <c r="J54" s="100">
        <v>25000</v>
      </c>
      <c r="K54" s="100">
        <v>30000</v>
      </c>
      <c r="L54" s="24"/>
      <c r="M54" s="24"/>
      <c r="N54" s="24"/>
      <c r="O54" s="24"/>
      <c r="P54" s="100">
        <v>90800</v>
      </c>
      <c r="Q54" s="24"/>
      <c r="R54" s="24"/>
      <c r="S54" s="100">
        <v>45300</v>
      </c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</row>
    <row r="55" spans="1:56" s="71" customFormat="1" x14ac:dyDescent="0.2">
      <c r="A55" s="69" t="s">
        <v>74</v>
      </c>
      <c r="B55" s="25" t="s">
        <v>83</v>
      </c>
      <c r="C55" s="70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98">
        <v>104492.6</v>
      </c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</row>
    <row r="56" spans="1:56" s="73" customFormat="1" ht="2.25" customHeight="1" x14ac:dyDescent="0.2">
      <c r="A56" s="78"/>
      <c r="B56" s="79"/>
      <c r="C56" s="75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</row>
    <row r="57" spans="1:56" s="94" customFormat="1" ht="33.75" x14ac:dyDescent="0.2">
      <c r="A57" s="91" t="s">
        <v>60</v>
      </c>
      <c r="B57" s="92" t="s">
        <v>58</v>
      </c>
      <c r="C57" s="93">
        <v>248639.70012000017</v>
      </c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</row>
    <row r="58" spans="1:56" s="94" customFormat="1" ht="33.75" x14ac:dyDescent="0.2">
      <c r="A58" s="91" t="s">
        <v>60</v>
      </c>
      <c r="B58" s="92" t="s">
        <v>59</v>
      </c>
      <c r="C58" s="93">
        <v>0</v>
      </c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  <c r="AZ58" s="93"/>
      <c r="BA58" s="93"/>
      <c r="BB58" s="93"/>
      <c r="BC58" s="93"/>
      <c r="BD58" s="93"/>
    </row>
    <row r="59" spans="1:56" s="5" customFormat="1" ht="2.25" customHeight="1" x14ac:dyDescent="0.2">
      <c r="A59" s="42"/>
      <c r="B59" s="12"/>
      <c r="C59" s="68"/>
      <c r="D59" s="2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</row>
    <row r="60" spans="1:56" s="5" customFormat="1" x14ac:dyDescent="0.2">
      <c r="A60" s="36" t="s">
        <v>49</v>
      </c>
      <c r="B60" s="12"/>
      <c r="C60" s="13">
        <v>1600000</v>
      </c>
      <c r="D60" s="26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>
        <v>1600000</v>
      </c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  <row r="61" spans="1:56" s="5" customFormat="1" x14ac:dyDescent="0.2">
      <c r="A61" s="36" t="s">
        <v>57</v>
      </c>
      <c r="B61" s="12"/>
      <c r="C61" s="68"/>
      <c r="D61" s="26"/>
      <c r="E61" s="13"/>
      <c r="F61" s="13"/>
      <c r="G61" s="13"/>
      <c r="H61" s="13"/>
      <c r="I61" s="13"/>
      <c r="J61" s="13"/>
      <c r="K61" s="13"/>
      <c r="L61" s="13"/>
      <c r="M61" s="13">
        <v>1490000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</row>
    <row r="62" spans="1:56" s="5" customFormat="1" x14ac:dyDescent="0.2">
      <c r="A62" s="36" t="s">
        <v>61</v>
      </c>
      <c r="B62" s="12"/>
      <c r="C62" s="68"/>
      <c r="D62" s="26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>
        <v>390000</v>
      </c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>
        <v>112000</v>
      </c>
      <c r="AV62" s="13"/>
      <c r="AW62" s="13"/>
      <c r="AX62" s="13"/>
      <c r="AY62" s="13"/>
      <c r="AZ62" s="13"/>
      <c r="BA62" s="13"/>
      <c r="BB62" s="13"/>
      <c r="BC62" s="13"/>
      <c r="BD62" s="13"/>
    </row>
    <row r="63" spans="1:56" s="5" customFormat="1" ht="2.25" customHeight="1" x14ac:dyDescent="0.2">
      <c r="A63" s="42"/>
      <c r="B63" s="12"/>
      <c r="C63" s="68"/>
      <c r="D63" s="26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</row>
    <row r="64" spans="1:56" s="5" customFormat="1" x14ac:dyDescent="0.2">
      <c r="A64" s="36" t="s">
        <v>72</v>
      </c>
      <c r="B64" s="27" t="s">
        <v>73</v>
      </c>
      <c r="C64" s="62">
        <v>3637079.2460000003</v>
      </c>
      <c r="D64" s="35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</row>
    <row r="65" spans="1:56" s="5" customFormat="1" ht="2.25" customHeight="1" x14ac:dyDescent="0.2">
      <c r="A65" s="42"/>
      <c r="B65" s="12"/>
      <c r="C65" s="61"/>
      <c r="D65" s="26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</row>
    <row r="66" spans="1:56" s="84" customFormat="1" x14ac:dyDescent="0.2">
      <c r="A66" s="81" t="s">
        <v>66</v>
      </c>
      <c r="B66" s="82"/>
      <c r="C66" s="63"/>
      <c r="D66" s="83"/>
      <c r="E66" s="83">
        <f>$C$5+E16-E25</f>
        <v>5135933.3500000006</v>
      </c>
      <c r="F66" s="83">
        <f t="shared" ref="F66:K66" si="4">E66+F16-F25</f>
        <v>5135933.3500000006</v>
      </c>
      <c r="G66" s="83">
        <f t="shared" si="4"/>
        <v>5135933.3500000006</v>
      </c>
      <c r="H66" s="83">
        <f t="shared" si="4"/>
        <v>4440933.3500000006</v>
      </c>
      <c r="I66" s="83">
        <f t="shared" si="4"/>
        <v>3754910.4500000007</v>
      </c>
      <c r="J66" s="83">
        <f t="shared" si="4"/>
        <v>2594442.3800000008</v>
      </c>
      <c r="K66" s="83">
        <f t="shared" si="4"/>
        <v>1914442.3800000008</v>
      </c>
      <c r="L66" s="83">
        <f t="shared" ref="L66:BD66" si="5">K66+L16-L25</f>
        <v>333699.41775000095</v>
      </c>
      <c r="M66" s="83">
        <f t="shared" si="5"/>
        <v>3718699.417750001</v>
      </c>
      <c r="N66" s="83">
        <f t="shared" si="5"/>
        <v>6718699.417750001</v>
      </c>
      <c r="O66" s="83">
        <f t="shared" si="5"/>
        <v>3059246.3127500014</v>
      </c>
      <c r="P66" s="83">
        <f t="shared" si="5"/>
        <v>2518001.6777500017</v>
      </c>
      <c r="Q66" s="83">
        <f t="shared" si="5"/>
        <v>2167557.0427500019</v>
      </c>
      <c r="R66" s="83">
        <f t="shared" si="5"/>
        <v>1817112.4077500019</v>
      </c>
      <c r="S66" s="83">
        <f t="shared" si="5"/>
        <v>1377367.7727500019</v>
      </c>
      <c r="T66" s="83">
        <f t="shared" si="5"/>
        <v>1180413.3183500019</v>
      </c>
      <c r="U66" s="83">
        <f t="shared" si="5"/>
        <v>301523.81835000194</v>
      </c>
      <c r="V66" s="83">
        <f t="shared" si="5"/>
        <v>-138589.48164999805</v>
      </c>
      <c r="W66" s="83">
        <f t="shared" si="5"/>
        <v>-1128589.4816499981</v>
      </c>
      <c r="X66" s="83">
        <f t="shared" si="5"/>
        <v>-1368589.4816499981</v>
      </c>
      <c r="Y66" s="83">
        <f t="shared" si="5"/>
        <v>-2107999.4816499981</v>
      </c>
      <c r="Z66" s="83">
        <f t="shared" si="5"/>
        <v>-2467999.4816499981</v>
      </c>
      <c r="AA66" s="83">
        <f t="shared" si="5"/>
        <v>-3420216.756649998</v>
      </c>
      <c r="AB66" s="83">
        <f t="shared" si="5"/>
        <v>-3420216.756649998</v>
      </c>
      <c r="AC66" s="83">
        <f t="shared" si="5"/>
        <v>-3420216.756649998</v>
      </c>
      <c r="AD66" s="83">
        <f t="shared" si="5"/>
        <v>-3420216.756649998</v>
      </c>
      <c r="AE66" s="83">
        <f t="shared" si="5"/>
        <v>-3935440.756649998</v>
      </c>
      <c r="AF66" s="83">
        <f t="shared" si="5"/>
        <v>-3935440.756649998</v>
      </c>
      <c r="AG66" s="83">
        <f t="shared" si="5"/>
        <v>-3935440.756649998</v>
      </c>
      <c r="AH66" s="83">
        <f t="shared" si="5"/>
        <v>-4095440.756649998</v>
      </c>
      <c r="AI66" s="83">
        <f t="shared" si="5"/>
        <v>2376495.0077500013</v>
      </c>
      <c r="AJ66" s="83">
        <f t="shared" si="5"/>
        <v>2376495.0077500013</v>
      </c>
      <c r="AK66" s="83">
        <f t="shared" si="5"/>
        <v>2376495.0077500013</v>
      </c>
      <c r="AL66" s="83">
        <f t="shared" si="5"/>
        <v>2376495.0077500013</v>
      </c>
      <c r="AM66" s="83">
        <f t="shared" si="5"/>
        <v>2376495.0077500013</v>
      </c>
      <c r="AN66" s="83">
        <f t="shared" si="5"/>
        <v>2376495.0077500013</v>
      </c>
      <c r="AO66" s="83">
        <f t="shared" si="5"/>
        <v>2054637.8977500014</v>
      </c>
      <c r="AP66" s="83">
        <f t="shared" si="5"/>
        <v>2054637.8977500014</v>
      </c>
      <c r="AQ66" s="83">
        <f t="shared" si="5"/>
        <v>2054637.8977500014</v>
      </c>
      <c r="AR66" s="83">
        <f t="shared" si="5"/>
        <v>54637.897750001401</v>
      </c>
      <c r="AS66" s="83">
        <f t="shared" si="5"/>
        <v>54637.897750001401</v>
      </c>
      <c r="AT66" s="83">
        <f t="shared" si="5"/>
        <v>54637.897750001401</v>
      </c>
      <c r="AU66" s="83">
        <f t="shared" si="5"/>
        <v>-57362.102249998599</v>
      </c>
      <c r="AV66" s="83">
        <f t="shared" si="5"/>
        <v>6980137.8977500014</v>
      </c>
      <c r="AW66" s="83">
        <f t="shared" si="5"/>
        <v>6980137.8977500014</v>
      </c>
      <c r="AX66" s="83">
        <f t="shared" si="5"/>
        <v>6464913.8977500014</v>
      </c>
      <c r="AY66" s="83">
        <f t="shared" si="5"/>
        <v>6464913.8977500014</v>
      </c>
      <c r="AZ66" s="83">
        <f t="shared" si="5"/>
        <v>6464913.8977500014</v>
      </c>
      <c r="BA66" s="83">
        <f t="shared" si="5"/>
        <v>6464913.8977500014</v>
      </c>
      <c r="BB66" s="83">
        <f t="shared" si="5"/>
        <v>6464913.8977500014</v>
      </c>
      <c r="BC66" s="83">
        <f t="shared" si="5"/>
        <v>6464913.8977500014</v>
      </c>
      <c r="BD66" s="83">
        <f t="shared" si="5"/>
        <v>6464913.8977500014</v>
      </c>
    </row>
    <row r="68" spans="1:56" s="5" customFormat="1" ht="2.25" customHeight="1" x14ac:dyDescent="0.2">
      <c r="A68" s="42"/>
      <c r="B68" s="12"/>
      <c r="C68" s="68"/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</row>
    <row r="69" spans="1:56" s="89" customFormat="1" ht="11.25" customHeight="1" x14ac:dyDescent="0.2">
      <c r="A69" s="85" t="s">
        <v>65</v>
      </c>
      <c r="B69" s="86"/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</row>
    <row r="70" spans="1:56" s="5" customFormat="1" ht="22.5" x14ac:dyDescent="0.2">
      <c r="A70" s="36" t="s">
        <v>67</v>
      </c>
      <c r="B70" s="27" t="s">
        <v>68</v>
      </c>
      <c r="C70" s="68">
        <v>3221210.79</v>
      </c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</row>
    <row r="71" spans="1:56" s="5" customFormat="1" x14ac:dyDescent="0.2">
      <c r="A71" s="36" t="s">
        <v>69</v>
      </c>
      <c r="B71" s="27" t="s">
        <v>70</v>
      </c>
      <c r="C71" s="68">
        <v>9814338.4000000004</v>
      </c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</row>
    <row r="72" spans="1:56" s="5" customFormat="1" x14ac:dyDescent="0.2">
      <c r="A72" s="36"/>
      <c r="B72" s="27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</row>
    <row r="73" spans="1:56" s="5" customFormat="1" x14ac:dyDescent="0.2">
      <c r="A73" s="36"/>
      <c r="B73" s="27"/>
      <c r="C73" s="68"/>
      <c r="D73" s="26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</row>
    <row r="75" spans="1:56" x14ac:dyDescent="0.25">
      <c r="B75" s="14"/>
    </row>
  </sheetData>
  <pageMargins left="0.7" right="0.7" top="0.75" bottom="0.75" header="0.3" footer="0.3"/>
  <pageSetup paperSize="9" orientation="portrait" r:id="rId1"/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74"/>
  <sheetViews>
    <sheetView zoomScaleNormal="100" workbookViewId="0">
      <pane xSplit="3" ySplit="14" topLeftCell="D30" activePane="bottomRight" state="frozen"/>
      <selection pane="topRight" activeCell="D1" sqref="D1"/>
      <selection pane="bottomLeft" activeCell="A15" sqref="A15"/>
      <selection pane="bottomRight" activeCell="C11" sqref="C11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6" width="10.85546875" style="3" bestFit="1" customWidth="1"/>
    <col min="7" max="8" width="10.85546875" style="3" customWidth="1"/>
    <col min="9" max="18" width="10.85546875" style="3" bestFit="1" customWidth="1"/>
    <col min="19" max="24" width="11.7109375" style="3" bestFit="1" customWidth="1"/>
    <col min="25" max="27" width="11.7109375" style="3" customWidth="1"/>
    <col min="28" max="35" width="11.7109375" style="3" bestFit="1" customWidth="1"/>
    <col min="36" max="57" width="10.85546875" style="3" bestFit="1" customWidth="1"/>
    <col min="58" max="16384" width="9" style="3"/>
  </cols>
  <sheetData>
    <row r="1" spans="1:57" ht="12" thickBot="1" x14ac:dyDescent="0.3"/>
    <row r="2" spans="1:57" s="1" customFormat="1" x14ac:dyDescent="0.2">
      <c r="A2" s="43" t="s">
        <v>50</v>
      </c>
      <c r="B2" s="15" t="s">
        <v>27</v>
      </c>
      <c r="C2" s="50">
        <v>6173661.6399999997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57" s="1" customFormat="1" ht="12" thickBot="1" x14ac:dyDescent="0.25">
      <c r="A3" s="44">
        <v>94.666300000000007</v>
      </c>
      <c r="B3" s="15" t="s">
        <v>28</v>
      </c>
      <c r="C3" s="50">
        <v>10778.95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57" s="8" customFormat="1" ht="12" thickBot="1" x14ac:dyDescent="0.25">
      <c r="A4" s="45"/>
      <c r="B4" s="15" t="s">
        <v>25</v>
      </c>
      <c r="C4" s="51">
        <v>0</v>
      </c>
    </row>
    <row r="5" spans="1:57" s="6" customFormat="1" x14ac:dyDescent="0.2">
      <c r="A5" s="43" t="s">
        <v>51</v>
      </c>
      <c r="B5" s="49" t="s">
        <v>26</v>
      </c>
      <c r="C5" s="52">
        <f>SUM(C2:C4)</f>
        <v>6184440.5899999999</v>
      </c>
    </row>
    <row r="6" spans="1:57" s="6" customFormat="1" ht="12" thickBot="1" x14ac:dyDescent="0.25">
      <c r="A6" s="44">
        <v>83.125900000000001</v>
      </c>
      <c r="B6" s="16"/>
      <c r="C6" s="53"/>
      <c r="D6" s="17"/>
    </row>
    <row r="7" spans="1:57" s="6" customFormat="1" ht="12" thickBot="1" x14ac:dyDescent="0.25">
      <c r="A7" s="46"/>
      <c r="B7" s="18" t="s">
        <v>62</v>
      </c>
      <c r="C7" s="54">
        <f>SUM(D16:AW16)</f>
        <v>24175174.680240002</v>
      </c>
    </row>
    <row r="8" spans="1:57" x14ac:dyDescent="0.25">
      <c r="A8" s="43" t="s">
        <v>52</v>
      </c>
      <c r="B8" s="18" t="s">
        <v>77</v>
      </c>
      <c r="C8" s="54">
        <f>SUM(D25:BE25)</f>
        <v>23902467.260249998</v>
      </c>
    </row>
    <row r="9" spans="1:57" ht="12" thickBot="1" x14ac:dyDescent="0.3">
      <c r="A9" s="44">
        <v>12.115500000000001</v>
      </c>
      <c r="B9" s="19" t="s">
        <v>64</v>
      </c>
      <c r="C9" s="55">
        <f>C5+C7-C8-C11</f>
        <v>-9635230.2131299973</v>
      </c>
    </row>
    <row r="10" spans="1:57" x14ac:dyDescent="0.25">
      <c r="B10" s="18" t="s">
        <v>23</v>
      </c>
      <c r="C10" s="56">
        <f>C16</f>
        <v>0</v>
      </c>
    </row>
    <row r="11" spans="1:57" x14ac:dyDescent="0.25">
      <c r="B11" s="18" t="s">
        <v>24</v>
      </c>
      <c r="C11" s="54">
        <f>C25</f>
        <v>16092378.22312</v>
      </c>
    </row>
    <row r="13" spans="1:57" ht="3" customHeight="1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</row>
    <row r="14" spans="1:57" s="2" customFormat="1" x14ac:dyDescent="0.25">
      <c r="A14" s="64"/>
      <c r="B14" s="65"/>
      <c r="C14" s="58" t="s">
        <v>56</v>
      </c>
      <c r="D14" s="66"/>
      <c r="E14" s="66">
        <v>46100</v>
      </c>
      <c r="F14" s="66">
        <v>46101</v>
      </c>
      <c r="G14" s="66">
        <v>46102</v>
      </c>
      <c r="H14" s="66">
        <v>46103</v>
      </c>
      <c r="I14" s="66">
        <v>46104</v>
      </c>
      <c r="J14" s="66">
        <v>46105</v>
      </c>
      <c r="K14" s="66">
        <v>46106</v>
      </c>
      <c r="L14" s="66">
        <v>46107</v>
      </c>
      <c r="M14" s="66">
        <v>46108</v>
      </c>
      <c r="N14" s="66">
        <v>46109</v>
      </c>
      <c r="O14" s="66">
        <v>46110</v>
      </c>
      <c r="P14" s="66">
        <v>46111</v>
      </c>
      <c r="Q14" s="66">
        <v>46112</v>
      </c>
      <c r="R14" s="66">
        <v>46113</v>
      </c>
      <c r="S14" s="66">
        <v>46114</v>
      </c>
      <c r="T14" s="66">
        <v>46115</v>
      </c>
      <c r="U14" s="66">
        <v>46116</v>
      </c>
      <c r="V14" s="66">
        <v>46117</v>
      </c>
      <c r="W14" s="66">
        <v>46118</v>
      </c>
      <c r="X14" s="66">
        <v>46119</v>
      </c>
      <c r="Y14" s="66">
        <v>46120</v>
      </c>
      <c r="Z14" s="66">
        <v>46121</v>
      </c>
      <c r="AA14" s="66">
        <v>46122</v>
      </c>
      <c r="AB14" s="66">
        <v>46123</v>
      </c>
      <c r="AC14" s="66">
        <v>46124</v>
      </c>
      <c r="AD14" s="66">
        <v>46125</v>
      </c>
      <c r="AE14" s="66">
        <v>46126</v>
      </c>
      <c r="AF14" s="66">
        <v>46127</v>
      </c>
      <c r="AG14" s="66">
        <v>46128</v>
      </c>
      <c r="AH14" s="66">
        <v>46129</v>
      </c>
      <c r="AI14" s="66">
        <v>46130</v>
      </c>
      <c r="AJ14" s="66">
        <v>46131</v>
      </c>
      <c r="AK14" s="66">
        <v>46132</v>
      </c>
      <c r="AL14" s="66">
        <v>46133</v>
      </c>
      <c r="AM14" s="66">
        <v>46134</v>
      </c>
      <c r="AN14" s="66">
        <v>46135</v>
      </c>
      <c r="AO14" s="66">
        <v>46136</v>
      </c>
      <c r="AP14" s="66">
        <v>46137</v>
      </c>
      <c r="AQ14" s="66">
        <v>46138</v>
      </c>
      <c r="AR14" s="66">
        <v>46139</v>
      </c>
      <c r="AS14" s="66">
        <v>46140</v>
      </c>
      <c r="AT14" s="66">
        <v>46141</v>
      </c>
      <c r="AU14" s="66">
        <v>46142</v>
      </c>
      <c r="AV14" s="66">
        <v>46143</v>
      </c>
      <c r="AW14" s="66">
        <v>46144</v>
      </c>
      <c r="AX14" s="66">
        <v>46145</v>
      </c>
      <c r="AY14" s="66">
        <v>46146</v>
      </c>
      <c r="AZ14" s="66">
        <v>46147</v>
      </c>
      <c r="BA14" s="66">
        <v>46148</v>
      </c>
      <c r="BB14" s="66">
        <v>46149</v>
      </c>
      <c r="BC14" s="66">
        <v>46150</v>
      </c>
      <c r="BD14" s="66">
        <v>46151</v>
      </c>
      <c r="BE14" s="66">
        <v>46152</v>
      </c>
    </row>
    <row r="15" spans="1:57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 s="2" customFormat="1" x14ac:dyDescent="0.25">
      <c r="A16" s="39" t="s">
        <v>0</v>
      </c>
      <c r="B16" s="20"/>
      <c r="C16" s="29">
        <v>0</v>
      </c>
      <c r="D16" s="29"/>
      <c r="E16" s="29">
        <f t="shared" ref="E16:AJ16" si="0">SUM(E17:E24)</f>
        <v>0</v>
      </c>
      <c r="F16" s="29">
        <f t="shared" si="0"/>
        <v>729000</v>
      </c>
      <c r="G16" s="29">
        <f t="shared" si="0"/>
        <v>0</v>
      </c>
      <c r="H16" s="29">
        <f t="shared" si="0"/>
        <v>0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4875000</v>
      </c>
      <c r="O16" s="29">
        <f t="shared" si="0"/>
        <v>3000000</v>
      </c>
      <c r="P16" s="29">
        <f t="shared" si="0"/>
        <v>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8533674.6802400015</v>
      </c>
      <c r="AK16" s="29">
        <f t="shared" ref="AK16:BE16" si="1">SUM(AK17:AK24)</f>
        <v>0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29">
        <f t="shared" si="1"/>
        <v>0</v>
      </c>
      <c r="AR16" s="29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29">
        <f t="shared" si="1"/>
        <v>7037500</v>
      </c>
      <c r="AX16" s="29">
        <f t="shared" si="1"/>
        <v>0</v>
      </c>
      <c r="AY16" s="29">
        <f t="shared" si="1"/>
        <v>0</v>
      </c>
      <c r="AZ16" s="29">
        <f t="shared" si="1"/>
        <v>0</v>
      </c>
      <c r="BA16" s="29">
        <f t="shared" si="1"/>
        <v>0</v>
      </c>
      <c r="BB16" s="29">
        <f t="shared" si="1"/>
        <v>0</v>
      </c>
      <c r="BC16" s="29">
        <f t="shared" si="1"/>
        <v>0</v>
      </c>
      <c r="BD16" s="29">
        <f t="shared" si="1"/>
        <v>0</v>
      </c>
      <c r="BE16" s="29">
        <f t="shared" si="1"/>
        <v>0</v>
      </c>
    </row>
    <row r="17" spans="1:57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>
        <v>3000000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</row>
    <row r="19" spans="1:57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</row>
    <row r="20" spans="1:57" s="80" customFormat="1" ht="13.5" customHeight="1" x14ac:dyDescent="0.25">
      <c r="A20" s="40" t="s">
        <v>12</v>
      </c>
      <c r="B20" s="21"/>
      <c r="C20" s="59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2">
        <v>4875000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>
        <v>7037500</v>
      </c>
      <c r="AX20" s="30"/>
      <c r="AY20" s="30"/>
      <c r="AZ20" s="30"/>
      <c r="BA20" s="30"/>
      <c r="BB20" s="30"/>
      <c r="BC20" s="30"/>
      <c r="BD20" s="30"/>
      <c r="BE20" s="30"/>
    </row>
    <row r="21" spans="1:57" s="80" customFormat="1" ht="13.5" customHeight="1" x14ac:dyDescent="0.25">
      <c r="A21" s="40" t="s">
        <v>76</v>
      </c>
      <c r="B21" s="21"/>
      <c r="C21" s="59"/>
      <c r="D21" s="30"/>
      <c r="E21" s="30"/>
      <c r="F21" s="30">
        <v>729000</v>
      </c>
      <c r="G21" s="30"/>
      <c r="H21" s="30"/>
      <c r="I21" s="30"/>
      <c r="J21" s="30"/>
      <c r="K21" s="30"/>
      <c r="L21" s="30"/>
      <c r="M21" s="30"/>
      <c r="N21" s="32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</row>
    <row r="22" spans="1:57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3">
        <f>90144.8*A3</f>
        <v>8533674.6802400015</v>
      </c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</row>
    <row r="23" spans="1:57" s="80" customFormat="1" ht="10.5" customHeight="1" x14ac:dyDescent="0.25">
      <c r="A23" s="40" t="s">
        <v>13</v>
      </c>
      <c r="B23" s="21"/>
      <c r="C23" s="59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</row>
    <row r="24" spans="1:57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 s="4" customFormat="1" x14ac:dyDescent="0.2">
      <c r="A25" s="41" t="s">
        <v>1</v>
      </c>
      <c r="B25" s="22"/>
      <c r="C25" s="34">
        <v>16092378.22312</v>
      </c>
      <c r="D25" s="34"/>
      <c r="E25" s="34">
        <f t="shared" ref="E25:AJ25" si="2">SUM(E26:E64)</f>
        <v>1219000</v>
      </c>
      <c r="F25" s="34">
        <f t="shared" si="2"/>
        <v>730000</v>
      </c>
      <c r="G25" s="34">
        <f t="shared" si="2"/>
        <v>0</v>
      </c>
      <c r="H25" s="34">
        <f t="shared" si="2"/>
        <v>0</v>
      </c>
      <c r="I25" s="34">
        <f t="shared" si="2"/>
        <v>685000</v>
      </c>
      <c r="J25" s="34">
        <f t="shared" si="2"/>
        <v>736022.9</v>
      </c>
      <c r="K25" s="34">
        <f t="shared" si="2"/>
        <v>986857.11</v>
      </c>
      <c r="L25" s="34">
        <f t="shared" si="2"/>
        <v>680000</v>
      </c>
      <c r="M25" s="34">
        <f t="shared" si="2"/>
        <v>1749548.4422500001</v>
      </c>
      <c r="N25" s="34">
        <f t="shared" si="2"/>
        <v>1490000</v>
      </c>
      <c r="O25" s="34">
        <f t="shared" si="2"/>
        <v>0</v>
      </c>
      <c r="P25" s="34">
        <f t="shared" si="2"/>
        <v>3589151.86</v>
      </c>
      <c r="Q25" s="34">
        <f t="shared" si="2"/>
        <v>440800</v>
      </c>
      <c r="R25" s="34">
        <f t="shared" si="2"/>
        <v>250000</v>
      </c>
      <c r="S25" s="34">
        <f t="shared" si="2"/>
        <v>250000</v>
      </c>
      <c r="T25" s="34">
        <f t="shared" si="2"/>
        <v>294000</v>
      </c>
      <c r="U25" s="34">
        <f t="shared" si="2"/>
        <v>192709.14300000001</v>
      </c>
      <c r="V25" s="34">
        <f t="shared" si="2"/>
        <v>878889.5</v>
      </c>
      <c r="W25" s="34">
        <f t="shared" si="2"/>
        <v>440113.3</v>
      </c>
      <c r="X25" s="34">
        <f t="shared" si="2"/>
        <v>1440000</v>
      </c>
      <c r="Y25" s="34">
        <f t="shared" si="2"/>
        <v>240000</v>
      </c>
      <c r="Z25" s="34">
        <f t="shared" si="2"/>
        <v>739410</v>
      </c>
      <c r="AA25" s="34">
        <f t="shared" si="2"/>
        <v>360000</v>
      </c>
      <c r="AB25" s="34">
        <f t="shared" si="2"/>
        <v>726659.89500000002</v>
      </c>
      <c r="AC25" s="34">
        <f t="shared" si="2"/>
        <v>0</v>
      </c>
      <c r="AD25" s="34">
        <f t="shared" si="2"/>
        <v>0</v>
      </c>
      <c r="AE25" s="34">
        <f t="shared" si="2"/>
        <v>0</v>
      </c>
      <c r="AF25" s="34">
        <f t="shared" si="2"/>
        <v>515224</v>
      </c>
      <c r="AG25" s="34">
        <f t="shared" si="2"/>
        <v>0</v>
      </c>
      <c r="AH25" s="34">
        <f t="shared" si="2"/>
        <v>0</v>
      </c>
      <c r="AI25" s="34">
        <f t="shared" si="2"/>
        <v>160000</v>
      </c>
      <c r="AJ25" s="34">
        <f t="shared" si="2"/>
        <v>2160000</v>
      </c>
      <c r="AK25" s="34">
        <f t="shared" ref="AK25:BE25" si="3">SUM(AK26:AK64)</f>
        <v>0</v>
      </c>
      <c r="AL25" s="34">
        <f t="shared" si="3"/>
        <v>0</v>
      </c>
      <c r="AM25" s="34">
        <f t="shared" si="3"/>
        <v>0</v>
      </c>
      <c r="AN25" s="34">
        <f t="shared" si="3"/>
        <v>0</v>
      </c>
      <c r="AO25" s="34">
        <f t="shared" si="3"/>
        <v>0</v>
      </c>
      <c r="AP25" s="34">
        <f t="shared" si="3"/>
        <v>321857.11</v>
      </c>
      <c r="AQ25" s="34">
        <f t="shared" si="3"/>
        <v>0</v>
      </c>
      <c r="AR25" s="34">
        <f t="shared" si="3"/>
        <v>0</v>
      </c>
      <c r="AS25" s="34">
        <f t="shared" si="3"/>
        <v>2000000</v>
      </c>
      <c r="AT25" s="34">
        <f t="shared" si="3"/>
        <v>0</v>
      </c>
      <c r="AU25" s="34">
        <f t="shared" si="3"/>
        <v>0</v>
      </c>
      <c r="AV25" s="34">
        <f t="shared" si="3"/>
        <v>112000</v>
      </c>
      <c r="AW25" s="34">
        <f t="shared" si="3"/>
        <v>0</v>
      </c>
      <c r="AX25" s="34">
        <f t="shared" si="3"/>
        <v>0</v>
      </c>
      <c r="AY25" s="34">
        <f t="shared" si="3"/>
        <v>515224</v>
      </c>
      <c r="AZ25" s="34">
        <f t="shared" si="3"/>
        <v>0</v>
      </c>
      <c r="BA25" s="34">
        <f t="shared" si="3"/>
        <v>0</v>
      </c>
      <c r="BB25" s="34">
        <f t="shared" si="3"/>
        <v>0</v>
      </c>
      <c r="BC25" s="34">
        <f t="shared" si="3"/>
        <v>0</v>
      </c>
      <c r="BD25" s="34">
        <f t="shared" si="3"/>
        <v>0</v>
      </c>
      <c r="BE25" s="34">
        <f t="shared" si="3"/>
        <v>0</v>
      </c>
    </row>
    <row r="26" spans="1:57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>
        <v>194014.26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</row>
    <row r="28" spans="1:57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</row>
    <row r="29" spans="1:57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>
        <v>1835137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</row>
    <row r="30" spans="1:57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>
        <v>180947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90">
        <v>2000000</v>
      </c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</row>
    <row r="31" spans="1:57" s="1" customFormat="1" x14ac:dyDescent="0.2">
      <c r="A31" s="36" t="s">
        <v>7</v>
      </c>
      <c r="B31" s="23" t="s">
        <v>8</v>
      </c>
      <c r="C31" s="60"/>
      <c r="D31" s="24"/>
      <c r="E31" s="24">
        <v>500000</v>
      </c>
      <c r="F31" s="24"/>
      <c r="G31" s="24"/>
      <c r="H31" s="24"/>
      <c r="I31" s="24"/>
      <c r="J31" s="24"/>
      <c r="K31" s="24">
        <f>643714.22/2</f>
        <v>321857.11</v>
      </c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>
        <v>1200000</v>
      </c>
      <c r="Y31" s="24"/>
      <c r="Z31" s="24"/>
      <c r="AA31" s="24">
        <v>360000</v>
      </c>
      <c r="AB31" s="24"/>
      <c r="AC31" s="24"/>
      <c r="AD31" s="24"/>
      <c r="AE31" s="24"/>
      <c r="AF31" s="24"/>
      <c r="AG31" s="24"/>
      <c r="AH31" s="24"/>
      <c r="AI31" s="24"/>
      <c r="AJ31" s="24">
        <v>560000</v>
      </c>
      <c r="AK31" s="24"/>
      <c r="AL31" s="24"/>
      <c r="AM31" s="24"/>
      <c r="AN31" s="24"/>
      <c r="AO31" s="24"/>
      <c r="AP31" s="24">
        <f>643714.22/2</f>
        <v>321857.11</v>
      </c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</row>
    <row r="32" spans="1:57" s="1" customFormat="1" x14ac:dyDescent="0.2">
      <c r="A32" s="36" t="s">
        <v>54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</row>
    <row r="33" spans="1:57" s="1" customFormat="1" x14ac:dyDescent="0.2">
      <c r="A33" s="36" t="s">
        <v>71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>
        <f>30000+10500+3500</f>
        <v>44000</v>
      </c>
      <c r="U33" s="24"/>
      <c r="V33" s="24"/>
      <c r="W33" s="24">
        <v>200113.3</v>
      </c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</row>
    <row r="34" spans="1:57" s="1" customFormat="1" x14ac:dyDescent="0.2">
      <c r="A34" s="36" t="s">
        <v>53</v>
      </c>
      <c r="B34" s="23"/>
      <c r="C34" s="60"/>
      <c r="D34" s="24"/>
      <c r="E34" s="24">
        <v>25000</v>
      </c>
      <c r="F34" s="24">
        <v>30000</v>
      </c>
      <c r="G34" s="24"/>
      <c r="H34" s="24"/>
      <c r="I34" s="24">
        <v>60000</v>
      </c>
      <c r="J34" s="24">
        <v>51022.9</v>
      </c>
      <c r="K34" s="24">
        <v>25000</v>
      </c>
      <c r="L34" s="24">
        <v>30000</v>
      </c>
      <c r="M34" s="24"/>
      <c r="N34" s="24"/>
      <c r="O34" s="24"/>
      <c r="P34" s="24"/>
      <c r="Q34" s="24"/>
      <c r="R34" s="24"/>
      <c r="S34" s="24"/>
      <c r="T34" s="24"/>
      <c r="U34" s="24"/>
      <c r="V34" s="24">
        <v>545949.5</v>
      </c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>
        <v>160000</v>
      </c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</row>
    <row r="35" spans="1:57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</row>
    <row r="36" spans="1:57" s="71" customFormat="1" x14ac:dyDescent="0.2">
      <c r="A36" s="69" t="s">
        <v>14</v>
      </c>
      <c r="B36" s="25" t="s">
        <v>30</v>
      </c>
      <c r="C36" s="70">
        <v>1000000</v>
      </c>
      <c r="D36" s="24"/>
      <c r="E36" s="24">
        <v>100000</v>
      </c>
      <c r="F36" s="24">
        <v>100000</v>
      </c>
      <c r="G36" s="24"/>
      <c r="H36" s="24"/>
      <c r="I36" s="24">
        <v>125000</v>
      </c>
      <c r="J36" s="24">
        <v>125000</v>
      </c>
      <c r="K36" s="24">
        <v>125000</v>
      </c>
      <c r="L36" s="24">
        <v>100000</v>
      </c>
      <c r="M36" s="24">
        <v>125000</v>
      </c>
      <c r="N36" s="24"/>
      <c r="O36" s="24"/>
      <c r="P36" s="24">
        <v>100000</v>
      </c>
      <c r="Q36" s="24">
        <v>100000</v>
      </c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</row>
    <row r="37" spans="1:57" s="71" customFormat="1" x14ac:dyDescent="0.2">
      <c r="A37" s="69" t="s">
        <v>17</v>
      </c>
      <c r="B37" s="25" t="s">
        <v>41</v>
      </c>
      <c r="C37" s="70">
        <v>1800000</v>
      </c>
      <c r="D37" s="24"/>
      <c r="E37" s="24">
        <v>25000</v>
      </c>
      <c r="F37" s="24">
        <v>50000</v>
      </c>
      <c r="G37" s="24"/>
      <c r="H37" s="24"/>
      <c r="I37" s="24">
        <v>50000</v>
      </c>
      <c r="J37" s="24">
        <v>50000</v>
      </c>
      <c r="K37" s="24">
        <v>25000</v>
      </c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</row>
    <row r="38" spans="1:57" s="71" customFormat="1" x14ac:dyDescent="0.2">
      <c r="A38" s="69" t="s">
        <v>15</v>
      </c>
      <c r="B38" s="25" t="s">
        <v>31</v>
      </c>
      <c r="C38" s="70">
        <v>779464</v>
      </c>
      <c r="D38" s="24"/>
      <c r="E38" s="24">
        <v>50000</v>
      </c>
      <c r="F38" s="24">
        <v>50000</v>
      </c>
      <c r="G38" s="24"/>
      <c r="H38" s="24"/>
      <c r="I38" s="24"/>
      <c r="J38" s="24"/>
      <c r="K38" s="24"/>
      <c r="L38" s="24"/>
      <c r="M38" s="24"/>
      <c r="N38" s="24"/>
      <c r="O38" s="24"/>
      <c r="P38" s="24">
        <f>515224</f>
        <v>515224</v>
      </c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>
        <v>515224</v>
      </c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>
        <v>515224</v>
      </c>
      <c r="AZ38" s="24"/>
      <c r="BA38" s="24"/>
      <c r="BB38" s="24"/>
      <c r="BC38" s="24"/>
      <c r="BD38" s="24"/>
      <c r="BE38" s="24"/>
    </row>
    <row r="39" spans="1:57" s="71" customFormat="1" x14ac:dyDescent="0.2">
      <c r="A39" s="69" t="s">
        <v>18</v>
      </c>
      <c r="B39" s="25" t="s">
        <v>32</v>
      </c>
      <c r="C39" s="70">
        <v>1500000</v>
      </c>
      <c r="D39" s="24"/>
      <c r="E39" s="72">
        <v>100000</v>
      </c>
      <c r="F39" s="72">
        <v>100000</v>
      </c>
      <c r="G39" s="24"/>
      <c r="H39" s="24"/>
      <c r="I39" s="24">
        <v>100000</v>
      </c>
      <c r="J39" s="24">
        <v>130000</v>
      </c>
      <c r="K39" s="24">
        <v>130000</v>
      </c>
      <c r="L39" s="24">
        <v>160000</v>
      </c>
      <c r="M39" s="24"/>
      <c r="N39" s="24"/>
      <c r="O39" s="24"/>
      <c r="P39" s="24"/>
      <c r="Q39" s="24">
        <v>100000</v>
      </c>
      <c r="R39" s="24">
        <v>100000</v>
      </c>
      <c r="S39" s="24">
        <v>100000</v>
      </c>
      <c r="T39" s="24">
        <v>100000</v>
      </c>
      <c r="U39" s="24"/>
      <c r="V39" s="24"/>
      <c r="W39" s="24">
        <v>120000</v>
      </c>
      <c r="X39" s="24">
        <v>120000</v>
      </c>
      <c r="Y39" s="24">
        <v>120000</v>
      </c>
      <c r="Z39" s="24">
        <v>120000</v>
      </c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</row>
    <row r="40" spans="1:57" s="73" customFormat="1" x14ac:dyDescent="0.2">
      <c r="A40" s="69" t="s">
        <v>21</v>
      </c>
      <c r="B40" s="25" t="s">
        <v>45</v>
      </c>
      <c r="C40" s="70">
        <v>1698460.0000000002</v>
      </c>
      <c r="D40" s="72"/>
      <c r="E40" s="72">
        <v>100000</v>
      </c>
      <c r="F40" s="72">
        <v>100000</v>
      </c>
      <c r="G40" s="72"/>
      <c r="H40" s="72"/>
      <c r="I40" s="24">
        <v>100000</v>
      </c>
      <c r="J40" s="24">
        <v>130000</v>
      </c>
      <c r="K40" s="24">
        <v>130000</v>
      </c>
      <c r="L40" s="24">
        <v>160000</v>
      </c>
      <c r="M40" s="72"/>
      <c r="N40" s="72"/>
      <c r="O40" s="72"/>
      <c r="P40" s="24"/>
      <c r="Q40" s="24">
        <v>100000</v>
      </c>
      <c r="R40" s="24">
        <v>100000</v>
      </c>
      <c r="S40" s="24">
        <v>100000</v>
      </c>
      <c r="T40" s="24">
        <v>100000</v>
      </c>
      <c r="U40" s="24"/>
      <c r="V40" s="24"/>
      <c r="W40" s="24">
        <v>120000</v>
      </c>
      <c r="X40" s="24">
        <v>120000</v>
      </c>
      <c r="Y40" s="24">
        <v>120000</v>
      </c>
      <c r="Z40" s="24">
        <v>120000</v>
      </c>
      <c r="AA40" s="24"/>
      <c r="AB40" s="24"/>
      <c r="AC40" s="24"/>
      <c r="AD40" s="24"/>
      <c r="AE40" s="24"/>
      <c r="AF40" s="24"/>
      <c r="AG40" s="24"/>
      <c r="AH40" s="24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</row>
    <row r="41" spans="1:57" s="71" customFormat="1" x14ac:dyDescent="0.2">
      <c r="A41" s="69" t="s">
        <v>19</v>
      </c>
      <c r="B41" s="25" t="s">
        <v>46</v>
      </c>
      <c r="C41" s="70">
        <v>1278750.3500000001</v>
      </c>
      <c r="D41" s="24"/>
      <c r="E41" s="24">
        <v>50000</v>
      </c>
      <c r="F41" s="24">
        <v>50000</v>
      </c>
      <c r="G41" s="24"/>
      <c r="H41" s="24"/>
      <c r="I41" s="24">
        <v>50000</v>
      </c>
      <c r="J41" s="24">
        <v>50000</v>
      </c>
      <c r="K41" s="24">
        <v>50000</v>
      </c>
      <c r="L41" s="24">
        <v>50000</v>
      </c>
      <c r="M41" s="24">
        <v>50000</v>
      </c>
      <c r="N41" s="24"/>
      <c r="O41" s="24"/>
      <c r="P41" s="24">
        <v>50000</v>
      </c>
      <c r="Q41" s="24">
        <v>50000</v>
      </c>
      <c r="R41" s="24">
        <v>50000</v>
      </c>
      <c r="S41" s="24">
        <v>50000</v>
      </c>
      <c r="T41" s="24">
        <v>50000</v>
      </c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</row>
    <row r="42" spans="1:57" s="71" customFormat="1" x14ac:dyDescent="0.2">
      <c r="A42" s="69" t="s">
        <v>16</v>
      </c>
      <c r="B42" s="25" t="s">
        <v>32</v>
      </c>
      <c r="C42" s="70">
        <v>881200</v>
      </c>
      <c r="D42" s="24"/>
      <c r="E42" s="24">
        <v>50000</v>
      </c>
      <c r="F42" s="24">
        <v>50000</v>
      </c>
      <c r="G42" s="24"/>
      <c r="H42" s="24"/>
      <c r="I42" s="24">
        <v>50000</v>
      </c>
      <c r="J42" s="24">
        <v>50000</v>
      </c>
      <c r="K42" s="24">
        <v>50000</v>
      </c>
      <c r="L42" s="24">
        <v>50000</v>
      </c>
      <c r="M42" s="24">
        <v>50000</v>
      </c>
      <c r="N42" s="24"/>
      <c r="O42" s="24"/>
      <c r="P42" s="24">
        <v>665880</v>
      </c>
      <c r="Q42" s="24"/>
      <c r="R42" s="24"/>
      <c r="S42" s="24"/>
      <c r="T42" s="24"/>
      <c r="U42" s="24"/>
      <c r="V42" s="24">
        <v>332940</v>
      </c>
      <c r="W42" s="24"/>
      <c r="X42" s="24"/>
      <c r="Y42" s="24"/>
      <c r="Z42" s="24">
        <v>499410</v>
      </c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</row>
    <row r="43" spans="1:57" s="71" customFormat="1" x14ac:dyDescent="0.2">
      <c r="A43" s="69" t="s">
        <v>20</v>
      </c>
      <c r="B43" s="25" t="s">
        <v>47</v>
      </c>
      <c r="C43" s="70">
        <v>581881.30000000005</v>
      </c>
      <c r="D43" s="24"/>
      <c r="E43" s="24">
        <v>50000</v>
      </c>
      <c r="F43" s="24">
        <v>50000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</row>
    <row r="44" spans="1:57" s="73" customFormat="1" x14ac:dyDescent="0.2">
      <c r="A44" s="69" t="s">
        <v>22</v>
      </c>
      <c r="B44" s="25" t="s">
        <v>48</v>
      </c>
      <c r="C44" s="75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24"/>
      <c r="Q44" s="24"/>
      <c r="R44" s="24"/>
      <c r="S44" s="24"/>
      <c r="T44" s="24"/>
      <c r="U44" s="24">
        <f>15906*A9</f>
        <v>192709.14300000001</v>
      </c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</row>
    <row r="45" spans="1:57" s="71" customFormat="1" x14ac:dyDescent="0.2">
      <c r="A45" s="69" t="s">
        <v>36</v>
      </c>
      <c r="B45" s="25" t="s">
        <v>37</v>
      </c>
      <c r="C45" s="70"/>
      <c r="D45" s="24"/>
      <c r="E45" s="96">
        <v>25000</v>
      </c>
      <c r="F45" s="96">
        <v>25000</v>
      </c>
      <c r="G45" s="24"/>
      <c r="H45" s="24"/>
      <c r="I45" s="97">
        <v>25000</v>
      </c>
      <c r="J45" s="24">
        <v>25000</v>
      </c>
      <c r="K45" s="24">
        <v>25000</v>
      </c>
      <c r="L45" s="24">
        <v>50000</v>
      </c>
      <c r="M45" s="96">
        <f>3327.5*$A$6-40955.15-E45-F45-I45-J45-K45-L45</f>
        <v>60646.282250000018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</row>
    <row r="46" spans="1:57" s="71" customFormat="1" x14ac:dyDescent="0.2">
      <c r="A46" s="69" t="s">
        <v>33</v>
      </c>
      <c r="B46" s="25" t="s">
        <v>35</v>
      </c>
      <c r="C46" s="70">
        <v>229204.02499999999</v>
      </c>
      <c r="D46" s="77"/>
      <c r="E46" s="24">
        <v>50000</v>
      </c>
      <c r="F46" s="24">
        <v>50000</v>
      </c>
      <c r="G46" s="24"/>
      <c r="H46" s="24"/>
      <c r="I46" s="24">
        <v>50000</v>
      </c>
      <c r="J46" s="24">
        <v>50000</v>
      </c>
      <c r="K46" s="24">
        <v>30000</v>
      </c>
      <c r="L46" s="24"/>
      <c r="M46" s="24">
        <f>2400*$A$6</f>
        <v>199502.16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>
        <f>4050*A6</f>
        <v>336659.89500000002</v>
      </c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</row>
    <row r="47" spans="1:57" s="71" customFormat="1" x14ac:dyDescent="0.2">
      <c r="A47" s="69" t="s">
        <v>78</v>
      </c>
      <c r="B47" s="25" t="s">
        <v>79</v>
      </c>
      <c r="C47" s="70"/>
      <c r="D47" s="77"/>
      <c r="E47" s="24">
        <v>20000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</row>
    <row r="48" spans="1:57" s="71" customFormat="1" x14ac:dyDescent="0.2">
      <c r="A48" s="69" t="s">
        <v>29</v>
      </c>
      <c r="B48" s="25" t="s">
        <v>42</v>
      </c>
      <c r="C48" s="70">
        <v>20000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</row>
    <row r="49" spans="1:57" s="71" customFormat="1" x14ac:dyDescent="0.2">
      <c r="A49" s="69" t="s">
        <v>29</v>
      </c>
      <c r="B49" s="25" t="s">
        <v>43</v>
      </c>
      <c r="C49" s="70">
        <v>439750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</row>
    <row r="50" spans="1:57" s="71" customFormat="1" x14ac:dyDescent="0.2">
      <c r="A50" s="69" t="s">
        <v>29</v>
      </c>
      <c r="B50" s="25" t="s">
        <v>55</v>
      </c>
      <c r="C50" s="76">
        <v>397949.60199999996</v>
      </c>
      <c r="D50" s="24"/>
      <c r="E50" s="24">
        <v>50000</v>
      </c>
      <c r="F50" s="24">
        <v>50000</v>
      </c>
      <c r="G50" s="24"/>
      <c r="H50" s="24"/>
      <c r="I50" s="24">
        <v>50000</v>
      </c>
      <c r="J50" s="24">
        <v>50000</v>
      </c>
      <c r="K50" s="24">
        <v>50000</v>
      </c>
      <c r="L50" s="24">
        <v>50000</v>
      </c>
      <c r="M50" s="24">
        <v>50000</v>
      </c>
      <c r="N50" s="24"/>
      <c r="O50" s="24"/>
      <c r="P50" s="24">
        <v>47949.599999999999</v>
      </c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</row>
    <row r="51" spans="1:57" s="71" customFormat="1" x14ac:dyDescent="0.2">
      <c r="A51" s="69" t="s">
        <v>40</v>
      </c>
      <c r="B51" s="25" t="s">
        <v>44</v>
      </c>
      <c r="C51" s="70"/>
      <c r="D51" s="24"/>
      <c r="E51" s="24"/>
      <c r="F51" s="24"/>
      <c r="G51" s="24"/>
      <c r="H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</row>
    <row r="52" spans="1:57" s="71" customFormat="1" x14ac:dyDescent="0.2">
      <c r="A52" s="69" t="s">
        <v>34</v>
      </c>
      <c r="B52" s="25" t="s">
        <v>45</v>
      </c>
      <c r="C52" s="70"/>
      <c r="D52" s="77"/>
      <c r="E52" s="24"/>
      <c r="F52" s="24"/>
      <c r="G52" s="24"/>
      <c r="H52" s="24"/>
      <c r="I52" s="24"/>
      <c r="J52" s="24"/>
      <c r="K52" s="24"/>
      <c r="L52" s="24"/>
      <c r="M52" s="24">
        <v>1214400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</row>
    <row r="53" spans="1:57" s="71" customFormat="1" x14ac:dyDescent="0.2">
      <c r="A53" s="69" t="s">
        <v>38</v>
      </c>
      <c r="B53" s="25" t="s">
        <v>39</v>
      </c>
      <c r="C53" s="70"/>
      <c r="D53" s="24"/>
      <c r="E53" s="24">
        <v>24000</v>
      </c>
      <c r="F53" s="24">
        <v>25000</v>
      </c>
      <c r="G53" s="24"/>
      <c r="H53" s="24"/>
      <c r="I53" s="24">
        <v>25000</v>
      </c>
      <c r="J53" s="24">
        <v>25000</v>
      </c>
      <c r="K53" s="24">
        <v>25000</v>
      </c>
      <c r="L53" s="24">
        <v>30000</v>
      </c>
      <c r="M53" s="24"/>
      <c r="N53" s="24"/>
      <c r="O53" s="24"/>
      <c r="P53" s="24"/>
      <c r="Q53" s="24">
        <v>90800</v>
      </c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</row>
    <row r="54" spans="1:57" s="71" customFormat="1" x14ac:dyDescent="0.2">
      <c r="A54" s="69" t="s">
        <v>74</v>
      </c>
      <c r="B54" s="25" t="s">
        <v>75</v>
      </c>
      <c r="C54" s="7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</row>
    <row r="55" spans="1:57" s="73" customFormat="1" ht="2.25" customHeight="1" x14ac:dyDescent="0.2">
      <c r="A55" s="78"/>
      <c r="B55" s="79"/>
      <c r="C55" s="75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</row>
    <row r="56" spans="1:57" s="94" customFormat="1" ht="33.75" x14ac:dyDescent="0.2">
      <c r="A56" s="91" t="s">
        <v>60</v>
      </c>
      <c r="B56" s="92" t="s">
        <v>58</v>
      </c>
      <c r="C56" s="93">
        <v>248639.70012000017</v>
      </c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</row>
    <row r="57" spans="1:57" s="94" customFormat="1" ht="33.75" x14ac:dyDescent="0.2">
      <c r="A57" s="91" t="s">
        <v>60</v>
      </c>
      <c r="B57" s="92" t="s">
        <v>59</v>
      </c>
      <c r="C57" s="93">
        <v>0</v>
      </c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</row>
    <row r="58" spans="1:57" s="5" customFormat="1" ht="2.25" customHeight="1" x14ac:dyDescent="0.2">
      <c r="A58" s="42"/>
      <c r="B58" s="12"/>
      <c r="C58" s="68"/>
      <c r="D58" s="26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</row>
    <row r="59" spans="1:57" s="5" customFormat="1" x14ac:dyDescent="0.2">
      <c r="A59" s="36" t="s">
        <v>49</v>
      </c>
      <c r="B59" s="12"/>
      <c r="C59" s="13">
        <v>1600000</v>
      </c>
      <c r="D59" s="2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v>1600000</v>
      </c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</row>
    <row r="60" spans="1:57" s="5" customFormat="1" x14ac:dyDescent="0.2">
      <c r="A60" s="36" t="s">
        <v>57</v>
      </c>
      <c r="B60" s="12"/>
      <c r="C60" s="68"/>
      <c r="D60" s="26"/>
      <c r="E60" s="13"/>
      <c r="F60" s="13"/>
      <c r="G60" s="13"/>
      <c r="H60" s="13"/>
      <c r="I60" s="13"/>
      <c r="J60" s="13"/>
      <c r="K60" s="13"/>
      <c r="L60" s="13"/>
      <c r="M60" s="13"/>
      <c r="N60" s="13">
        <v>1490000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</row>
    <row r="61" spans="1:57" s="5" customFormat="1" x14ac:dyDescent="0.2">
      <c r="A61" s="36" t="s">
        <v>61</v>
      </c>
      <c r="B61" s="12"/>
      <c r="C61" s="68"/>
      <c r="D61" s="26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>
        <v>390000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>
        <v>112000</v>
      </c>
      <c r="AW61" s="13"/>
      <c r="AX61" s="13"/>
      <c r="AY61" s="13"/>
      <c r="AZ61" s="13"/>
      <c r="BA61" s="13"/>
      <c r="BB61" s="13"/>
      <c r="BC61" s="13"/>
      <c r="BD61" s="13"/>
      <c r="BE61" s="13"/>
    </row>
    <row r="62" spans="1:57" s="5" customFormat="1" ht="2.25" customHeight="1" x14ac:dyDescent="0.2">
      <c r="A62" s="42"/>
      <c r="B62" s="12"/>
      <c r="C62" s="68"/>
      <c r="D62" s="26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</row>
    <row r="63" spans="1:57" s="5" customFormat="1" x14ac:dyDescent="0.2">
      <c r="A63" s="36" t="s">
        <v>72</v>
      </c>
      <c r="B63" s="27" t="s">
        <v>73</v>
      </c>
      <c r="C63" s="62">
        <v>3637079.2460000003</v>
      </c>
      <c r="D63" s="35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</row>
    <row r="64" spans="1:57" s="5" customFormat="1" ht="2.25" customHeight="1" x14ac:dyDescent="0.2">
      <c r="A64" s="42"/>
      <c r="B64" s="12"/>
      <c r="C64" s="61"/>
      <c r="D64" s="26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</row>
    <row r="65" spans="1:57" s="84" customFormat="1" x14ac:dyDescent="0.2">
      <c r="A65" s="81" t="s">
        <v>66</v>
      </c>
      <c r="B65" s="82"/>
      <c r="C65" s="63"/>
      <c r="D65" s="83"/>
      <c r="E65" s="83">
        <f>$C$5+E16-E25</f>
        <v>4965440.59</v>
      </c>
      <c r="F65" s="83">
        <f t="shared" ref="F65:AK65" si="4">E65+F16-F25</f>
        <v>4964440.59</v>
      </c>
      <c r="G65" s="83">
        <f t="shared" si="4"/>
        <v>4964440.59</v>
      </c>
      <c r="H65" s="83">
        <f t="shared" si="4"/>
        <v>4964440.59</v>
      </c>
      <c r="I65" s="83">
        <f t="shared" si="4"/>
        <v>4279440.59</v>
      </c>
      <c r="J65" s="83">
        <f t="shared" si="4"/>
        <v>3543417.69</v>
      </c>
      <c r="K65" s="83">
        <f t="shared" si="4"/>
        <v>2556560.58</v>
      </c>
      <c r="L65" s="83">
        <f t="shared" si="4"/>
        <v>1876560.58</v>
      </c>
      <c r="M65" s="83">
        <f t="shared" si="4"/>
        <v>127012.13774999999</v>
      </c>
      <c r="N65" s="83">
        <f t="shared" si="4"/>
        <v>3512012.1377499998</v>
      </c>
      <c r="O65" s="83">
        <f t="shared" si="4"/>
        <v>6512012.1377499998</v>
      </c>
      <c r="P65" s="83">
        <f t="shared" si="4"/>
        <v>2922860.2777499999</v>
      </c>
      <c r="Q65" s="83">
        <f t="shared" si="4"/>
        <v>2482060.2777499999</v>
      </c>
      <c r="R65" s="83">
        <f t="shared" si="4"/>
        <v>2232060.2777499999</v>
      </c>
      <c r="S65" s="83">
        <f t="shared" si="4"/>
        <v>1982060.2777499999</v>
      </c>
      <c r="T65" s="83">
        <f t="shared" si="4"/>
        <v>1688060.2777499999</v>
      </c>
      <c r="U65" s="83">
        <f t="shared" si="4"/>
        <v>1495351.13475</v>
      </c>
      <c r="V65" s="83">
        <f t="shared" si="4"/>
        <v>616461.63474999997</v>
      </c>
      <c r="W65" s="83">
        <f t="shared" si="4"/>
        <v>176348.33474999998</v>
      </c>
      <c r="X65" s="83">
        <f t="shared" si="4"/>
        <v>-1263651.6652500001</v>
      </c>
      <c r="Y65" s="83">
        <f t="shared" si="4"/>
        <v>-1503651.6652500001</v>
      </c>
      <c r="Z65" s="83">
        <f t="shared" si="4"/>
        <v>-2243061.6652500001</v>
      </c>
      <c r="AA65" s="83">
        <f t="shared" si="4"/>
        <v>-2603061.6652500001</v>
      </c>
      <c r="AB65" s="83">
        <f t="shared" si="4"/>
        <v>-3329721.5602500001</v>
      </c>
      <c r="AC65" s="83">
        <f t="shared" si="4"/>
        <v>-3329721.5602500001</v>
      </c>
      <c r="AD65" s="83">
        <f t="shared" si="4"/>
        <v>-3329721.5602500001</v>
      </c>
      <c r="AE65" s="83">
        <f t="shared" si="4"/>
        <v>-3329721.5602500001</v>
      </c>
      <c r="AF65" s="83">
        <f t="shared" si="4"/>
        <v>-3844945.5602500001</v>
      </c>
      <c r="AG65" s="83">
        <f t="shared" si="4"/>
        <v>-3844945.5602500001</v>
      </c>
      <c r="AH65" s="83">
        <f t="shared" si="4"/>
        <v>-3844945.5602500001</v>
      </c>
      <c r="AI65" s="83">
        <f t="shared" si="4"/>
        <v>-4004945.5602500001</v>
      </c>
      <c r="AJ65" s="83">
        <f t="shared" si="4"/>
        <v>2368729.1199900014</v>
      </c>
      <c r="AK65" s="83">
        <f t="shared" si="4"/>
        <v>2368729.1199900014</v>
      </c>
      <c r="AL65" s="83">
        <f t="shared" ref="AL65:BE65" si="5">AK65+AL16-AL25</f>
        <v>2368729.1199900014</v>
      </c>
      <c r="AM65" s="83">
        <f t="shared" si="5"/>
        <v>2368729.1199900014</v>
      </c>
      <c r="AN65" s="83">
        <f t="shared" si="5"/>
        <v>2368729.1199900014</v>
      </c>
      <c r="AO65" s="83">
        <f t="shared" si="5"/>
        <v>2368729.1199900014</v>
      </c>
      <c r="AP65" s="83">
        <f t="shared" si="5"/>
        <v>2046872.0099900016</v>
      </c>
      <c r="AQ65" s="83">
        <f t="shared" si="5"/>
        <v>2046872.0099900016</v>
      </c>
      <c r="AR65" s="83">
        <f t="shared" si="5"/>
        <v>2046872.0099900016</v>
      </c>
      <c r="AS65" s="83">
        <f t="shared" si="5"/>
        <v>46872.009990001563</v>
      </c>
      <c r="AT65" s="83">
        <f t="shared" si="5"/>
        <v>46872.009990001563</v>
      </c>
      <c r="AU65" s="83">
        <f t="shared" si="5"/>
        <v>46872.009990001563</v>
      </c>
      <c r="AV65" s="83">
        <f t="shared" si="5"/>
        <v>-65127.990009998437</v>
      </c>
      <c r="AW65" s="83">
        <f t="shared" si="5"/>
        <v>6972372.0099900011</v>
      </c>
      <c r="AX65" s="83">
        <f t="shared" si="5"/>
        <v>6972372.0099900011</v>
      </c>
      <c r="AY65" s="83">
        <f t="shared" si="5"/>
        <v>6457148.0099900011</v>
      </c>
      <c r="AZ65" s="83">
        <f t="shared" si="5"/>
        <v>6457148.0099900011</v>
      </c>
      <c r="BA65" s="83">
        <f t="shared" si="5"/>
        <v>6457148.0099900011</v>
      </c>
      <c r="BB65" s="83">
        <f t="shared" si="5"/>
        <v>6457148.0099900011</v>
      </c>
      <c r="BC65" s="83">
        <f t="shared" si="5"/>
        <v>6457148.0099900011</v>
      </c>
      <c r="BD65" s="83">
        <f t="shared" si="5"/>
        <v>6457148.0099900011</v>
      </c>
      <c r="BE65" s="83">
        <f t="shared" si="5"/>
        <v>6457148.0099900011</v>
      </c>
    </row>
    <row r="67" spans="1:57" s="5" customFormat="1" ht="2.25" customHeight="1" x14ac:dyDescent="0.2">
      <c r="A67" s="42"/>
      <c r="B67" s="12"/>
      <c r="C67" s="68"/>
      <c r="D67" s="26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</row>
    <row r="68" spans="1:57" s="89" customFormat="1" ht="11.25" customHeight="1" x14ac:dyDescent="0.2">
      <c r="A68" s="85" t="s">
        <v>65</v>
      </c>
      <c r="B68" s="86"/>
      <c r="C68" s="87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</row>
    <row r="69" spans="1:57" s="5" customFormat="1" ht="22.5" x14ac:dyDescent="0.2">
      <c r="A69" s="36" t="s">
        <v>67</v>
      </c>
      <c r="B69" s="27" t="s">
        <v>68</v>
      </c>
      <c r="C69" s="68">
        <v>3221210.79</v>
      </c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</row>
    <row r="70" spans="1:57" s="5" customFormat="1" x14ac:dyDescent="0.2">
      <c r="A70" s="36" t="s">
        <v>69</v>
      </c>
      <c r="B70" s="27" t="s">
        <v>70</v>
      </c>
      <c r="C70" s="68">
        <v>9814338.4000000004</v>
      </c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</row>
    <row r="71" spans="1:57" s="5" customFormat="1" x14ac:dyDescent="0.2">
      <c r="A71" s="36"/>
      <c r="B71" s="27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</row>
    <row r="72" spans="1:57" s="5" customFormat="1" x14ac:dyDescent="0.2">
      <c r="A72" s="36"/>
      <c r="B72" s="27"/>
      <c r="C72" s="68"/>
      <c r="D72" s="26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</row>
    <row r="74" spans="1:57" x14ac:dyDescent="0.25">
      <c r="B74" s="14"/>
    </row>
  </sheetData>
  <pageMargins left="0.7" right="0.7" top="0.75" bottom="0.75" header="0.3" footer="0.3"/>
  <pageSetup paperSize="9" orientation="portrait" r:id="rId1"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73"/>
  <sheetViews>
    <sheetView zoomScaleNormal="100" workbookViewId="0">
      <pane xSplit="3" ySplit="14" topLeftCell="D24" activePane="bottomRight" state="frozen"/>
      <selection pane="topRight" activeCell="D1" sqref="D1"/>
      <selection pane="bottomLeft" activeCell="A15" sqref="A15"/>
      <selection pane="bottomRight" activeCell="F36" sqref="F36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1" style="3" customWidth="1"/>
    <col min="5" max="19" width="10.85546875" style="3" bestFit="1" customWidth="1"/>
    <col min="20" max="25" width="11.7109375" style="3" bestFit="1" customWidth="1"/>
    <col min="26" max="28" width="11.7109375" style="3" customWidth="1"/>
    <col min="29" max="36" width="11.7109375" style="3" bestFit="1" customWidth="1"/>
    <col min="37" max="58" width="10.85546875" style="3" bestFit="1" customWidth="1"/>
    <col min="59" max="16384" width="9" style="3"/>
  </cols>
  <sheetData>
    <row r="1" spans="1:58" ht="12" thickBot="1" x14ac:dyDescent="0.3"/>
    <row r="2" spans="1:58" s="1" customFormat="1" x14ac:dyDescent="0.2">
      <c r="A2" s="43" t="s">
        <v>50</v>
      </c>
      <c r="B2" s="15" t="s">
        <v>27</v>
      </c>
      <c r="C2" s="50">
        <v>3507932.4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58" s="1" customFormat="1" ht="12" thickBot="1" x14ac:dyDescent="0.25">
      <c r="A3" s="44">
        <v>93.155699999999996</v>
      </c>
      <c r="B3" s="15" t="s">
        <v>28</v>
      </c>
      <c r="C3" s="50">
        <v>10778.95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58" s="8" customFormat="1" ht="12" thickBot="1" x14ac:dyDescent="0.25">
      <c r="A4" s="45"/>
      <c r="B4" s="15" t="s">
        <v>25</v>
      </c>
      <c r="C4" s="51">
        <v>0</v>
      </c>
    </row>
    <row r="5" spans="1:58" s="6" customFormat="1" x14ac:dyDescent="0.2">
      <c r="A5" s="43" t="s">
        <v>51</v>
      </c>
      <c r="B5" s="49" t="s">
        <v>26</v>
      </c>
      <c r="C5" s="52">
        <f>SUM(C2:C4)</f>
        <v>3518711.35</v>
      </c>
    </row>
    <row r="6" spans="1:58" s="6" customFormat="1" ht="12" thickBot="1" x14ac:dyDescent="0.25">
      <c r="A6" s="44">
        <v>81.910300000000007</v>
      </c>
      <c r="B6" s="16"/>
      <c r="C6" s="53"/>
      <c r="D6" s="17"/>
    </row>
    <row r="7" spans="1:58" s="6" customFormat="1" ht="12" thickBot="1" x14ac:dyDescent="0.25">
      <c r="A7" s="46"/>
      <c r="B7" s="18" t="s">
        <v>62</v>
      </c>
      <c r="C7" s="54">
        <f>SUM(D16:AX16)</f>
        <v>28964814.525359999</v>
      </c>
    </row>
    <row r="8" spans="1:58" x14ac:dyDescent="0.25">
      <c r="A8" s="43" t="s">
        <v>52</v>
      </c>
      <c r="B8" s="18" t="s">
        <v>77</v>
      </c>
      <c r="C8" s="54">
        <f>SUM(D25:BF25)</f>
        <v>24076250.087249998</v>
      </c>
    </row>
    <row r="9" spans="1:58" ht="12" thickBot="1" x14ac:dyDescent="0.3">
      <c r="A9" s="44">
        <v>11.8865</v>
      </c>
      <c r="B9" s="19" t="s">
        <v>64</v>
      </c>
      <c r="C9" s="55">
        <f>C5+C7-C8-C11</f>
        <v>-7530373.3275699951</v>
      </c>
    </row>
    <row r="10" spans="1:58" x14ac:dyDescent="0.25">
      <c r="B10" s="18" t="s">
        <v>23</v>
      </c>
      <c r="C10" s="56">
        <f>C16</f>
        <v>0</v>
      </c>
    </row>
    <row r="11" spans="1:58" x14ac:dyDescent="0.25">
      <c r="B11" s="18" t="s">
        <v>24</v>
      </c>
      <c r="C11" s="54">
        <f>C25</f>
        <v>15937649.115679998</v>
      </c>
    </row>
    <row r="13" spans="1:58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</row>
    <row r="14" spans="1:58" s="2" customFormat="1" x14ac:dyDescent="0.25">
      <c r="A14" s="64"/>
      <c r="B14" s="65"/>
      <c r="C14" s="58" t="s">
        <v>56</v>
      </c>
      <c r="D14" s="66"/>
      <c r="E14" s="66">
        <v>46099</v>
      </c>
      <c r="F14" s="66">
        <v>46100</v>
      </c>
      <c r="G14" s="66">
        <v>46101</v>
      </c>
      <c r="H14" s="66">
        <v>46102</v>
      </c>
      <c r="I14" s="66">
        <v>46103</v>
      </c>
      <c r="J14" s="66">
        <v>46104</v>
      </c>
      <c r="K14" s="66">
        <v>46105</v>
      </c>
      <c r="L14" s="66">
        <v>46106</v>
      </c>
      <c r="M14" s="66">
        <v>46107</v>
      </c>
      <c r="N14" s="66">
        <v>46108</v>
      </c>
      <c r="O14" s="66">
        <v>46109</v>
      </c>
      <c r="P14" s="66">
        <v>46110</v>
      </c>
      <c r="Q14" s="66">
        <v>46111</v>
      </c>
      <c r="R14" s="66">
        <v>46112</v>
      </c>
      <c r="S14" s="66">
        <v>46113</v>
      </c>
      <c r="T14" s="66">
        <v>46114</v>
      </c>
      <c r="U14" s="66">
        <v>46115</v>
      </c>
      <c r="V14" s="66">
        <v>46116</v>
      </c>
      <c r="W14" s="66">
        <v>46117</v>
      </c>
      <c r="X14" s="66">
        <v>46118</v>
      </c>
      <c r="Y14" s="66">
        <v>46119</v>
      </c>
      <c r="Z14" s="66">
        <v>46120</v>
      </c>
      <c r="AA14" s="66">
        <v>46121</v>
      </c>
      <c r="AB14" s="66">
        <v>46122</v>
      </c>
      <c r="AC14" s="66">
        <v>46123</v>
      </c>
      <c r="AD14" s="66">
        <v>46124</v>
      </c>
      <c r="AE14" s="66">
        <v>46125</v>
      </c>
      <c r="AF14" s="66">
        <v>46126</v>
      </c>
      <c r="AG14" s="66">
        <v>46127</v>
      </c>
      <c r="AH14" s="66">
        <v>46128</v>
      </c>
      <c r="AI14" s="66">
        <v>46129</v>
      </c>
      <c r="AJ14" s="66">
        <v>46130</v>
      </c>
      <c r="AK14" s="66">
        <v>46131</v>
      </c>
      <c r="AL14" s="66">
        <v>46132</v>
      </c>
      <c r="AM14" s="66">
        <v>46133</v>
      </c>
      <c r="AN14" s="66">
        <v>46134</v>
      </c>
      <c r="AO14" s="66">
        <v>46135</v>
      </c>
      <c r="AP14" s="66">
        <v>46136</v>
      </c>
      <c r="AQ14" s="66">
        <v>46137</v>
      </c>
      <c r="AR14" s="66">
        <v>46138</v>
      </c>
      <c r="AS14" s="66">
        <v>46139</v>
      </c>
      <c r="AT14" s="66">
        <v>46140</v>
      </c>
      <c r="AU14" s="66">
        <v>46141</v>
      </c>
      <c r="AV14" s="66">
        <v>46142</v>
      </c>
      <c r="AW14" s="66">
        <v>46143</v>
      </c>
      <c r="AX14" s="66">
        <v>46144</v>
      </c>
      <c r="AY14" s="66">
        <v>46145</v>
      </c>
      <c r="AZ14" s="66">
        <v>46146</v>
      </c>
      <c r="BA14" s="66">
        <v>46147</v>
      </c>
      <c r="BB14" s="66">
        <v>46148</v>
      </c>
      <c r="BC14" s="66">
        <v>46149</v>
      </c>
      <c r="BD14" s="66">
        <v>46150</v>
      </c>
      <c r="BE14" s="66">
        <v>46151</v>
      </c>
      <c r="BF14" s="66">
        <v>46152</v>
      </c>
    </row>
    <row r="15" spans="1:58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</row>
    <row r="16" spans="1:58" s="2" customFormat="1" x14ac:dyDescent="0.25">
      <c r="A16" s="39" t="s">
        <v>0</v>
      </c>
      <c r="B16" s="20"/>
      <c r="C16" s="29">
        <f>SUM(C17:C24)</f>
        <v>0</v>
      </c>
      <c r="D16" s="29"/>
      <c r="E16" s="29">
        <f t="shared" ref="E16:AJ16" si="0">SUM(E17:E24)</f>
        <v>4925812.58</v>
      </c>
      <c r="F16" s="29">
        <f t="shared" si="0"/>
        <v>0</v>
      </c>
      <c r="G16" s="29">
        <f t="shared" si="0"/>
        <v>729000</v>
      </c>
      <c r="H16" s="29">
        <f t="shared" si="0"/>
        <v>0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4875000</v>
      </c>
      <c r="P16" s="29">
        <f t="shared" si="0"/>
        <v>3000000</v>
      </c>
      <c r="Q16" s="29">
        <f t="shared" si="0"/>
        <v>0</v>
      </c>
      <c r="R16" s="29">
        <f t="shared" si="0"/>
        <v>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0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29">
        <f t="shared" ref="AK16:BF16" si="1">SUM(AK17:AK24)</f>
        <v>8397501.9453599993</v>
      </c>
      <c r="AL16" s="29">
        <f t="shared" si="1"/>
        <v>0</v>
      </c>
      <c r="AM16" s="29">
        <f t="shared" si="1"/>
        <v>0</v>
      </c>
      <c r="AN16" s="29">
        <f t="shared" si="1"/>
        <v>0</v>
      </c>
      <c r="AO16" s="29">
        <f t="shared" si="1"/>
        <v>0</v>
      </c>
      <c r="AP16" s="29">
        <f t="shared" si="1"/>
        <v>0</v>
      </c>
      <c r="AQ16" s="29">
        <f t="shared" si="1"/>
        <v>0</v>
      </c>
      <c r="AR16" s="29">
        <f t="shared" si="1"/>
        <v>0</v>
      </c>
      <c r="AS16" s="29">
        <f t="shared" si="1"/>
        <v>0</v>
      </c>
      <c r="AT16" s="29">
        <f t="shared" si="1"/>
        <v>0</v>
      </c>
      <c r="AU16" s="29">
        <f t="shared" si="1"/>
        <v>0</v>
      </c>
      <c r="AV16" s="29">
        <f t="shared" si="1"/>
        <v>0</v>
      </c>
      <c r="AW16" s="29">
        <f t="shared" si="1"/>
        <v>0</v>
      </c>
      <c r="AX16" s="29">
        <f t="shared" si="1"/>
        <v>7037500</v>
      </c>
      <c r="AY16" s="29">
        <f t="shared" si="1"/>
        <v>0</v>
      </c>
      <c r="AZ16" s="29">
        <f t="shared" si="1"/>
        <v>0</v>
      </c>
      <c r="BA16" s="29">
        <f t="shared" si="1"/>
        <v>0</v>
      </c>
      <c r="BB16" s="29">
        <f t="shared" si="1"/>
        <v>0</v>
      </c>
      <c r="BC16" s="29">
        <f t="shared" si="1"/>
        <v>0</v>
      </c>
      <c r="BD16" s="29">
        <f t="shared" si="1"/>
        <v>0</v>
      </c>
      <c r="BE16" s="29">
        <f t="shared" si="1"/>
        <v>0</v>
      </c>
      <c r="BF16" s="29">
        <f t="shared" si="1"/>
        <v>0</v>
      </c>
    </row>
    <row r="17" spans="1:58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spans="1:58" s="80" customFormat="1" x14ac:dyDescent="0.25">
      <c r="A18" s="40" t="s">
        <v>9</v>
      </c>
      <c r="B18" s="21"/>
      <c r="C18" s="59"/>
      <c r="D18" s="30"/>
      <c r="E18" s="30">
        <v>1665363.08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>
        <v>3000000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</row>
    <row r="19" spans="1:58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</row>
    <row r="20" spans="1:58" s="80" customFormat="1" ht="13.5" customHeight="1" x14ac:dyDescent="0.25">
      <c r="A20" s="40" t="s">
        <v>12</v>
      </c>
      <c r="B20" s="21"/>
      <c r="C20" s="59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2">
        <v>4875000</v>
      </c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>
        <v>7037500</v>
      </c>
      <c r="AY20" s="30"/>
      <c r="AZ20" s="30"/>
      <c r="BA20" s="30"/>
      <c r="BB20" s="30"/>
      <c r="BC20" s="30"/>
      <c r="BD20" s="30"/>
      <c r="BE20" s="30"/>
      <c r="BF20" s="30"/>
    </row>
    <row r="21" spans="1:58" s="80" customFormat="1" ht="13.5" customHeight="1" x14ac:dyDescent="0.25">
      <c r="A21" s="40" t="s">
        <v>76</v>
      </c>
      <c r="B21" s="21"/>
      <c r="C21" s="59"/>
      <c r="D21" s="30"/>
      <c r="E21" s="30"/>
      <c r="F21" s="30"/>
      <c r="G21" s="30">
        <v>729000</v>
      </c>
      <c r="H21" s="30"/>
      <c r="I21" s="30"/>
      <c r="J21" s="30"/>
      <c r="K21" s="30"/>
      <c r="L21" s="30"/>
      <c r="M21" s="30"/>
      <c r="N21" s="30"/>
      <c r="O21" s="32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</row>
    <row r="22" spans="1:58" s="80" customFormat="1" ht="12" customHeight="1" x14ac:dyDescent="0.25">
      <c r="A22" s="40" t="s">
        <v>11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3">
        <f>90144.8*A3</f>
        <v>8397501.9453599993</v>
      </c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</row>
    <row r="23" spans="1:58" s="80" customFormat="1" ht="10.5" customHeight="1" x14ac:dyDescent="0.25">
      <c r="A23" s="40" t="s">
        <v>13</v>
      </c>
      <c r="B23" s="21"/>
      <c r="C23" s="59"/>
      <c r="D23" s="30"/>
      <c r="E23" s="30">
        <f>3260449.5</f>
        <v>3260449.5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</row>
    <row r="24" spans="1:58" ht="3" customHeight="1" x14ac:dyDescent="0.25">
      <c r="A24" s="40"/>
      <c r="B24" s="21"/>
      <c r="C24" s="59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</row>
    <row r="25" spans="1:58" s="4" customFormat="1" x14ac:dyDescent="0.2">
      <c r="A25" s="41" t="s">
        <v>1</v>
      </c>
      <c r="B25" s="22"/>
      <c r="C25" s="34">
        <f>SUM(C26:C63)</f>
        <v>15937649.115679998</v>
      </c>
      <c r="D25" s="34"/>
      <c r="E25" s="34">
        <f t="shared" ref="E25:AJ25" si="2">SUM(E26:E63)</f>
        <v>2258283.33</v>
      </c>
      <c r="F25" s="34">
        <f t="shared" si="2"/>
        <v>1064000</v>
      </c>
      <c r="G25" s="34">
        <f t="shared" si="2"/>
        <v>950000</v>
      </c>
      <c r="H25" s="34">
        <f t="shared" si="2"/>
        <v>0</v>
      </c>
      <c r="I25" s="34">
        <f t="shared" si="2"/>
        <v>0</v>
      </c>
      <c r="J25" s="34">
        <f t="shared" si="2"/>
        <v>231601.37325000003</v>
      </c>
      <c r="K25" s="34">
        <f t="shared" si="2"/>
        <v>0</v>
      </c>
      <c r="L25" s="34">
        <f t="shared" si="2"/>
        <v>821857.11</v>
      </c>
      <c r="M25" s="34">
        <f t="shared" si="2"/>
        <v>830000</v>
      </c>
      <c r="N25" s="34">
        <f t="shared" si="2"/>
        <v>1410984.72</v>
      </c>
      <c r="O25" s="34">
        <f t="shared" si="2"/>
        <v>1490000</v>
      </c>
      <c r="P25" s="34">
        <f t="shared" si="2"/>
        <v>0</v>
      </c>
      <c r="Q25" s="34">
        <f t="shared" si="2"/>
        <v>3391202.26</v>
      </c>
      <c r="R25" s="34">
        <f t="shared" si="2"/>
        <v>90800</v>
      </c>
      <c r="S25" s="34">
        <f t="shared" si="2"/>
        <v>0</v>
      </c>
      <c r="T25" s="34">
        <f t="shared" si="2"/>
        <v>830000</v>
      </c>
      <c r="U25" s="34">
        <f t="shared" si="2"/>
        <v>44000</v>
      </c>
      <c r="V25" s="34">
        <f t="shared" si="2"/>
        <v>189066.66899999999</v>
      </c>
      <c r="W25" s="34">
        <f t="shared" si="2"/>
        <v>878889.5</v>
      </c>
      <c r="X25" s="34">
        <f t="shared" si="2"/>
        <v>200113.3</v>
      </c>
      <c r="Y25" s="34">
        <f t="shared" si="2"/>
        <v>1200000</v>
      </c>
      <c r="Z25" s="34">
        <f t="shared" si="2"/>
        <v>0</v>
      </c>
      <c r="AA25" s="34">
        <f t="shared" si="2"/>
        <v>1329410</v>
      </c>
      <c r="AB25" s="34">
        <f t="shared" si="2"/>
        <v>360000</v>
      </c>
      <c r="AC25" s="34">
        <f t="shared" si="2"/>
        <v>721736.71500000008</v>
      </c>
      <c r="AD25" s="34">
        <f t="shared" si="2"/>
        <v>0</v>
      </c>
      <c r="AE25" s="34">
        <f t="shared" si="2"/>
        <v>0</v>
      </c>
      <c r="AF25" s="34">
        <f t="shared" si="2"/>
        <v>0</v>
      </c>
      <c r="AG25" s="34">
        <f t="shared" si="2"/>
        <v>515224</v>
      </c>
      <c r="AH25" s="34">
        <f t="shared" si="2"/>
        <v>0</v>
      </c>
      <c r="AI25" s="34">
        <f t="shared" si="2"/>
        <v>0</v>
      </c>
      <c r="AJ25" s="34">
        <f t="shared" si="2"/>
        <v>160000</v>
      </c>
      <c r="AK25" s="34">
        <f t="shared" ref="AK25:BF25" si="3">SUM(AK26:AK63)</f>
        <v>2160000</v>
      </c>
      <c r="AL25" s="34">
        <f t="shared" si="3"/>
        <v>0</v>
      </c>
      <c r="AM25" s="34">
        <f t="shared" si="3"/>
        <v>0</v>
      </c>
      <c r="AN25" s="34">
        <f t="shared" si="3"/>
        <v>0</v>
      </c>
      <c r="AO25" s="34">
        <f t="shared" si="3"/>
        <v>0</v>
      </c>
      <c r="AP25" s="34">
        <f t="shared" si="3"/>
        <v>0</v>
      </c>
      <c r="AQ25" s="34">
        <f t="shared" si="3"/>
        <v>321857.11</v>
      </c>
      <c r="AR25" s="34">
        <f t="shared" si="3"/>
        <v>0</v>
      </c>
      <c r="AS25" s="34">
        <f t="shared" si="3"/>
        <v>0</v>
      </c>
      <c r="AT25" s="34">
        <f t="shared" si="3"/>
        <v>2000000</v>
      </c>
      <c r="AU25" s="34">
        <f t="shared" si="3"/>
        <v>0</v>
      </c>
      <c r="AV25" s="34">
        <f t="shared" si="3"/>
        <v>0</v>
      </c>
      <c r="AW25" s="34">
        <f t="shared" si="3"/>
        <v>112000</v>
      </c>
      <c r="AX25" s="34">
        <f t="shared" si="3"/>
        <v>0</v>
      </c>
      <c r="AY25" s="34">
        <f t="shared" si="3"/>
        <v>0</v>
      </c>
      <c r="AZ25" s="34">
        <f t="shared" si="3"/>
        <v>515224</v>
      </c>
      <c r="BA25" s="34">
        <f t="shared" si="3"/>
        <v>0</v>
      </c>
      <c r="BB25" s="34">
        <f t="shared" si="3"/>
        <v>0</v>
      </c>
      <c r="BC25" s="34">
        <f t="shared" si="3"/>
        <v>0</v>
      </c>
      <c r="BD25" s="34">
        <f t="shared" si="3"/>
        <v>0</v>
      </c>
      <c r="BE25" s="34">
        <f t="shared" si="3"/>
        <v>0</v>
      </c>
      <c r="BF25" s="34">
        <f t="shared" si="3"/>
        <v>0</v>
      </c>
    </row>
    <row r="26" spans="1:58" ht="3" customHeight="1" x14ac:dyDescent="0.25">
      <c r="A26" s="40"/>
      <c r="B26" s="21"/>
      <c r="C26" s="59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</row>
    <row r="27" spans="1:58" s="1" customFormat="1" x14ac:dyDescent="0.2">
      <c r="A27" s="36" t="s">
        <v>2</v>
      </c>
      <c r="B27" s="23" t="s">
        <v>3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>
        <v>194014.26</v>
      </c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 s="1" customFormat="1" x14ac:dyDescent="0.2">
      <c r="A28" s="36" t="s">
        <v>2</v>
      </c>
      <c r="B28" s="23" t="s">
        <v>4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s="1" customFormat="1" x14ac:dyDescent="0.2">
      <c r="A29" s="36" t="s">
        <v>2</v>
      </c>
      <c r="B29" s="23" t="s">
        <v>5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>
        <v>1835137</v>
      </c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 s="1" customFormat="1" x14ac:dyDescent="0.2">
      <c r="A30" s="36" t="s">
        <v>2</v>
      </c>
      <c r="B30" s="23" t="s">
        <v>6</v>
      </c>
      <c r="C30" s="6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>
        <v>180947</v>
      </c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90">
        <v>2000000</v>
      </c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 s="1" customFormat="1" x14ac:dyDescent="0.2">
      <c r="A31" s="36" t="s">
        <v>7</v>
      </c>
      <c r="B31" s="23" t="s">
        <v>8</v>
      </c>
      <c r="C31" s="60"/>
      <c r="D31" s="24"/>
      <c r="E31" s="24"/>
      <c r="F31" s="24">
        <v>560000</v>
      </c>
      <c r="G31" s="24"/>
      <c r="H31" s="24"/>
      <c r="I31" s="24"/>
      <c r="J31" s="24"/>
      <c r="K31" s="24"/>
      <c r="L31" s="24">
        <f>643714.22/2</f>
        <v>321857.11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>
        <v>1200000</v>
      </c>
      <c r="Z31" s="24"/>
      <c r="AA31" s="24"/>
      <c r="AB31" s="24">
        <v>360000</v>
      </c>
      <c r="AC31" s="24"/>
      <c r="AD31" s="24"/>
      <c r="AE31" s="24"/>
      <c r="AF31" s="24"/>
      <c r="AG31" s="24"/>
      <c r="AH31" s="24"/>
      <c r="AI31" s="24"/>
      <c r="AJ31" s="24"/>
      <c r="AK31" s="24">
        <v>560000</v>
      </c>
      <c r="AL31" s="24"/>
      <c r="AM31" s="24"/>
      <c r="AN31" s="24"/>
      <c r="AO31" s="24"/>
      <c r="AP31" s="24"/>
      <c r="AQ31" s="24">
        <f>643714.22/2</f>
        <v>321857.11</v>
      </c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 s="1" customFormat="1" x14ac:dyDescent="0.2">
      <c r="A32" s="36" t="s">
        <v>54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 s="1" customFormat="1" x14ac:dyDescent="0.2">
      <c r="A33" s="36" t="s">
        <v>71</v>
      </c>
      <c r="B33" s="23"/>
      <c r="C33" s="60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>
        <f>30000+10500+3500</f>
        <v>44000</v>
      </c>
      <c r="V33" s="24"/>
      <c r="W33" s="24"/>
      <c r="X33" s="24">
        <v>200113.3</v>
      </c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s="1" customFormat="1" x14ac:dyDescent="0.2">
      <c r="A34" s="36" t="s">
        <v>53</v>
      </c>
      <c r="B34" s="23"/>
      <c r="C34" s="60"/>
      <c r="D34" s="24"/>
      <c r="E34" s="24"/>
      <c r="F34" s="24">
        <v>160000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>
        <v>545949.5</v>
      </c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>
        <v>160000</v>
      </c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</row>
    <row r="35" spans="1:58" s="1" customFormat="1" ht="11.25" customHeight="1" x14ac:dyDescent="0.2">
      <c r="A35" s="47"/>
      <c r="B35" s="48"/>
      <c r="C35" s="6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s="71" customFormat="1" x14ac:dyDescent="0.2">
      <c r="A36" s="69" t="s">
        <v>14</v>
      </c>
      <c r="B36" s="25" t="s">
        <v>30</v>
      </c>
      <c r="C36" s="70">
        <f>1100000-E36</f>
        <v>1000000</v>
      </c>
      <c r="D36" s="24"/>
      <c r="E36" s="24">
        <v>100000</v>
      </c>
      <c r="F36" s="24"/>
      <c r="G36" s="24">
        <f>$C$36/2</f>
        <v>500000</v>
      </c>
      <c r="H36" s="24"/>
      <c r="I36" s="24"/>
      <c r="J36" s="24"/>
      <c r="K36" s="24"/>
      <c r="L36" s="24">
        <f>$C$36/2</f>
        <v>500000</v>
      </c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 s="71" customFormat="1" x14ac:dyDescent="0.2">
      <c r="A37" s="69" t="s">
        <v>17</v>
      </c>
      <c r="B37" s="25" t="s">
        <v>41</v>
      </c>
      <c r="C37" s="70">
        <f>1800000</f>
        <v>1800000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 s="71" customFormat="1" x14ac:dyDescent="0.2">
      <c r="A38" s="69" t="s">
        <v>15</v>
      </c>
      <c r="B38" s="25" t="s">
        <v>31</v>
      </c>
      <c r="C38" s="70">
        <f>829464-E38</f>
        <v>779464</v>
      </c>
      <c r="D38" s="24"/>
      <c r="E38" s="24">
        <v>50000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95">
        <f>515224</f>
        <v>515224</v>
      </c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95">
        <v>515224</v>
      </c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95">
        <v>515224</v>
      </c>
      <c r="BA38" s="24"/>
      <c r="BB38" s="24"/>
      <c r="BC38" s="24"/>
      <c r="BD38" s="24"/>
      <c r="BE38" s="24"/>
      <c r="BF38" s="24"/>
    </row>
    <row r="39" spans="1:58" s="71" customFormat="1" x14ac:dyDescent="0.2">
      <c r="A39" s="69" t="s">
        <v>18</v>
      </c>
      <c r="B39" s="25" t="s">
        <v>32</v>
      </c>
      <c r="C39" s="70">
        <f>1600000-E39</f>
        <v>1500000</v>
      </c>
      <c r="D39" s="24"/>
      <c r="E39" s="24">
        <v>100000</v>
      </c>
      <c r="F39" s="72">
        <v>160000</v>
      </c>
      <c r="G39" s="72">
        <v>160000</v>
      </c>
      <c r="H39" s="24"/>
      <c r="I39" s="24"/>
      <c r="J39" s="24"/>
      <c r="K39" s="24"/>
      <c r="L39" s="24"/>
      <c r="M39" s="24">
        <v>415000</v>
      </c>
      <c r="N39" s="24"/>
      <c r="O39" s="24"/>
      <c r="P39" s="24"/>
      <c r="Q39" s="24"/>
      <c r="R39" s="24"/>
      <c r="S39" s="24"/>
      <c r="T39" s="24">
        <v>415000</v>
      </c>
      <c r="U39" s="24"/>
      <c r="V39" s="24"/>
      <c r="W39" s="24"/>
      <c r="X39" s="24"/>
      <c r="Y39" s="24"/>
      <c r="Z39" s="24"/>
      <c r="AA39" s="24">
        <v>415000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</row>
    <row r="40" spans="1:58" s="73" customFormat="1" x14ac:dyDescent="0.2">
      <c r="A40" s="69" t="s">
        <v>21</v>
      </c>
      <c r="B40" s="25" t="s">
        <v>45</v>
      </c>
      <c r="C40" s="70">
        <f>150000*$A$9-E40</f>
        <v>1664110</v>
      </c>
      <c r="D40" s="72"/>
      <c r="E40" s="72">
        <f>10000*$A$9</f>
        <v>118865</v>
      </c>
      <c r="F40" s="72">
        <v>160000</v>
      </c>
      <c r="G40" s="72">
        <v>160000</v>
      </c>
      <c r="H40" s="72"/>
      <c r="I40" s="72"/>
      <c r="J40" s="72"/>
      <c r="K40" s="72"/>
      <c r="L40" s="72"/>
      <c r="M40" s="24">
        <v>415000</v>
      </c>
      <c r="N40" s="72"/>
      <c r="O40" s="72"/>
      <c r="P40" s="72"/>
      <c r="Q40" s="72"/>
      <c r="R40" s="72"/>
      <c r="S40" s="72"/>
      <c r="T40" s="24">
        <v>415000</v>
      </c>
      <c r="U40" s="72"/>
      <c r="V40" s="72"/>
      <c r="W40" s="72"/>
      <c r="X40" s="72"/>
      <c r="Y40" s="72"/>
      <c r="Z40" s="72"/>
      <c r="AA40" s="24">
        <v>415000</v>
      </c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</row>
    <row r="41" spans="1:58" s="71" customFormat="1" x14ac:dyDescent="0.2">
      <c r="A41" s="69" t="s">
        <v>19</v>
      </c>
      <c r="B41" s="25" t="s">
        <v>46</v>
      </c>
      <c r="C41" s="70">
        <f>14000*A3-E41</f>
        <v>1257601.95</v>
      </c>
      <c r="D41" s="24"/>
      <c r="E41" s="24">
        <f>500*$A$3</f>
        <v>46577.85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</row>
    <row r="42" spans="1:58" s="71" customFormat="1" x14ac:dyDescent="0.2">
      <c r="A42" s="69" t="s">
        <v>16</v>
      </c>
      <c r="B42" s="25" t="s">
        <v>32</v>
      </c>
      <c r="C42" s="70">
        <f>600000+331200-E42</f>
        <v>881200</v>
      </c>
      <c r="D42" s="24"/>
      <c r="E42" s="24">
        <v>50000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>
        <v>665880</v>
      </c>
      <c r="R42" s="24"/>
      <c r="S42" s="24"/>
      <c r="T42" s="24"/>
      <c r="U42" s="24"/>
      <c r="V42" s="24"/>
      <c r="W42" s="95">
        <v>332940</v>
      </c>
      <c r="X42" s="24"/>
      <c r="Y42" s="24"/>
      <c r="Z42" s="24"/>
      <c r="AA42" s="95">
        <v>499410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</row>
    <row r="43" spans="1:58" s="71" customFormat="1" x14ac:dyDescent="0.2">
      <c r="A43" s="69" t="s">
        <v>20</v>
      </c>
      <c r="B43" s="25" t="s">
        <v>47</v>
      </c>
      <c r="C43" s="70">
        <f>7000*$A$6</f>
        <v>573372.10000000009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</row>
    <row r="44" spans="1:58" s="73" customFormat="1" x14ac:dyDescent="0.2">
      <c r="A44" s="69" t="s">
        <v>22</v>
      </c>
      <c r="B44" s="25" t="s">
        <v>48</v>
      </c>
      <c r="C44" s="75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>
        <f>15906*A9</f>
        <v>189066.66899999999</v>
      </c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</row>
    <row r="45" spans="1:58" s="71" customFormat="1" x14ac:dyDescent="0.2">
      <c r="A45" s="69" t="s">
        <v>36</v>
      </c>
      <c r="B45" s="25" t="s">
        <v>37</v>
      </c>
      <c r="C45" s="70"/>
      <c r="D45" s="24"/>
      <c r="E45" s="24">
        <f>500*$A$6</f>
        <v>40955.15</v>
      </c>
      <c r="F45" s="24"/>
      <c r="G45" s="24"/>
      <c r="H45" s="24"/>
      <c r="I45" s="24"/>
      <c r="J45" s="24">
        <f>3327.5*$A$6-E45</f>
        <v>231601.37325000003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</row>
    <row r="46" spans="1:58" s="71" customFormat="1" x14ac:dyDescent="0.2">
      <c r="A46" s="69" t="s">
        <v>33</v>
      </c>
      <c r="B46" s="25" t="s">
        <v>35</v>
      </c>
      <c r="C46" s="76">
        <f>3250*A6-E46</f>
        <v>225253.32500000004</v>
      </c>
      <c r="D46" s="24"/>
      <c r="E46" s="24">
        <f>500*$A$6</f>
        <v>40955.15</v>
      </c>
      <c r="F46" s="24"/>
      <c r="G46" s="24"/>
      <c r="H46" s="24"/>
      <c r="I46" s="24"/>
      <c r="J46" s="24"/>
      <c r="K46" s="24"/>
      <c r="L46" s="24"/>
      <c r="M46" s="24"/>
      <c r="N46" s="24">
        <f>2400*$A$6</f>
        <v>196584.72000000003</v>
      </c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95">
        <f>4050*A6</f>
        <v>331736.71500000003</v>
      </c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</row>
    <row r="47" spans="1:58" s="71" customFormat="1" x14ac:dyDescent="0.2">
      <c r="A47" s="69" t="s">
        <v>29</v>
      </c>
      <c r="B47" s="25" t="s">
        <v>42</v>
      </c>
      <c r="C47" s="70">
        <v>20000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</row>
    <row r="48" spans="1:58" s="71" customFormat="1" x14ac:dyDescent="0.2">
      <c r="A48" s="69" t="s">
        <v>29</v>
      </c>
      <c r="B48" s="25" t="s">
        <v>43</v>
      </c>
      <c r="C48" s="70">
        <v>439750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</row>
    <row r="49" spans="1:58" s="71" customFormat="1" x14ac:dyDescent="0.2">
      <c r="A49" s="69" t="s">
        <v>29</v>
      </c>
      <c r="B49" s="25" t="s">
        <v>55</v>
      </c>
      <c r="C49" s="76">
        <f>5280*$A$6-E49</f>
        <v>391531.234</v>
      </c>
      <c r="D49" s="24"/>
      <c r="E49" s="24">
        <f>500*$A$6</f>
        <v>40955.15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</row>
    <row r="50" spans="1:58" s="71" customFormat="1" x14ac:dyDescent="0.2">
      <c r="A50" s="69" t="s">
        <v>40</v>
      </c>
      <c r="B50" s="25" t="s">
        <v>44</v>
      </c>
      <c r="C50" s="70"/>
      <c r="D50" s="24"/>
      <c r="E50" s="24">
        <v>2488</v>
      </c>
      <c r="F50" s="24"/>
      <c r="G50" s="24"/>
      <c r="H50" s="24"/>
      <c r="I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</row>
    <row r="51" spans="1:58" s="71" customFormat="1" x14ac:dyDescent="0.2">
      <c r="A51" s="69" t="s">
        <v>34</v>
      </c>
      <c r="B51" s="25" t="s">
        <v>45</v>
      </c>
      <c r="C51" s="70"/>
      <c r="D51" s="77"/>
      <c r="E51" s="24"/>
      <c r="F51" s="24"/>
      <c r="G51" s="24"/>
      <c r="H51" s="24"/>
      <c r="I51" s="24"/>
      <c r="J51" s="24"/>
      <c r="K51" s="24"/>
      <c r="L51" s="24"/>
      <c r="M51" s="24"/>
      <c r="N51" s="24">
        <v>1214400</v>
      </c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</row>
    <row r="52" spans="1:58" s="71" customFormat="1" x14ac:dyDescent="0.2">
      <c r="A52" s="69" t="s">
        <v>38</v>
      </c>
      <c r="B52" s="25" t="s">
        <v>39</v>
      </c>
      <c r="C52" s="70"/>
      <c r="D52" s="24"/>
      <c r="E52" s="24"/>
      <c r="F52" s="24">
        <v>24000</v>
      </c>
      <c r="G52" s="24">
        <v>130000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>
        <v>90800</v>
      </c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</row>
    <row r="53" spans="1:58" s="71" customFormat="1" x14ac:dyDescent="0.2">
      <c r="A53" s="69" t="s">
        <v>74</v>
      </c>
      <c r="B53" s="25" t="s">
        <v>75</v>
      </c>
      <c r="C53" s="70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</row>
    <row r="54" spans="1:58" s="73" customFormat="1" ht="2.25" customHeight="1" x14ac:dyDescent="0.2">
      <c r="A54" s="78"/>
      <c r="B54" s="79"/>
      <c r="C54" s="75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</row>
    <row r="55" spans="1:58" s="94" customFormat="1" ht="33.75" x14ac:dyDescent="0.2">
      <c r="A55" s="91" t="s">
        <v>60</v>
      </c>
      <c r="B55" s="92" t="s">
        <v>58</v>
      </c>
      <c r="C55" s="93">
        <f>14772.4*A3-1149808.75</f>
        <v>226324.51267999993</v>
      </c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3"/>
    </row>
    <row r="56" spans="1:58" s="94" customFormat="1" ht="33.75" x14ac:dyDescent="0.2">
      <c r="A56" s="91" t="s">
        <v>60</v>
      </c>
      <c r="B56" s="92" t="s">
        <v>59</v>
      </c>
      <c r="C56" s="93">
        <f>17887.2*A3-17887.2*A3</f>
        <v>0</v>
      </c>
      <c r="D56" s="93"/>
      <c r="E56" s="93">
        <v>1667487.03</v>
      </c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3"/>
    </row>
    <row r="57" spans="1:58" s="5" customFormat="1" ht="2.25" customHeight="1" x14ac:dyDescent="0.2">
      <c r="A57" s="42"/>
      <c r="B57" s="12"/>
      <c r="C57" s="68"/>
      <c r="D57" s="26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</row>
    <row r="58" spans="1:58" s="5" customFormat="1" x14ac:dyDescent="0.2">
      <c r="A58" s="36" t="s">
        <v>49</v>
      </c>
      <c r="B58" s="12"/>
      <c r="C58" s="13">
        <v>1600000</v>
      </c>
      <c r="D58" s="26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>
        <v>1600000</v>
      </c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</row>
    <row r="59" spans="1:58" s="5" customFormat="1" x14ac:dyDescent="0.2">
      <c r="A59" s="36" t="s">
        <v>57</v>
      </c>
      <c r="B59" s="12"/>
      <c r="C59" s="68"/>
      <c r="D59" s="2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>
        <v>1490000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</row>
    <row r="60" spans="1:58" s="5" customFormat="1" x14ac:dyDescent="0.2">
      <c r="A60" s="36" t="s">
        <v>61</v>
      </c>
      <c r="B60" s="12"/>
      <c r="C60" s="68"/>
      <c r="D60" s="26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>
        <v>390000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>
        <v>112000</v>
      </c>
      <c r="AX60" s="13"/>
      <c r="AY60" s="13"/>
      <c r="AZ60" s="13"/>
      <c r="BA60" s="13"/>
      <c r="BB60" s="13"/>
      <c r="BC60" s="13"/>
      <c r="BD60" s="13"/>
      <c r="BE60" s="13"/>
      <c r="BF60" s="13"/>
    </row>
    <row r="61" spans="1:58" s="5" customFormat="1" ht="2.25" customHeight="1" x14ac:dyDescent="0.2">
      <c r="A61" s="42"/>
      <c r="B61" s="12"/>
      <c r="C61" s="68"/>
      <c r="D61" s="26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</row>
    <row r="62" spans="1:58" s="5" customFormat="1" x14ac:dyDescent="0.2">
      <c r="A62" s="36" t="s">
        <v>72</v>
      </c>
      <c r="B62" s="27" t="s">
        <v>73</v>
      </c>
      <c r="C62" s="62">
        <f>76840*0.5*A3</f>
        <v>3579041.9939999999</v>
      </c>
      <c r="D62" s="35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</row>
    <row r="63" spans="1:58" s="5" customFormat="1" ht="2.25" customHeight="1" x14ac:dyDescent="0.2">
      <c r="A63" s="42"/>
      <c r="B63" s="12"/>
      <c r="C63" s="61"/>
      <c r="D63" s="26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</row>
    <row r="64" spans="1:58" s="84" customFormat="1" x14ac:dyDescent="0.2">
      <c r="A64" s="81" t="s">
        <v>66</v>
      </c>
      <c r="B64" s="82"/>
      <c r="C64" s="63"/>
      <c r="D64" s="83"/>
      <c r="E64" s="83">
        <f>$C$5+E16-E25</f>
        <v>6186240.5999999996</v>
      </c>
      <c r="F64" s="83">
        <f t="shared" ref="F64:AK64" si="4">E64+F16-F25</f>
        <v>5122240.5999999996</v>
      </c>
      <c r="G64" s="83">
        <f t="shared" si="4"/>
        <v>4901240.5999999996</v>
      </c>
      <c r="H64" s="83">
        <f t="shared" si="4"/>
        <v>4901240.5999999996</v>
      </c>
      <c r="I64" s="83">
        <f t="shared" si="4"/>
        <v>4901240.5999999996</v>
      </c>
      <c r="J64" s="83">
        <f t="shared" si="4"/>
        <v>4669639.2267499994</v>
      </c>
      <c r="K64" s="83">
        <f t="shared" si="4"/>
        <v>4669639.2267499994</v>
      </c>
      <c r="L64" s="83">
        <f t="shared" si="4"/>
        <v>3847782.1167499996</v>
      </c>
      <c r="M64" s="83">
        <f t="shared" si="4"/>
        <v>3017782.1167499996</v>
      </c>
      <c r="N64" s="83">
        <f t="shared" si="4"/>
        <v>1606797.3967499996</v>
      </c>
      <c r="O64" s="83">
        <f t="shared" si="4"/>
        <v>4991797.3967499994</v>
      </c>
      <c r="P64" s="83">
        <f t="shared" si="4"/>
        <v>7991797.3967499994</v>
      </c>
      <c r="Q64" s="83">
        <f t="shared" si="4"/>
        <v>4600595.1367499996</v>
      </c>
      <c r="R64" s="83">
        <f t="shared" si="4"/>
        <v>4509795.1367499996</v>
      </c>
      <c r="S64" s="83">
        <f t="shared" si="4"/>
        <v>4509795.1367499996</v>
      </c>
      <c r="T64" s="83">
        <f t="shared" si="4"/>
        <v>3679795.1367499996</v>
      </c>
      <c r="U64" s="83">
        <f t="shared" si="4"/>
        <v>3635795.1367499996</v>
      </c>
      <c r="V64" s="83">
        <f t="shared" si="4"/>
        <v>3446728.4677499998</v>
      </c>
      <c r="W64" s="83">
        <f t="shared" si="4"/>
        <v>2567838.9677499998</v>
      </c>
      <c r="X64" s="83">
        <f t="shared" si="4"/>
        <v>2367725.66775</v>
      </c>
      <c r="Y64" s="83">
        <f t="shared" si="4"/>
        <v>1167725.66775</v>
      </c>
      <c r="Z64" s="83">
        <f t="shared" si="4"/>
        <v>1167725.66775</v>
      </c>
      <c r="AA64" s="83">
        <f t="shared" si="4"/>
        <v>-161684.33224999998</v>
      </c>
      <c r="AB64" s="83">
        <f t="shared" si="4"/>
        <v>-521684.33224999998</v>
      </c>
      <c r="AC64" s="83">
        <f t="shared" si="4"/>
        <v>-1243421.0472500001</v>
      </c>
      <c r="AD64" s="83">
        <f t="shared" si="4"/>
        <v>-1243421.0472500001</v>
      </c>
      <c r="AE64" s="83">
        <f t="shared" si="4"/>
        <v>-1243421.0472500001</v>
      </c>
      <c r="AF64" s="83">
        <f t="shared" si="4"/>
        <v>-1243421.0472500001</v>
      </c>
      <c r="AG64" s="83">
        <f t="shared" si="4"/>
        <v>-1758645.0472500001</v>
      </c>
      <c r="AH64" s="83">
        <f t="shared" si="4"/>
        <v>-1758645.0472500001</v>
      </c>
      <c r="AI64" s="83">
        <f t="shared" si="4"/>
        <v>-1758645.0472500001</v>
      </c>
      <c r="AJ64" s="83">
        <f t="shared" si="4"/>
        <v>-1918645.0472500001</v>
      </c>
      <c r="AK64" s="83">
        <f t="shared" si="4"/>
        <v>4318856.8981099995</v>
      </c>
      <c r="AL64" s="83">
        <f t="shared" ref="AL64:BF64" si="5">AK64+AL16-AL25</f>
        <v>4318856.8981099995</v>
      </c>
      <c r="AM64" s="83">
        <f t="shared" si="5"/>
        <v>4318856.8981099995</v>
      </c>
      <c r="AN64" s="83">
        <f t="shared" si="5"/>
        <v>4318856.8981099995</v>
      </c>
      <c r="AO64" s="83">
        <f t="shared" si="5"/>
        <v>4318856.8981099995</v>
      </c>
      <c r="AP64" s="83">
        <f t="shared" si="5"/>
        <v>4318856.8981099995</v>
      </c>
      <c r="AQ64" s="83">
        <f t="shared" si="5"/>
        <v>3996999.7881099996</v>
      </c>
      <c r="AR64" s="83">
        <f t="shared" si="5"/>
        <v>3996999.7881099996</v>
      </c>
      <c r="AS64" s="83">
        <f t="shared" si="5"/>
        <v>3996999.7881099996</v>
      </c>
      <c r="AT64" s="83">
        <f t="shared" si="5"/>
        <v>1996999.7881099996</v>
      </c>
      <c r="AU64" s="83">
        <f t="shared" si="5"/>
        <v>1996999.7881099996</v>
      </c>
      <c r="AV64" s="83">
        <f t="shared" si="5"/>
        <v>1996999.7881099996</v>
      </c>
      <c r="AW64" s="83">
        <f t="shared" si="5"/>
        <v>1884999.7881099996</v>
      </c>
      <c r="AX64" s="83">
        <f t="shared" si="5"/>
        <v>8922499.7881099992</v>
      </c>
      <c r="AY64" s="83">
        <f t="shared" si="5"/>
        <v>8922499.7881099992</v>
      </c>
      <c r="AZ64" s="83">
        <f t="shared" si="5"/>
        <v>8407275.7881099992</v>
      </c>
      <c r="BA64" s="83">
        <f t="shared" si="5"/>
        <v>8407275.7881099992</v>
      </c>
      <c r="BB64" s="83">
        <f t="shared" si="5"/>
        <v>8407275.7881099992</v>
      </c>
      <c r="BC64" s="83">
        <f t="shared" si="5"/>
        <v>8407275.7881099992</v>
      </c>
      <c r="BD64" s="83">
        <f t="shared" si="5"/>
        <v>8407275.7881099992</v>
      </c>
      <c r="BE64" s="83">
        <f t="shared" si="5"/>
        <v>8407275.7881099992</v>
      </c>
      <c r="BF64" s="83">
        <f t="shared" si="5"/>
        <v>8407275.7881099992</v>
      </c>
    </row>
    <row r="66" spans="1:58" s="5" customFormat="1" ht="2.25" customHeight="1" x14ac:dyDescent="0.2">
      <c r="A66" s="42"/>
      <c r="B66" s="12"/>
      <c r="C66" s="68"/>
      <c r="D66" s="26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</row>
    <row r="67" spans="1:58" s="89" customFormat="1" ht="11.25" customHeight="1" x14ac:dyDescent="0.2">
      <c r="A67" s="85" t="s">
        <v>65</v>
      </c>
      <c r="B67" s="86"/>
      <c r="C67" s="87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</row>
    <row r="68" spans="1:58" s="5" customFormat="1" ht="22.5" x14ac:dyDescent="0.2">
      <c r="A68" s="36" t="s">
        <v>67</v>
      </c>
      <c r="B68" s="27" t="s">
        <v>68</v>
      </c>
      <c r="C68" s="68">
        <v>3221210.79</v>
      </c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</row>
    <row r="69" spans="1:58" s="5" customFormat="1" x14ac:dyDescent="0.2">
      <c r="A69" s="36" t="s">
        <v>69</v>
      </c>
      <c r="B69" s="27" t="s">
        <v>70</v>
      </c>
      <c r="C69" s="68">
        <f>4420452+5393886.4</f>
        <v>9814338.4000000004</v>
      </c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</row>
    <row r="70" spans="1:58" s="5" customFormat="1" x14ac:dyDescent="0.2">
      <c r="A70" s="36"/>
      <c r="B70" s="27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</row>
    <row r="71" spans="1:58" s="5" customFormat="1" x14ac:dyDescent="0.2">
      <c r="A71" s="36"/>
      <c r="B71" s="27"/>
      <c r="C71" s="68"/>
      <c r="D71" s="26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</row>
    <row r="73" spans="1:58" x14ac:dyDescent="0.25">
      <c r="B73" s="14"/>
    </row>
  </sheetData>
  <pageMargins left="0.7" right="0.7" top="0.75" bottom="0.75" header="0.3" footer="0.3"/>
  <pageSetup paperSize="9" orientation="portrait" r:id="rId1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72"/>
  <sheetViews>
    <sheetView zoomScale="115" zoomScaleNormal="115" workbookViewId="0">
      <pane xSplit="3" ySplit="14" topLeftCell="D45" activePane="bottomRight" state="frozen"/>
      <selection pane="topRight" activeCell="D1" sqref="D1"/>
      <selection pane="bottomLeft" activeCell="A15" sqref="A15"/>
      <selection pane="bottomRight" activeCell="C11" sqref="C11"/>
    </sheetView>
  </sheetViews>
  <sheetFormatPr defaultColWidth="9" defaultRowHeight="11.25" x14ac:dyDescent="0.25"/>
  <cols>
    <col min="1" max="1" width="34.7109375" style="37" customWidth="1"/>
    <col min="2" max="2" width="24.5703125" style="3" bestFit="1" customWidth="1"/>
    <col min="3" max="3" width="14.85546875" style="2" customWidth="1"/>
    <col min="4" max="4" width="9.7109375" style="3" customWidth="1"/>
    <col min="5" max="21" width="10.85546875" style="3" bestFit="1" customWidth="1"/>
    <col min="22" max="27" width="11.7109375" style="3" bestFit="1" customWidth="1"/>
    <col min="28" max="30" width="11.7109375" style="3" customWidth="1"/>
    <col min="31" max="38" width="11.7109375" style="3" bestFit="1" customWidth="1"/>
    <col min="39" max="60" width="10.85546875" style="3" bestFit="1" customWidth="1"/>
    <col min="61" max="16384" width="9" style="3"/>
  </cols>
  <sheetData>
    <row r="1" spans="1:60" ht="12" thickBot="1" x14ac:dyDescent="0.3"/>
    <row r="2" spans="1:60" s="1" customFormat="1" x14ac:dyDescent="0.2">
      <c r="A2" s="43" t="s">
        <v>50</v>
      </c>
      <c r="B2" s="15" t="s">
        <v>27</v>
      </c>
      <c r="C2" s="50">
        <v>106134.67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60" s="1" customFormat="1" ht="12" thickBot="1" x14ac:dyDescent="0.25">
      <c r="A3" s="44">
        <v>91.984700000000004</v>
      </c>
      <c r="B3" s="15" t="s">
        <v>28</v>
      </c>
      <c r="C3" s="50">
        <v>10778.95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60" s="8" customFormat="1" ht="12" thickBot="1" x14ac:dyDescent="0.25">
      <c r="A4" s="45"/>
      <c r="B4" s="15" t="s">
        <v>25</v>
      </c>
      <c r="C4" s="51">
        <v>0</v>
      </c>
    </row>
    <row r="5" spans="1:60" s="6" customFormat="1" x14ac:dyDescent="0.2">
      <c r="A5" s="43" t="s">
        <v>51</v>
      </c>
      <c r="B5" s="49" t="s">
        <v>26</v>
      </c>
      <c r="C5" s="52">
        <f>SUM(C2:C4)</f>
        <v>116913.62</v>
      </c>
    </row>
    <row r="6" spans="1:60" s="6" customFormat="1" ht="12" thickBot="1" x14ac:dyDescent="0.25">
      <c r="A6" s="44">
        <v>80.225399999999993</v>
      </c>
      <c r="B6" s="16"/>
      <c r="C6" s="53"/>
      <c r="D6" s="17"/>
      <c r="E6" s="7"/>
    </row>
    <row r="7" spans="1:60" s="6" customFormat="1" ht="12" thickBot="1" x14ac:dyDescent="0.25">
      <c r="A7" s="46"/>
      <c r="B7" s="18" t="s">
        <v>62</v>
      </c>
      <c r="C7" s="54">
        <f>SUM(D16:AY16)</f>
        <v>22605871.38456</v>
      </c>
    </row>
    <row r="8" spans="1:60" x14ac:dyDescent="0.25">
      <c r="A8" s="43" t="s">
        <v>52</v>
      </c>
      <c r="B8" s="18" t="s">
        <v>63</v>
      </c>
      <c r="C8" s="54">
        <f>SUM(D24:AY24)</f>
        <v>24387589.052900001</v>
      </c>
    </row>
    <row r="9" spans="1:60" ht="12" thickBot="1" x14ac:dyDescent="0.3">
      <c r="A9" s="44">
        <v>11.650399999999999</v>
      </c>
      <c r="B9" s="19" t="s">
        <v>64</v>
      </c>
      <c r="C9" s="55">
        <f>C5+C7-C8-C11</f>
        <v>-18060627.330460005</v>
      </c>
    </row>
    <row r="10" spans="1:60" x14ac:dyDescent="0.25">
      <c r="B10" s="18" t="s">
        <v>23</v>
      </c>
      <c r="C10" s="56">
        <f>C16</f>
        <v>0</v>
      </c>
    </row>
    <row r="11" spans="1:60" x14ac:dyDescent="0.25">
      <c r="B11" s="18" t="s">
        <v>24</v>
      </c>
      <c r="C11" s="54">
        <f>C24</f>
        <v>16395823.282120002</v>
      </c>
    </row>
    <row r="13" spans="1:60" x14ac:dyDescent="0.25">
      <c r="A13" s="38"/>
      <c r="B13" s="10"/>
      <c r="C13" s="5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</row>
    <row r="14" spans="1:60" s="2" customFormat="1" x14ac:dyDescent="0.25">
      <c r="A14" s="64"/>
      <c r="B14" s="65"/>
      <c r="C14" s="58" t="s">
        <v>56</v>
      </c>
      <c r="D14" s="66">
        <v>46094</v>
      </c>
      <c r="E14" s="66">
        <v>46097</v>
      </c>
      <c r="F14" s="66">
        <v>46098</v>
      </c>
      <c r="G14" s="66">
        <v>46099</v>
      </c>
      <c r="H14" s="66">
        <v>46100</v>
      </c>
      <c r="I14" s="66">
        <v>46101</v>
      </c>
      <c r="J14" s="66">
        <v>46102</v>
      </c>
      <c r="K14" s="66">
        <v>46103</v>
      </c>
      <c r="L14" s="66">
        <v>46104</v>
      </c>
      <c r="M14" s="66">
        <v>46105</v>
      </c>
      <c r="N14" s="66">
        <v>46106</v>
      </c>
      <c r="O14" s="66">
        <v>46107</v>
      </c>
      <c r="P14" s="66">
        <v>46108</v>
      </c>
      <c r="Q14" s="66">
        <v>46109</v>
      </c>
      <c r="R14" s="66">
        <v>46110</v>
      </c>
      <c r="S14" s="66">
        <v>46111</v>
      </c>
      <c r="T14" s="66">
        <v>46112</v>
      </c>
      <c r="U14" s="66">
        <v>46113</v>
      </c>
      <c r="V14" s="66">
        <v>46114</v>
      </c>
      <c r="W14" s="66">
        <v>46115</v>
      </c>
      <c r="X14" s="66">
        <v>46116</v>
      </c>
      <c r="Y14" s="66">
        <v>46117</v>
      </c>
      <c r="Z14" s="66">
        <v>46118</v>
      </c>
      <c r="AA14" s="66">
        <v>46119</v>
      </c>
      <c r="AB14" s="66">
        <v>46120</v>
      </c>
      <c r="AC14" s="66">
        <v>46121</v>
      </c>
      <c r="AD14" s="66">
        <v>46122</v>
      </c>
      <c r="AE14" s="66">
        <v>46123</v>
      </c>
      <c r="AF14" s="66">
        <v>46124</v>
      </c>
      <c r="AG14" s="66">
        <v>46125</v>
      </c>
      <c r="AH14" s="66">
        <v>46126</v>
      </c>
      <c r="AI14" s="66">
        <v>46127</v>
      </c>
      <c r="AJ14" s="66">
        <v>46128</v>
      </c>
      <c r="AK14" s="66">
        <v>46129</v>
      </c>
      <c r="AL14" s="66">
        <v>46130</v>
      </c>
      <c r="AM14" s="66">
        <v>46131</v>
      </c>
      <c r="AN14" s="66">
        <v>46132</v>
      </c>
      <c r="AO14" s="66">
        <v>46133</v>
      </c>
      <c r="AP14" s="66">
        <v>46134</v>
      </c>
      <c r="AQ14" s="66">
        <v>46135</v>
      </c>
      <c r="AR14" s="66">
        <v>46136</v>
      </c>
      <c r="AS14" s="66">
        <v>46137</v>
      </c>
      <c r="AT14" s="66">
        <v>46138</v>
      </c>
      <c r="AU14" s="66">
        <v>46139</v>
      </c>
      <c r="AV14" s="66">
        <v>46140</v>
      </c>
      <c r="AW14" s="66">
        <v>46141</v>
      </c>
      <c r="AX14" s="66">
        <v>46142</v>
      </c>
      <c r="AY14" s="66">
        <v>46143</v>
      </c>
      <c r="AZ14" s="66">
        <v>46144</v>
      </c>
      <c r="BA14" s="66">
        <v>46145</v>
      </c>
      <c r="BB14" s="66">
        <v>46146</v>
      </c>
      <c r="BC14" s="66">
        <v>46147</v>
      </c>
      <c r="BD14" s="66">
        <v>46148</v>
      </c>
      <c r="BE14" s="66">
        <v>46149</v>
      </c>
      <c r="BF14" s="66">
        <v>46150</v>
      </c>
      <c r="BG14" s="66">
        <v>46151</v>
      </c>
      <c r="BH14" s="66">
        <v>46152</v>
      </c>
    </row>
    <row r="15" spans="1:60" ht="3" customHeight="1" x14ac:dyDescent="0.25">
      <c r="A15" s="40"/>
      <c r="B15" s="21"/>
      <c r="C15" s="59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</row>
    <row r="16" spans="1:60" s="2" customFormat="1" x14ac:dyDescent="0.25">
      <c r="A16" s="39" t="s">
        <v>0</v>
      </c>
      <c r="B16" s="20"/>
      <c r="C16" s="29">
        <f>SUM(C17:C23)</f>
        <v>0</v>
      </c>
      <c r="D16" s="29">
        <f t="shared" ref="D16:BH16" si="0">SUM(D17:D23)</f>
        <v>0</v>
      </c>
      <c r="E16" s="29">
        <f t="shared" si="0"/>
        <v>0</v>
      </c>
      <c r="F16" s="29">
        <f t="shared" si="0"/>
        <v>0</v>
      </c>
      <c r="G16" s="29">
        <f t="shared" si="0"/>
        <v>0</v>
      </c>
      <c r="H16" s="29">
        <f t="shared" si="0"/>
        <v>0</v>
      </c>
      <c r="I16" s="29">
        <f t="shared" si="0"/>
        <v>0</v>
      </c>
      <c r="J16" s="29">
        <f t="shared" si="0"/>
        <v>0</v>
      </c>
      <c r="K16" s="29">
        <f t="shared" si="0"/>
        <v>0</v>
      </c>
      <c r="L16" s="29">
        <f t="shared" si="0"/>
        <v>0</v>
      </c>
      <c r="M16" s="29">
        <f t="shared" si="0"/>
        <v>0</v>
      </c>
      <c r="N16" s="29">
        <f t="shared" si="0"/>
        <v>0</v>
      </c>
      <c r="O16" s="29">
        <f t="shared" si="0"/>
        <v>0</v>
      </c>
      <c r="P16" s="29">
        <f t="shared" si="0"/>
        <v>0</v>
      </c>
      <c r="Q16" s="29">
        <f t="shared" si="0"/>
        <v>4875000</v>
      </c>
      <c r="R16" s="29">
        <f t="shared" si="0"/>
        <v>3000000</v>
      </c>
      <c r="S16" s="29">
        <f t="shared" si="0"/>
        <v>0</v>
      </c>
      <c r="T16" s="29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29">
        <f t="shared" si="0"/>
        <v>0</v>
      </c>
      <c r="AB16" s="29">
        <f t="shared" si="0"/>
        <v>0</v>
      </c>
      <c r="AC16" s="29">
        <f t="shared" si="0"/>
        <v>0</v>
      </c>
      <c r="AD16" s="29">
        <f t="shared" si="0"/>
        <v>0</v>
      </c>
      <c r="AE16" s="29">
        <f t="shared" si="0"/>
        <v>3219464.5</v>
      </c>
      <c r="AF16" s="29">
        <f t="shared" si="0"/>
        <v>0</v>
      </c>
      <c r="AG16" s="29">
        <f t="shared" si="0"/>
        <v>0</v>
      </c>
      <c r="AH16" s="29">
        <f t="shared" si="0"/>
        <v>0</v>
      </c>
      <c r="AI16" s="29">
        <f t="shared" si="0"/>
        <v>0</v>
      </c>
      <c r="AJ16" s="29">
        <f t="shared" si="0"/>
        <v>0</v>
      </c>
      <c r="AK16" s="29">
        <f t="shared" si="0"/>
        <v>0</v>
      </c>
      <c r="AL16" s="29">
        <f t="shared" si="0"/>
        <v>0</v>
      </c>
      <c r="AM16" s="29">
        <f t="shared" si="0"/>
        <v>8291942.3845600002</v>
      </c>
      <c r="AN16" s="29">
        <f t="shared" si="0"/>
        <v>0</v>
      </c>
      <c r="AO16" s="29">
        <f t="shared" si="0"/>
        <v>0</v>
      </c>
      <c r="AP16" s="29">
        <f t="shared" si="0"/>
        <v>0</v>
      </c>
      <c r="AQ16" s="29">
        <f t="shared" si="0"/>
        <v>0</v>
      </c>
      <c r="AR16" s="29">
        <f t="shared" si="0"/>
        <v>0</v>
      </c>
      <c r="AS16" s="29">
        <f t="shared" si="0"/>
        <v>0</v>
      </c>
      <c r="AT16" s="29">
        <f t="shared" si="0"/>
        <v>0</v>
      </c>
      <c r="AU16" s="29">
        <f t="shared" si="0"/>
        <v>0</v>
      </c>
      <c r="AV16" s="29">
        <f t="shared" si="0"/>
        <v>0</v>
      </c>
      <c r="AW16" s="29">
        <f t="shared" si="0"/>
        <v>0</v>
      </c>
      <c r="AX16" s="29">
        <f t="shared" si="0"/>
        <v>0</v>
      </c>
      <c r="AY16" s="29">
        <f t="shared" si="0"/>
        <v>3219464.5</v>
      </c>
      <c r="AZ16" s="29">
        <f t="shared" si="0"/>
        <v>0</v>
      </c>
      <c r="BA16" s="29">
        <f t="shared" si="0"/>
        <v>0</v>
      </c>
      <c r="BB16" s="29">
        <f t="shared" si="0"/>
        <v>0</v>
      </c>
      <c r="BC16" s="29">
        <f t="shared" si="0"/>
        <v>0</v>
      </c>
      <c r="BD16" s="29">
        <f t="shared" si="0"/>
        <v>0</v>
      </c>
      <c r="BE16" s="29">
        <f t="shared" si="0"/>
        <v>0</v>
      </c>
      <c r="BF16" s="29">
        <f t="shared" si="0"/>
        <v>0</v>
      </c>
      <c r="BG16" s="29">
        <f t="shared" si="0"/>
        <v>0</v>
      </c>
      <c r="BH16" s="29">
        <f t="shared" si="0"/>
        <v>0</v>
      </c>
    </row>
    <row r="17" spans="1:60" ht="3" customHeight="1" x14ac:dyDescent="0.25">
      <c r="A17" s="40"/>
      <c r="B17" s="21"/>
      <c r="C17" s="59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</row>
    <row r="18" spans="1:60" s="80" customFormat="1" x14ac:dyDescent="0.25">
      <c r="A18" s="40" t="s">
        <v>9</v>
      </c>
      <c r="B18" s="21"/>
      <c r="C18" s="5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>
        <v>3000000</v>
      </c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</row>
    <row r="19" spans="1:60" s="80" customFormat="1" ht="13.5" customHeight="1" x14ac:dyDescent="0.25">
      <c r="A19" s="40" t="s">
        <v>10</v>
      </c>
      <c r="B19" s="21"/>
      <c r="C19" s="59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</row>
    <row r="20" spans="1:60" s="80" customFormat="1" ht="13.5" customHeight="1" x14ac:dyDescent="0.25">
      <c r="A20" s="40" t="s">
        <v>12</v>
      </c>
      <c r="B20" s="21"/>
      <c r="C20" s="59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2">
        <v>4875000</v>
      </c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</row>
    <row r="21" spans="1:60" s="80" customFormat="1" ht="12" customHeight="1" x14ac:dyDescent="0.25">
      <c r="A21" s="40" t="s">
        <v>11</v>
      </c>
      <c r="B21" s="21"/>
      <c r="C21" s="5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3">
        <f>90144.8*A3</f>
        <v>8291942.3845600002</v>
      </c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</row>
    <row r="22" spans="1:60" s="80" customFormat="1" ht="10.5" customHeight="1" x14ac:dyDescent="0.25">
      <c r="A22" s="40" t="s">
        <v>13</v>
      </c>
      <c r="B22" s="21"/>
      <c r="C22" s="59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>
        <f>35000*A3</f>
        <v>3219464.5</v>
      </c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>
        <f>35000*A3</f>
        <v>3219464.5</v>
      </c>
      <c r="AZ22" s="30"/>
      <c r="BA22" s="30"/>
      <c r="BB22" s="30"/>
      <c r="BC22" s="30"/>
      <c r="BD22" s="30"/>
      <c r="BE22" s="30"/>
      <c r="BF22" s="30"/>
      <c r="BG22" s="30"/>
      <c r="BH22" s="30"/>
    </row>
    <row r="23" spans="1:60" ht="3" customHeight="1" x14ac:dyDescent="0.25">
      <c r="A23" s="40"/>
      <c r="B23" s="21"/>
      <c r="C23" s="59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</row>
    <row r="24" spans="1:60" s="4" customFormat="1" x14ac:dyDescent="0.2">
      <c r="A24" s="41" t="s">
        <v>1</v>
      </c>
      <c r="B24" s="22"/>
      <c r="C24" s="34">
        <f t="shared" ref="C24:AH24" si="1">SUM(C25:C62)</f>
        <v>16395823.282120002</v>
      </c>
      <c r="D24" s="34">
        <f t="shared" si="1"/>
        <v>0</v>
      </c>
      <c r="E24" s="34">
        <f t="shared" si="1"/>
        <v>24000</v>
      </c>
      <c r="F24" s="34">
        <f t="shared" si="1"/>
        <v>883340.11199999996</v>
      </c>
      <c r="G24" s="34">
        <f t="shared" si="1"/>
        <v>260732.55</v>
      </c>
      <c r="H24" s="34">
        <f t="shared" si="1"/>
        <v>3156890</v>
      </c>
      <c r="I24" s="34">
        <f t="shared" si="1"/>
        <v>680000</v>
      </c>
      <c r="J24" s="34">
        <f t="shared" si="1"/>
        <v>0</v>
      </c>
      <c r="K24" s="34">
        <f t="shared" si="1"/>
        <v>0</v>
      </c>
      <c r="L24" s="34">
        <f t="shared" si="1"/>
        <v>269438.01850000001</v>
      </c>
      <c r="M24" s="34">
        <f t="shared" si="1"/>
        <v>0</v>
      </c>
      <c r="N24" s="34">
        <f t="shared" si="1"/>
        <v>871857.11</v>
      </c>
      <c r="O24" s="34">
        <f t="shared" si="1"/>
        <v>836890</v>
      </c>
      <c r="P24" s="34">
        <f t="shared" si="1"/>
        <v>1406940.96</v>
      </c>
      <c r="Q24" s="34">
        <f t="shared" si="1"/>
        <v>1490000</v>
      </c>
      <c r="R24" s="34">
        <f t="shared" si="1"/>
        <v>0</v>
      </c>
      <c r="S24" s="34">
        <f t="shared" si="1"/>
        <v>3391202.26</v>
      </c>
      <c r="T24" s="34">
        <f t="shared" si="1"/>
        <v>90800</v>
      </c>
      <c r="U24" s="34">
        <f t="shared" si="1"/>
        <v>0</v>
      </c>
      <c r="V24" s="34">
        <f t="shared" si="1"/>
        <v>836890</v>
      </c>
      <c r="W24" s="34">
        <f t="shared" si="1"/>
        <v>44000</v>
      </c>
      <c r="X24" s="34">
        <f t="shared" si="1"/>
        <v>185311.26239999998</v>
      </c>
      <c r="Y24" s="34">
        <f t="shared" si="1"/>
        <v>878889.5</v>
      </c>
      <c r="Z24" s="34">
        <f t="shared" si="1"/>
        <v>200113.3</v>
      </c>
      <c r="AA24" s="34">
        <f t="shared" si="1"/>
        <v>1200000</v>
      </c>
      <c r="AB24" s="34">
        <f t="shared" si="1"/>
        <v>0</v>
      </c>
      <c r="AC24" s="34">
        <f t="shared" si="1"/>
        <v>1336300</v>
      </c>
      <c r="AD24" s="34">
        <f t="shared" si="1"/>
        <v>360000</v>
      </c>
      <c r="AE24" s="34">
        <f t="shared" si="1"/>
        <v>714912.87</v>
      </c>
      <c r="AF24" s="34">
        <f t="shared" si="1"/>
        <v>0</v>
      </c>
      <c r="AG24" s="34">
        <f t="shared" si="1"/>
        <v>0</v>
      </c>
      <c r="AH24" s="34">
        <f t="shared" si="1"/>
        <v>0</v>
      </c>
      <c r="AI24" s="34">
        <f t="shared" ref="AI24:BH24" si="2">SUM(AI25:AI62)</f>
        <v>515224</v>
      </c>
      <c r="AJ24" s="34">
        <f t="shared" si="2"/>
        <v>0</v>
      </c>
      <c r="AK24" s="34">
        <f t="shared" si="2"/>
        <v>0</v>
      </c>
      <c r="AL24" s="34">
        <f t="shared" si="2"/>
        <v>160000</v>
      </c>
      <c r="AM24" s="34">
        <f t="shared" si="2"/>
        <v>2160000</v>
      </c>
      <c r="AN24" s="34">
        <f t="shared" si="2"/>
        <v>0</v>
      </c>
      <c r="AO24" s="34">
        <f t="shared" si="2"/>
        <v>0</v>
      </c>
      <c r="AP24" s="34">
        <f t="shared" si="2"/>
        <v>0</v>
      </c>
      <c r="AQ24" s="34">
        <f t="shared" si="2"/>
        <v>0</v>
      </c>
      <c r="AR24" s="34">
        <f t="shared" si="2"/>
        <v>0</v>
      </c>
      <c r="AS24" s="34">
        <f t="shared" si="2"/>
        <v>321857.11</v>
      </c>
      <c r="AT24" s="34">
        <f t="shared" si="2"/>
        <v>0</v>
      </c>
      <c r="AU24" s="34">
        <f t="shared" si="2"/>
        <v>0</v>
      </c>
      <c r="AV24" s="34">
        <f t="shared" si="2"/>
        <v>2000000</v>
      </c>
      <c r="AW24" s="34">
        <f t="shared" si="2"/>
        <v>0</v>
      </c>
      <c r="AX24" s="34">
        <f t="shared" si="2"/>
        <v>0</v>
      </c>
      <c r="AY24" s="34">
        <f t="shared" si="2"/>
        <v>112000</v>
      </c>
      <c r="AZ24" s="34">
        <f t="shared" si="2"/>
        <v>0</v>
      </c>
      <c r="BA24" s="34">
        <f t="shared" si="2"/>
        <v>0</v>
      </c>
      <c r="BB24" s="34">
        <f t="shared" si="2"/>
        <v>515224</v>
      </c>
      <c r="BC24" s="34">
        <f t="shared" si="2"/>
        <v>0</v>
      </c>
      <c r="BD24" s="34">
        <f t="shared" si="2"/>
        <v>0</v>
      </c>
      <c r="BE24" s="34">
        <f t="shared" si="2"/>
        <v>0</v>
      </c>
      <c r="BF24" s="34">
        <f t="shared" si="2"/>
        <v>0</v>
      </c>
      <c r="BG24" s="34">
        <f t="shared" si="2"/>
        <v>0</v>
      </c>
      <c r="BH24" s="34">
        <f t="shared" si="2"/>
        <v>0</v>
      </c>
    </row>
    <row r="25" spans="1:60" ht="3" customHeight="1" x14ac:dyDescent="0.25">
      <c r="A25" s="40"/>
      <c r="B25" s="21"/>
      <c r="C25" s="59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</row>
    <row r="26" spans="1:60" s="1" customFormat="1" x14ac:dyDescent="0.2">
      <c r="A26" s="36" t="s">
        <v>2</v>
      </c>
      <c r="B26" s="23" t="s">
        <v>3</v>
      </c>
      <c r="C26" s="60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>
        <v>194014.26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</row>
    <row r="27" spans="1:60" s="1" customFormat="1" x14ac:dyDescent="0.2">
      <c r="A27" s="36" t="s">
        <v>2</v>
      </c>
      <c r="B27" s="23" t="s">
        <v>4</v>
      </c>
      <c r="C27" s="60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</row>
    <row r="28" spans="1:60" s="1" customFormat="1" x14ac:dyDescent="0.2">
      <c r="A28" s="36" t="s">
        <v>2</v>
      </c>
      <c r="B28" s="23" t="s">
        <v>5</v>
      </c>
      <c r="C28" s="60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>
        <v>1835137</v>
      </c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</row>
    <row r="29" spans="1:60" s="1" customFormat="1" x14ac:dyDescent="0.2">
      <c r="A29" s="36" t="s">
        <v>2</v>
      </c>
      <c r="B29" s="23" t="s">
        <v>6</v>
      </c>
      <c r="C29" s="60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>
        <v>180947</v>
      </c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90">
        <v>2000000</v>
      </c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</row>
    <row r="30" spans="1:60" s="1" customFormat="1" x14ac:dyDescent="0.2">
      <c r="A30" s="36" t="s">
        <v>7</v>
      </c>
      <c r="B30" s="23" t="s">
        <v>8</v>
      </c>
      <c r="C30" s="60"/>
      <c r="D30" s="24"/>
      <c r="E30" s="24"/>
      <c r="F30" s="24"/>
      <c r="G30" s="24"/>
      <c r="H30" s="24">
        <v>560000</v>
      </c>
      <c r="I30" s="24"/>
      <c r="J30" s="24"/>
      <c r="K30" s="24"/>
      <c r="L30" s="24"/>
      <c r="M30" s="24"/>
      <c r="N30" s="24">
        <f>643714.22/2</f>
        <v>321857.11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>
        <v>1200000</v>
      </c>
      <c r="AB30" s="24"/>
      <c r="AC30" s="24"/>
      <c r="AD30" s="24">
        <v>360000</v>
      </c>
      <c r="AE30" s="24"/>
      <c r="AF30" s="24"/>
      <c r="AG30" s="24"/>
      <c r="AH30" s="24"/>
      <c r="AI30" s="24"/>
      <c r="AJ30" s="24"/>
      <c r="AK30" s="24"/>
      <c r="AL30" s="24"/>
      <c r="AM30" s="24">
        <v>560000</v>
      </c>
      <c r="AN30" s="24"/>
      <c r="AO30" s="24"/>
      <c r="AP30" s="24"/>
      <c r="AQ30" s="24"/>
      <c r="AR30" s="24"/>
      <c r="AS30" s="24">
        <f>643714.22/2</f>
        <v>321857.11</v>
      </c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</row>
    <row r="31" spans="1:60" s="1" customFormat="1" x14ac:dyDescent="0.2">
      <c r="A31" s="36" t="s">
        <v>54</v>
      </c>
      <c r="B31" s="23"/>
      <c r="C31" s="60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</row>
    <row r="32" spans="1:60" s="1" customFormat="1" x14ac:dyDescent="0.2">
      <c r="A32" s="36" t="s">
        <v>71</v>
      </c>
      <c r="B32" s="23"/>
      <c r="C32" s="60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>
        <f>30000+10500+3500</f>
        <v>44000</v>
      </c>
      <c r="X32" s="24"/>
      <c r="Y32" s="24"/>
      <c r="Z32" s="24">
        <v>200113.3</v>
      </c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</row>
    <row r="33" spans="1:60" s="1" customFormat="1" x14ac:dyDescent="0.2">
      <c r="A33" s="36" t="s">
        <v>53</v>
      </c>
      <c r="B33" s="23"/>
      <c r="C33" s="60"/>
      <c r="D33" s="24"/>
      <c r="E33" s="24"/>
      <c r="F33" s="24"/>
      <c r="G33" s="24"/>
      <c r="H33" s="24">
        <v>160000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>
        <v>545949.5</v>
      </c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>
        <v>160000</v>
      </c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</row>
    <row r="34" spans="1:60" s="1" customFormat="1" ht="11.25" customHeight="1" x14ac:dyDescent="0.2">
      <c r="A34" s="47"/>
      <c r="B34" s="48"/>
      <c r="C34" s="67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s="71" customFormat="1" x14ac:dyDescent="0.2">
      <c r="A35" s="69" t="s">
        <v>14</v>
      </c>
      <c r="B35" s="25" t="s">
        <v>30</v>
      </c>
      <c r="C35" s="70">
        <v>1100000</v>
      </c>
      <c r="D35" s="24"/>
      <c r="E35" s="24"/>
      <c r="F35" s="24"/>
      <c r="G35" s="24"/>
      <c r="H35" s="24"/>
      <c r="I35" s="24">
        <f>$C$35/2</f>
        <v>550000</v>
      </c>
      <c r="J35" s="24"/>
      <c r="K35" s="24"/>
      <c r="L35" s="24"/>
      <c r="M35" s="24"/>
      <c r="N35" s="24">
        <f>$C$35/2</f>
        <v>550000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</row>
    <row r="36" spans="1:60" s="71" customFormat="1" x14ac:dyDescent="0.2">
      <c r="A36" s="69" t="s">
        <v>17</v>
      </c>
      <c r="B36" s="25" t="s">
        <v>41</v>
      </c>
      <c r="C36" s="70">
        <v>1800000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</row>
    <row r="37" spans="1:60" s="71" customFormat="1" x14ac:dyDescent="0.2">
      <c r="A37" s="69" t="s">
        <v>15</v>
      </c>
      <c r="B37" s="25" t="s">
        <v>31</v>
      </c>
      <c r="C37" s="70">
        <v>829464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95">
        <f>515224</f>
        <v>515224</v>
      </c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95">
        <v>515224</v>
      </c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95">
        <v>515224</v>
      </c>
      <c r="BC37" s="24"/>
      <c r="BD37" s="24"/>
      <c r="BE37" s="24"/>
      <c r="BF37" s="24"/>
      <c r="BG37" s="24"/>
      <c r="BH37" s="24"/>
    </row>
    <row r="38" spans="1:60" s="71" customFormat="1" x14ac:dyDescent="0.2">
      <c r="A38" s="69" t="s">
        <v>18</v>
      </c>
      <c r="B38" s="25" t="s">
        <v>32</v>
      </c>
      <c r="C38" s="70">
        <v>1600000</v>
      </c>
      <c r="D38" s="24"/>
      <c r="E38" s="24"/>
      <c r="F38" s="24"/>
      <c r="G38" s="24"/>
      <c r="H38" s="72">
        <f>($C$38+$C$39)/4</f>
        <v>836890</v>
      </c>
      <c r="I38" s="24"/>
      <c r="J38" s="24"/>
      <c r="K38" s="24"/>
      <c r="L38" s="24"/>
      <c r="M38" s="24"/>
      <c r="N38" s="24"/>
      <c r="O38" s="24">
        <f>C38-($C$38+$C$39)/4</f>
        <v>763110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</row>
    <row r="39" spans="1:60" s="73" customFormat="1" x14ac:dyDescent="0.2">
      <c r="A39" s="69" t="s">
        <v>21</v>
      </c>
      <c r="B39" s="25" t="s">
        <v>45</v>
      </c>
      <c r="C39" s="70">
        <f>150000*A9</f>
        <v>1747560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>
        <f>($C$38+$C$39)/4-O38</f>
        <v>73780</v>
      </c>
      <c r="P39" s="72"/>
      <c r="Q39" s="72"/>
      <c r="R39" s="72"/>
      <c r="S39" s="72"/>
      <c r="T39" s="72"/>
      <c r="U39" s="72"/>
      <c r="V39" s="72">
        <f>($C$38+$C$39)/4</f>
        <v>836890</v>
      </c>
      <c r="W39" s="72"/>
      <c r="X39" s="72"/>
      <c r="Y39" s="72"/>
      <c r="Z39" s="72"/>
      <c r="AA39" s="72"/>
      <c r="AB39" s="72"/>
      <c r="AC39" s="72">
        <f>C39-O39-V39</f>
        <v>836890</v>
      </c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</row>
    <row r="40" spans="1:60" s="71" customFormat="1" x14ac:dyDescent="0.2">
      <c r="A40" s="69" t="s">
        <v>19</v>
      </c>
      <c r="B40" s="25" t="s">
        <v>46</v>
      </c>
      <c r="C40" s="70">
        <f>14000*A3</f>
        <v>1287785.8</v>
      </c>
      <c r="D40" s="24"/>
      <c r="E40" s="7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</row>
    <row r="41" spans="1:60" s="71" customFormat="1" x14ac:dyDescent="0.2">
      <c r="A41" s="69" t="s">
        <v>16</v>
      </c>
      <c r="B41" s="25" t="s">
        <v>32</v>
      </c>
      <c r="C41" s="70">
        <f>600000+331200</f>
        <v>931200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>
        <v>665880</v>
      </c>
      <c r="T41" s="24"/>
      <c r="U41" s="24"/>
      <c r="V41" s="24"/>
      <c r="W41" s="24"/>
      <c r="X41" s="24"/>
      <c r="Y41" s="95">
        <v>332940</v>
      </c>
      <c r="Z41" s="24"/>
      <c r="AA41" s="24"/>
      <c r="AB41" s="24"/>
      <c r="AC41" s="95">
        <v>499410</v>
      </c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</row>
    <row r="42" spans="1:60" s="71" customFormat="1" x14ac:dyDescent="0.2">
      <c r="A42" s="69" t="s">
        <v>20</v>
      </c>
      <c r="B42" s="25" t="s">
        <v>47</v>
      </c>
      <c r="C42" s="70">
        <f>7000*A6</f>
        <v>561577.79999999993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</row>
    <row r="43" spans="1:60" s="73" customFormat="1" x14ac:dyDescent="0.2">
      <c r="A43" s="69" t="s">
        <v>22</v>
      </c>
      <c r="B43" s="25" t="s">
        <v>48</v>
      </c>
      <c r="C43" s="75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>
        <f>15906*A9</f>
        <v>185311.26239999998</v>
      </c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</row>
    <row r="44" spans="1:60" s="71" customFormat="1" x14ac:dyDescent="0.2">
      <c r="A44" s="69" t="s">
        <v>36</v>
      </c>
      <c r="B44" s="25" t="s">
        <v>37</v>
      </c>
      <c r="C44" s="70"/>
      <c r="D44" s="24"/>
      <c r="E44" s="24"/>
      <c r="F44" s="24"/>
      <c r="G44" s="24"/>
      <c r="H44" s="24"/>
      <c r="I44" s="24"/>
      <c r="J44" s="24"/>
      <c r="K44" s="24"/>
      <c r="L44" s="24">
        <f>3327.5*A6</f>
        <v>266950.01850000001</v>
      </c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</row>
    <row r="45" spans="1:60" s="71" customFormat="1" x14ac:dyDescent="0.2">
      <c r="A45" s="69" t="s">
        <v>33</v>
      </c>
      <c r="B45" s="25" t="s">
        <v>35</v>
      </c>
      <c r="C45" s="76"/>
      <c r="D45" s="24"/>
      <c r="E45" s="24"/>
      <c r="F45" s="24"/>
      <c r="G45" s="24">
        <f>3250*A6</f>
        <v>260732.55</v>
      </c>
      <c r="H45" s="24"/>
      <c r="I45" s="24"/>
      <c r="J45" s="24"/>
      <c r="K45" s="24"/>
      <c r="L45" s="24"/>
      <c r="M45" s="24"/>
      <c r="N45" s="24"/>
      <c r="O45" s="24"/>
      <c r="P45" s="24">
        <f>2400*A6</f>
        <v>192540.96</v>
      </c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95">
        <f>4050*A6</f>
        <v>324912.87</v>
      </c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</row>
    <row r="46" spans="1:60" s="71" customFormat="1" x14ac:dyDescent="0.2">
      <c r="A46" s="69" t="s">
        <v>29</v>
      </c>
      <c r="B46" s="25" t="s">
        <v>42</v>
      </c>
      <c r="C46" s="70"/>
      <c r="D46" s="24"/>
      <c r="E46" s="24"/>
      <c r="F46" s="24">
        <v>20000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</row>
    <row r="47" spans="1:60" s="71" customFormat="1" x14ac:dyDescent="0.2">
      <c r="A47" s="69" t="s">
        <v>29</v>
      </c>
      <c r="B47" s="25" t="s">
        <v>43</v>
      </c>
      <c r="C47" s="70"/>
      <c r="D47" s="24"/>
      <c r="E47" s="24"/>
      <c r="F47" s="24">
        <v>439750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</row>
    <row r="48" spans="1:60" s="71" customFormat="1" x14ac:dyDescent="0.2">
      <c r="A48" s="69" t="s">
        <v>29</v>
      </c>
      <c r="B48" s="25" t="s">
        <v>55</v>
      </c>
      <c r="C48" s="76"/>
      <c r="D48" s="24"/>
      <c r="E48" s="24"/>
      <c r="F48" s="24">
        <f>5280*A6</f>
        <v>423590.11199999996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</row>
    <row r="49" spans="1:60" s="71" customFormat="1" x14ac:dyDescent="0.2">
      <c r="A49" s="69" t="s">
        <v>40</v>
      </c>
      <c r="B49" s="25" t="s">
        <v>44</v>
      </c>
      <c r="C49" s="70"/>
      <c r="D49" s="24"/>
      <c r="E49" s="24"/>
      <c r="F49" s="24"/>
      <c r="G49" s="24"/>
      <c r="H49" s="24"/>
      <c r="I49" s="24"/>
      <c r="J49" s="24"/>
      <c r="K49" s="24"/>
      <c r="L49" s="24">
        <v>2488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</row>
    <row r="50" spans="1:60" s="71" customFormat="1" x14ac:dyDescent="0.2">
      <c r="A50" s="69" t="s">
        <v>34</v>
      </c>
      <c r="B50" s="25" t="s">
        <v>45</v>
      </c>
      <c r="C50" s="70"/>
      <c r="D50" s="77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1214400</v>
      </c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</row>
    <row r="51" spans="1:60" s="71" customFormat="1" x14ac:dyDescent="0.2">
      <c r="A51" s="69" t="s">
        <v>38</v>
      </c>
      <c r="B51" s="25" t="s">
        <v>39</v>
      </c>
      <c r="C51" s="70"/>
      <c r="D51" s="24"/>
      <c r="E51" s="24">
        <v>24000</v>
      </c>
      <c r="F51" s="24"/>
      <c r="G51" s="24"/>
      <c r="H51" s="24"/>
      <c r="I51" s="24">
        <v>130000</v>
      </c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>
        <v>90800</v>
      </c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</row>
    <row r="52" spans="1:60" s="71" customFormat="1" x14ac:dyDescent="0.2">
      <c r="A52" s="69" t="s">
        <v>74</v>
      </c>
      <c r="B52" s="25" t="s">
        <v>75</v>
      </c>
      <c r="C52" s="70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</row>
    <row r="53" spans="1:60" s="73" customFormat="1" ht="2.25" customHeight="1" x14ac:dyDescent="0.2">
      <c r="A53" s="78"/>
      <c r="B53" s="79"/>
      <c r="C53" s="75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</row>
    <row r="54" spans="1:60" s="94" customFormat="1" ht="33.75" x14ac:dyDescent="0.2">
      <c r="A54" s="91" t="s">
        <v>60</v>
      </c>
      <c r="B54" s="92" t="s">
        <v>58</v>
      </c>
      <c r="C54" s="93">
        <f>14772.4*A3</f>
        <v>1358834.7822799999</v>
      </c>
      <c r="D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3"/>
      <c r="BG54" s="93"/>
      <c r="BH54" s="93"/>
    </row>
    <row r="55" spans="1:60" s="94" customFormat="1" ht="33.75" x14ac:dyDescent="0.2">
      <c r="A55" s="91" t="s">
        <v>60</v>
      </c>
      <c r="B55" s="92" t="s">
        <v>59</v>
      </c>
      <c r="C55" s="93">
        <f>17887.2*A3</f>
        <v>1645348.7258400002</v>
      </c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3"/>
      <c r="BG55" s="93"/>
      <c r="BH55" s="93"/>
    </row>
    <row r="56" spans="1:60" s="5" customFormat="1" ht="2.25" customHeight="1" x14ac:dyDescent="0.2">
      <c r="A56" s="42"/>
      <c r="B56" s="12"/>
      <c r="C56" s="68"/>
      <c r="D56" s="26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</row>
    <row r="57" spans="1:60" s="5" customFormat="1" x14ac:dyDescent="0.2">
      <c r="A57" s="36" t="s">
        <v>49</v>
      </c>
      <c r="B57" s="12"/>
      <c r="C57" s="68"/>
      <c r="D57" s="26"/>
      <c r="E57" s="13"/>
      <c r="F57" s="13"/>
      <c r="G57" s="13"/>
      <c r="H57" s="13">
        <v>1600000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>
        <v>1600000</v>
      </c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</row>
    <row r="58" spans="1:60" s="5" customFormat="1" x14ac:dyDescent="0.2">
      <c r="A58" s="36" t="s">
        <v>57</v>
      </c>
      <c r="B58" s="12"/>
      <c r="C58" s="68"/>
      <c r="D58" s="26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>
        <v>1490000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</row>
    <row r="59" spans="1:60" s="5" customFormat="1" x14ac:dyDescent="0.2">
      <c r="A59" s="36" t="s">
        <v>61</v>
      </c>
      <c r="B59" s="12"/>
      <c r="C59" s="68"/>
      <c r="D59" s="2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>
        <v>390000</v>
      </c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>
        <v>112000</v>
      </c>
      <c r="AZ59" s="13"/>
      <c r="BA59" s="13"/>
      <c r="BB59" s="13"/>
      <c r="BC59" s="13"/>
      <c r="BD59" s="13"/>
      <c r="BE59" s="13"/>
      <c r="BF59" s="13"/>
      <c r="BG59" s="13"/>
      <c r="BH59" s="13"/>
    </row>
    <row r="60" spans="1:60" s="5" customFormat="1" ht="2.25" customHeight="1" x14ac:dyDescent="0.2">
      <c r="A60" s="42"/>
      <c r="B60" s="12"/>
      <c r="C60" s="68"/>
      <c r="D60" s="26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</row>
    <row r="61" spans="1:60" s="5" customFormat="1" x14ac:dyDescent="0.2">
      <c r="A61" s="36" t="s">
        <v>72</v>
      </c>
      <c r="B61" s="27" t="s">
        <v>73</v>
      </c>
      <c r="C61" s="62">
        <f>76840*0.5*A3</f>
        <v>3534052.1740000001</v>
      </c>
      <c r="D61" s="35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</row>
    <row r="62" spans="1:60" s="5" customFormat="1" ht="2.25" customHeight="1" x14ac:dyDescent="0.2">
      <c r="A62" s="42"/>
      <c r="B62" s="12"/>
      <c r="C62" s="61"/>
      <c r="D62" s="26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</row>
    <row r="63" spans="1:60" s="84" customFormat="1" x14ac:dyDescent="0.2">
      <c r="A63" s="81" t="s">
        <v>66</v>
      </c>
      <c r="B63" s="82"/>
      <c r="C63" s="63"/>
      <c r="D63" s="83">
        <f>C5+D16-D24</f>
        <v>116913.62</v>
      </c>
      <c r="E63" s="83">
        <f t="shared" ref="E63:AY63" si="3">D63+E16-E24</f>
        <v>92913.62</v>
      </c>
      <c r="F63" s="83">
        <f t="shared" si="3"/>
        <v>-790426.49199999997</v>
      </c>
      <c r="G63" s="83">
        <f t="shared" si="3"/>
        <v>-1051159.0419999999</v>
      </c>
      <c r="H63" s="83">
        <f t="shared" si="3"/>
        <v>-4208049.0419999994</v>
      </c>
      <c r="I63" s="83">
        <f t="shared" si="3"/>
        <v>-4888049.0419999994</v>
      </c>
      <c r="J63" s="83">
        <f t="shared" si="3"/>
        <v>-4888049.0419999994</v>
      </c>
      <c r="K63" s="83">
        <f t="shared" si="3"/>
        <v>-4888049.0419999994</v>
      </c>
      <c r="L63" s="83">
        <f t="shared" si="3"/>
        <v>-5157487.0604999997</v>
      </c>
      <c r="M63" s="83">
        <f t="shared" si="3"/>
        <v>-5157487.0604999997</v>
      </c>
      <c r="N63" s="83">
        <f t="shared" si="3"/>
        <v>-6029344.1705</v>
      </c>
      <c r="O63" s="83">
        <f t="shared" si="3"/>
        <v>-6866234.1705</v>
      </c>
      <c r="P63" s="83">
        <f t="shared" si="3"/>
        <v>-8273175.1305</v>
      </c>
      <c r="Q63" s="83">
        <f t="shared" si="3"/>
        <v>-4888175.1305</v>
      </c>
      <c r="R63" s="83">
        <f t="shared" si="3"/>
        <v>-1888175.1305</v>
      </c>
      <c r="S63" s="83">
        <f t="shared" si="3"/>
        <v>-5279377.3904999997</v>
      </c>
      <c r="T63" s="83">
        <f t="shared" si="3"/>
        <v>-5370177.3904999997</v>
      </c>
      <c r="U63" s="83">
        <f t="shared" si="3"/>
        <v>-5370177.3904999997</v>
      </c>
      <c r="V63" s="83">
        <f t="shared" si="3"/>
        <v>-6207067.3904999997</v>
      </c>
      <c r="W63" s="83">
        <f t="shared" si="3"/>
        <v>-6251067.3904999997</v>
      </c>
      <c r="X63" s="83">
        <f t="shared" si="3"/>
        <v>-6436378.6529000001</v>
      </c>
      <c r="Y63" s="83">
        <f t="shared" si="3"/>
        <v>-7315268.1529000001</v>
      </c>
      <c r="Z63" s="83">
        <f t="shared" si="3"/>
        <v>-7515381.4528999999</v>
      </c>
      <c r="AA63" s="83">
        <f t="shared" si="3"/>
        <v>-8715381.4528999999</v>
      </c>
      <c r="AB63" s="83">
        <f t="shared" si="3"/>
        <v>-8715381.4528999999</v>
      </c>
      <c r="AC63" s="83">
        <f t="shared" si="3"/>
        <v>-10051681.4529</v>
      </c>
      <c r="AD63" s="83">
        <f t="shared" si="3"/>
        <v>-10411681.4529</v>
      </c>
      <c r="AE63" s="83">
        <f t="shared" si="3"/>
        <v>-7907129.8229</v>
      </c>
      <c r="AF63" s="83">
        <f t="shared" si="3"/>
        <v>-7907129.8229</v>
      </c>
      <c r="AG63" s="83">
        <f t="shared" si="3"/>
        <v>-7907129.8229</v>
      </c>
      <c r="AH63" s="83">
        <f t="shared" si="3"/>
        <v>-7907129.8229</v>
      </c>
      <c r="AI63" s="83">
        <f t="shared" si="3"/>
        <v>-8422353.822900001</v>
      </c>
      <c r="AJ63" s="83">
        <f t="shared" si="3"/>
        <v>-8422353.822900001</v>
      </c>
      <c r="AK63" s="83">
        <f t="shared" si="3"/>
        <v>-8422353.822900001</v>
      </c>
      <c r="AL63" s="83">
        <f t="shared" si="3"/>
        <v>-8582353.822900001</v>
      </c>
      <c r="AM63" s="83">
        <f t="shared" si="3"/>
        <v>-2450411.4383400008</v>
      </c>
      <c r="AN63" s="83">
        <f t="shared" si="3"/>
        <v>-2450411.4383400008</v>
      </c>
      <c r="AO63" s="83">
        <f t="shared" si="3"/>
        <v>-2450411.4383400008</v>
      </c>
      <c r="AP63" s="83">
        <f t="shared" si="3"/>
        <v>-2450411.4383400008</v>
      </c>
      <c r="AQ63" s="83">
        <f t="shared" si="3"/>
        <v>-2450411.4383400008</v>
      </c>
      <c r="AR63" s="83">
        <f t="shared" si="3"/>
        <v>-2450411.4383400008</v>
      </c>
      <c r="AS63" s="83">
        <f t="shared" si="3"/>
        <v>-2772268.5483400007</v>
      </c>
      <c r="AT63" s="83">
        <f t="shared" si="3"/>
        <v>-2772268.5483400007</v>
      </c>
      <c r="AU63" s="83">
        <f t="shared" si="3"/>
        <v>-2772268.5483400007</v>
      </c>
      <c r="AV63" s="83">
        <f t="shared" si="3"/>
        <v>-4772268.5483400002</v>
      </c>
      <c r="AW63" s="83">
        <f t="shared" si="3"/>
        <v>-4772268.5483400002</v>
      </c>
      <c r="AX63" s="83">
        <f t="shared" si="3"/>
        <v>-4772268.5483400002</v>
      </c>
      <c r="AY63" s="83">
        <f t="shared" si="3"/>
        <v>-1664804.0483400002</v>
      </c>
      <c r="AZ63" s="83">
        <f t="shared" ref="AZ63:BH63" si="4">AY63+AZ16-AZ24</f>
        <v>-1664804.0483400002</v>
      </c>
      <c r="BA63" s="83">
        <f t="shared" si="4"/>
        <v>-1664804.0483400002</v>
      </c>
      <c r="BB63" s="83">
        <f t="shared" si="4"/>
        <v>-2180028.0483400002</v>
      </c>
      <c r="BC63" s="83">
        <f t="shared" si="4"/>
        <v>-2180028.0483400002</v>
      </c>
      <c r="BD63" s="83">
        <f t="shared" si="4"/>
        <v>-2180028.0483400002</v>
      </c>
      <c r="BE63" s="83">
        <f t="shared" si="4"/>
        <v>-2180028.0483400002</v>
      </c>
      <c r="BF63" s="83">
        <f t="shared" si="4"/>
        <v>-2180028.0483400002</v>
      </c>
      <c r="BG63" s="83">
        <f t="shared" si="4"/>
        <v>-2180028.0483400002</v>
      </c>
      <c r="BH63" s="83">
        <f t="shared" si="4"/>
        <v>-2180028.0483400002</v>
      </c>
    </row>
    <row r="65" spans="1:60" s="5" customFormat="1" ht="2.25" customHeight="1" x14ac:dyDescent="0.2">
      <c r="A65" s="42"/>
      <c r="B65" s="12"/>
      <c r="C65" s="68"/>
      <c r="D65" s="26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</row>
    <row r="66" spans="1:60" s="89" customFormat="1" ht="11.25" customHeight="1" x14ac:dyDescent="0.2">
      <c r="A66" s="85" t="s">
        <v>65</v>
      </c>
      <c r="B66" s="86"/>
      <c r="C66" s="87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</row>
    <row r="67" spans="1:60" s="5" customFormat="1" ht="22.5" x14ac:dyDescent="0.2">
      <c r="A67" s="36" t="s">
        <v>67</v>
      </c>
      <c r="B67" s="27" t="s">
        <v>68</v>
      </c>
      <c r="C67" s="68">
        <v>3221210.79</v>
      </c>
      <c r="D67" s="26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</row>
    <row r="68" spans="1:60" s="5" customFormat="1" x14ac:dyDescent="0.2">
      <c r="A68" s="36" t="s">
        <v>69</v>
      </c>
      <c r="B68" s="27" t="s">
        <v>70</v>
      </c>
      <c r="C68" s="68">
        <f>4420452+5393886.4</f>
        <v>9814338.4000000004</v>
      </c>
      <c r="D68" s="26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</row>
    <row r="69" spans="1:60" s="5" customFormat="1" x14ac:dyDescent="0.2">
      <c r="A69" s="36"/>
      <c r="B69" s="27"/>
      <c r="C69" s="68"/>
      <c r="D69" s="26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</row>
    <row r="70" spans="1:60" s="5" customFormat="1" x14ac:dyDescent="0.2">
      <c r="A70" s="36"/>
      <c r="B70" s="27"/>
      <c r="C70" s="68"/>
      <c r="D70" s="26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</row>
    <row r="72" spans="1:60" x14ac:dyDescent="0.25">
      <c r="B72" s="14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67</vt:i4>
      </vt:variant>
    </vt:vector>
  </HeadingPairs>
  <TitlesOfParts>
    <vt:vector size="67" baseType="lpstr">
      <vt:lpstr>01.07.2026</vt:lpstr>
      <vt:lpstr>29.06.2026</vt:lpstr>
      <vt:lpstr>25.06.2026</vt:lpstr>
      <vt:lpstr>24.06.2026</vt:lpstr>
      <vt:lpstr>23.06.2026</vt:lpstr>
      <vt:lpstr>19.06.2026</vt:lpstr>
      <vt:lpstr>18.06.2026</vt:lpstr>
      <vt:lpstr>17.06.2026</vt:lpstr>
      <vt:lpstr>16.06.2026</vt:lpstr>
      <vt:lpstr>15.06.2026</vt:lpstr>
      <vt:lpstr>11.06.2026</vt:lpstr>
      <vt:lpstr>10.06.2026</vt:lpstr>
      <vt:lpstr>09.06.2026</vt:lpstr>
      <vt:lpstr>08.06.2026</vt:lpstr>
      <vt:lpstr>05.06.2026</vt:lpstr>
      <vt:lpstr>04.06.2026</vt:lpstr>
      <vt:lpstr>03.06.2026</vt:lpstr>
      <vt:lpstr>02.06.2026</vt:lpstr>
      <vt:lpstr>01.06.2026</vt:lpstr>
      <vt:lpstr>29.05.2026</vt:lpstr>
      <vt:lpstr>28.05.2026</vt:lpstr>
      <vt:lpstr>27.05.2026</vt:lpstr>
      <vt:lpstr>26.05.2026</vt:lpstr>
      <vt:lpstr>25.05.2026</vt:lpstr>
      <vt:lpstr>22.05.2026</vt:lpstr>
      <vt:lpstr>21.05.2026</vt:lpstr>
      <vt:lpstr>20.05.2026</vt:lpstr>
      <vt:lpstr>19.05.2026</vt:lpstr>
      <vt:lpstr>18.05.2026</vt:lpstr>
      <vt:lpstr>15.05.2026</vt:lpstr>
      <vt:lpstr>14.05.2026</vt:lpstr>
      <vt:lpstr>13.05.2026</vt:lpstr>
      <vt:lpstr>12.05.2026</vt:lpstr>
      <vt:lpstr>08.05.2026</vt:lpstr>
      <vt:lpstr>07.05.2026</vt:lpstr>
      <vt:lpstr>06.05.2026</vt:lpstr>
      <vt:lpstr>05.04.2026</vt:lpstr>
      <vt:lpstr>30.04.2026</vt:lpstr>
      <vt:lpstr>29.04.2026</vt:lpstr>
      <vt:lpstr>28.04.2026</vt:lpstr>
      <vt:lpstr>27.04.2026</vt:lpstr>
      <vt:lpstr>24.04.2025</vt:lpstr>
      <vt:lpstr>23.04.2026</vt:lpstr>
      <vt:lpstr>22.04.2026</vt:lpstr>
      <vt:lpstr>21.04.2026</vt:lpstr>
      <vt:lpstr>20.04.2026</vt:lpstr>
      <vt:lpstr>17.04.2026</vt:lpstr>
      <vt:lpstr>16.04.2026</vt:lpstr>
      <vt:lpstr>15.04.2026</vt:lpstr>
      <vt:lpstr>14.04.2026</vt:lpstr>
      <vt:lpstr>13.04.2026</vt:lpstr>
      <vt:lpstr>10.04.2026</vt:lpstr>
      <vt:lpstr>08.04.2026</vt:lpstr>
      <vt:lpstr>07.04.2026</vt:lpstr>
      <vt:lpstr>06.04.2026</vt:lpstr>
      <vt:lpstr>03.04.2026</vt:lpstr>
      <vt:lpstr>02.04.2026</vt:lpstr>
      <vt:lpstr>01.04.2026</vt:lpstr>
      <vt:lpstr>30.03.2026</vt:lpstr>
      <vt:lpstr>27.03.2026</vt:lpstr>
      <vt:lpstr>26.03.2025</vt:lpstr>
      <vt:lpstr>24.03.2026</vt:lpstr>
      <vt:lpstr>23.03.2026</vt:lpstr>
      <vt:lpstr>20.03.26</vt:lpstr>
      <vt:lpstr>19.03.26</vt:lpstr>
      <vt:lpstr>18.03.2026</vt:lpstr>
      <vt:lpstr>1303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KOSTIK</dc:creator>
  <cp:lastModifiedBy>KOSTIK</cp:lastModifiedBy>
  <dcterms:created xsi:type="dcterms:W3CDTF">2026-03-13T10:24:07Z</dcterms:created>
  <dcterms:modified xsi:type="dcterms:W3CDTF">2026-07-01T22:27:15Z</dcterms:modified>
</cp:coreProperties>
</file>