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Documents\Github\ThreeME\data\calibrations\"/>
    </mc:Choice>
  </mc:AlternateContent>
  <xr:revisionPtr revIDLastSave="0" documentId="13_ncr:1_{62E0FE71-8B6B-4971-A5A8-B81C39DF6E06}" xr6:coauthVersionLast="47" xr6:coauthVersionMax="47" xr10:uidLastSave="{00000000-0000-0000-0000-000000000000}"/>
  <bookViews>
    <workbookView xWindow="-120" yWindow="-120" windowWidth="20730" windowHeight="11160" firstSheet="1" activeTab="2" xr2:uid="{9EEF2404-3F09-486C-85B0-EB0EB51D3DFD}"/>
  </bookViews>
  <sheets>
    <sheet name="résultats" sheetId="1" r:id="rId1"/>
    <sheet name="calibration CI bus" sheetId="4" r:id="rId2"/>
    <sheet name="sorties bus" sheetId="5" r:id="rId3"/>
    <sheet name="calibration bloc bus" sheetId="10" r:id="rId4"/>
    <sheet name="calibration CI PL" sheetId="3" r:id="rId5"/>
    <sheet name="sorties PL" sheetId="2" r:id="rId6"/>
    <sheet name="calibrage bloc PL" sheetId="9" r:id="rId7"/>
    <sheet name="Feuil1" sheetId="7" r:id="rId8"/>
    <sheet name="Feuil13" sheetId="21" r:id="rId9"/>
    <sheet name="Feuil2" sheetId="8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solver_adj" localSheetId="6" hidden="1">'calibrage bloc PL'!$D$64</definedName>
    <definedName name="solver_adj" localSheetId="3" hidden="1">'calibration bloc bus'!$D$36</definedName>
    <definedName name="solver_adj" localSheetId="9" hidden="1">Feuil2!$B$183</definedName>
    <definedName name="solver_adj" localSheetId="2" hidden="1">'calibration bloc bus'!$D$36</definedName>
    <definedName name="solver_adj" localSheetId="5" hidden="1">'calibrage bloc PL'!$D$64</definedName>
    <definedName name="solver_cvg" localSheetId="6" hidden="1">"""0,0001"""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"""0,0001"""</definedName>
    <definedName name="solver_cvg" localSheetId="2" hidden="1">"""""""""""""""0,0001"""""""""""""""</definedName>
    <definedName name="solver_cvg" localSheetId="5" hidden="1">"""""""""""""""""""""""""""""""0,0001"""""""""""""""""""""""""""""""</definedName>
    <definedName name="solver_drv" localSheetId="6" hidden="1">1</definedName>
    <definedName name="solver_drv" localSheetId="3" hidden="1">1</definedName>
    <definedName name="solver_drv" localSheetId="9" hidden="1">1</definedName>
    <definedName name="solver_drv" localSheetId="2" hidden="1">1</definedName>
    <definedName name="solver_drv" localSheetId="5" hidden="1">1</definedName>
    <definedName name="solver_eng" localSheetId="6" hidden="1">1</definedName>
    <definedName name="solver_eng" localSheetId="3" hidden="1">1</definedName>
    <definedName name="solver_eng" localSheetId="9" hidden="1">1</definedName>
    <definedName name="solver_eng" localSheetId="2" hidden="1">1</definedName>
    <definedName name="solver_eng" localSheetId="5" hidden="1">1</definedName>
    <definedName name="solver_est" localSheetId="6" hidden="1">1</definedName>
    <definedName name="solver_est" localSheetId="3" hidden="1">1</definedName>
    <definedName name="solver_est" localSheetId="9" hidden="1">1</definedName>
    <definedName name="solver_est" localSheetId="2" hidden="1">1</definedName>
    <definedName name="solver_est" localSheetId="5" hidden="1">1</definedName>
    <definedName name="solver_itr" localSheetId="6" hidden="1">2147483647</definedName>
    <definedName name="solver_itr" localSheetId="3" hidden="1">2147483647</definedName>
    <definedName name="solver_itr" localSheetId="9" hidden="1">2147483647</definedName>
    <definedName name="solver_itr" localSheetId="2" hidden="1">2147483647</definedName>
    <definedName name="solver_itr" localSheetId="5" hidden="1">2147483647</definedName>
    <definedName name="solver_mip" localSheetId="6" hidden="1">2147483647</definedName>
    <definedName name="solver_mip" localSheetId="3" hidden="1">2147483647</definedName>
    <definedName name="solver_mip" localSheetId="9" hidden="1">2147483647</definedName>
    <definedName name="solver_mip" localSheetId="2" hidden="1">2147483647</definedName>
    <definedName name="solver_mip" localSheetId="5" hidden="1">2147483647</definedName>
    <definedName name="solver_mni" localSheetId="6" hidden="1">30</definedName>
    <definedName name="solver_mni" localSheetId="3" hidden="1">30</definedName>
    <definedName name="solver_mni" localSheetId="9" hidden="1">30</definedName>
    <definedName name="solver_mni" localSheetId="2" hidden="1">30</definedName>
    <definedName name="solver_mni" localSheetId="5" hidden="1">30</definedName>
    <definedName name="solver_mrt" localSheetId="6" hidden="1">"""0,075"""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"""0,075"""</definedName>
    <definedName name="solver_mrt" localSheetId="2" hidden="1">"""""""""""""""0,075"""""""""""""""</definedName>
    <definedName name="solver_mrt" localSheetId="5" hidden="1">"""""""""""""""""""""""""""""""0,075"""""""""""""""""""""""""""""""</definedName>
    <definedName name="solver_msl" localSheetId="6" hidden="1">2</definedName>
    <definedName name="solver_msl" localSheetId="3" hidden="1">2</definedName>
    <definedName name="solver_msl" localSheetId="9" hidden="1">2</definedName>
    <definedName name="solver_msl" localSheetId="2" hidden="1">2</definedName>
    <definedName name="solver_msl" localSheetId="5" hidden="1">2</definedName>
    <definedName name="solver_neg" localSheetId="6" hidden="1">1</definedName>
    <definedName name="solver_neg" localSheetId="3" hidden="1">1</definedName>
    <definedName name="solver_neg" localSheetId="9" hidden="1">1</definedName>
    <definedName name="solver_neg" localSheetId="2" hidden="1">1</definedName>
    <definedName name="solver_neg" localSheetId="5" hidden="1">1</definedName>
    <definedName name="solver_nod" localSheetId="6" hidden="1">2147483647</definedName>
    <definedName name="solver_nod" localSheetId="3" hidden="1">2147483647</definedName>
    <definedName name="solver_nod" localSheetId="9" hidden="1">2147483647</definedName>
    <definedName name="solver_nod" localSheetId="2" hidden="1">2147483647</definedName>
    <definedName name="solver_nod" localSheetId="5" hidden="1">2147483647</definedName>
    <definedName name="solver_num" localSheetId="6" hidden="1">0</definedName>
    <definedName name="solver_num" localSheetId="3" hidden="1">0</definedName>
    <definedName name="solver_num" localSheetId="9" hidden="1">0</definedName>
    <definedName name="solver_num" localSheetId="2" hidden="1">0</definedName>
    <definedName name="solver_num" localSheetId="5" hidden="1">0</definedName>
    <definedName name="solver_nwt" localSheetId="6" hidden="1">1</definedName>
    <definedName name="solver_nwt" localSheetId="3" hidden="1">1</definedName>
    <definedName name="solver_nwt" localSheetId="9" hidden="1">1</definedName>
    <definedName name="solver_nwt" localSheetId="2" hidden="1">1</definedName>
    <definedName name="solver_nwt" localSheetId="5" hidden="1">1</definedName>
    <definedName name="solver_opt" localSheetId="6" hidden="1">'calibrage bloc PL'!$D$71</definedName>
    <definedName name="solver_opt" localSheetId="3" hidden="1">'calibration bloc bus'!$D$48</definedName>
    <definedName name="solver_opt" localSheetId="9" hidden="1">Feuil2!$AW$175</definedName>
    <definedName name="solver_opt" localSheetId="2" hidden="1">'calibration bloc bus'!$CR$37</definedName>
    <definedName name="solver_opt" localSheetId="5" hidden="1">'calibrage bloc PL'!$AX$57</definedName>
    <definedName name="solver_pre" localSheetId="6" hidden="1">"""0,000001"""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"""0,000001"""</definedName>
    <definedName name="solver_pre" localSheetId="2" hidden="1">"""""""""""""""0,000001"""""""""""""""</definedName>
    <definedName name="solver_pre" localSheetId="5" hidden="1">"""""""""""""""""""""""""""""""0,000001"""""""""""""""""""""""""""""""</definedName>
    <definedName name="solver_rbv" localSheetId="6" hidden="1">1</definedName>
    <definedName name="solver_rbv" localSheetId="3" hidden="1">1</definedName>
    <definedName name="solver_rbv" localSheetId="9" hidden="1">1</definedName>
    <definedName name="solver_rbv" localSheetId="2" hidden="1">1</definedName>
    <definedName name="solver_rbv" localSheetId="5" hidden="1">1</definedName>
    <definedName name="solver_rlx" localSheetId="6" hidden="1">2</definedName>
    <definedName name="solver_rlx" localSheetId="3" hidden="1">2</definedName>
    <definedName name="solver_rlx" localSheetId="9" hidden="1">2</definedName>
    <definedName name="solver_rlx" localSheetId="2" hidden="1">2</definedName>
    <definedName name="solver_rlx" localSheetId="5" hidden="1">2</definedName>
    <definedName name="solver_rsd" localSheetId="6" hidden="1">0</definedName>
    <definedName name="solver_rsd" localSheetId="3" hidden="1">0</definedName>
    <definedName name="solver_rsd" localSheetId="9" hidden="1">0</definedName>
    <definedName name="solver_rsd" localSheetId="2" hidden="1">0</definedName>
    <definedName name="solver_rsd" localSheetId="5" hidden="1">0</definedName>
    <definedName name="solver_scl" localSheetId="6" hidden="1">1</definedName>
    <definedName name="solver_scl" localSheetId="3" hidden="1">1</definedName>
    <definedName name="solver_scl" localSheetId="9" hidden="1">1</definedName>
    <definedName name="solver_scl" localSheetId="2" hidden="1">1</definedName>
    <definedName name="solver_scl" localSheetId="5" hidden="1">1</definedName>
    <definedName name="solver_sho" localSheetId="6" hidden="1">2</definedName>
    <definedName name="solver_sho" localSheetId="3" hidden="1">2</definedName>
    <definedName name="solver_sho" localSheetId="9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ssz" localSheetId="3" hidden="1">100</definedName>
    <definedName name="solver_ssz" localSheetId="9" hidden="1">100</definedName>
    <definedName name="solver_ssz" localSheetId="2" hidden="1">100</definedName>
    <definedName name="solver_ssz" localSheetId="5" hidden="1">100</definedName>
    <definedName name="solver_tim" localSheetId="6" hidden="1">2147483647</definedName>
    <definedName name="solver_tim" localSheetId="3" hidden="1">2147483647</definedName>
    <definedName name="solver_tim" localSheetId="9" hidden="1">2147483647</definedName>
    <definedName name="solver_tim" localSheetId="2" hidden="1">2147483647</definedName>
    <definedName name="solver_tim" localSheetId="5" hidden="1">2147483647</definedName>
    <definedName name="solver_tol" localSheetId="6" hidden="1">0.01</definedName>
    <definedName name="solver_tol" localSheetId="3" hidden="1">0.01</definedName>
    <definedName name="solver_tol" localSheetId="9" hidden="1">0.01</definedName>
    <definedName name="solver_tol" localSheetId="2" hidden="1">0.01</definedName>
    <definedName name="solver_tol" localSheetId="5" hidden="1">0.01</definedName>
    <definedName name="solver_typ" localSheetId="6" hidden="1">3</definedName>
    <definedName name="solver_typ" localSheetId="3" hidden="1">3</definedName>
    <definedName name="solver_typ" localSheetId="9" hidden="1">3</definedName>
    <definedName name="solver_typ" localSheetId="2" hidden="1">3</definedName>
    <definedName name="solver_typ" localSheetId="5" hidden="1">3</definedName>
    <definedName name="solver_val" localSheetId="6" hidden="1">0</definedName>
    <definedName name="solver_val" localSheetId="3" hidden="1">0</definedName>
    <definedName name="solver_val" localSheetId="9" hidden="1">0</definedName>
    <definedName name="solver_val" localSheetId="2" hidden="1">0</definedName>
    <definedName name="solver_val" localSheetId="5" hidden="1">0</definedName>
    <definedName name="solver_ver" localSheetId="6" hidden="1">3</definedName>
    <definedName name="solver_ver" localSheetId="3" hidden="1">3</definedName>
    <definedName name="solver_ver" localSheetId="9" hidden="1">3</definedName>
    <definedName name="solver_ver" localSheetId="2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9" l="1"/>
  <c r="J8" i="9"/>
  <c r="D45" i="9" l="1"/>
  <c r="F6" i="10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E6" i="10"/>
  <c r="D50" i="10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D46" i="9"/>
  <c r="D44" i="9"/>
  <c r="M2" i="10"/>
  <c r="N2" i="10"/>
  <c r="O2" i="10"/>
  <c r="P2" i="10"/>
  <c r="Q2" i="10"/>
  <c r="R2" i="10"/>
  <c r="K51" i="9" l="1"/>
  <c r="J51" i="9"/>
  <c r="I52" i="9"/>
  <c r="H52" i="9"/>
  <c r="I51" i="9"/>
  <c r="H51" i="9"/>
  <c r="G51" i="9"/>
  <c r="O5" i="9"/>
  <c r="O48" i="9" s="1"/>
  <c r="N5" i="9"/>
  <c r="N48" i="9" s="1"/>
  <c r="L52" i="9"/>
  <c r="M5" i="9"/>
  <c r="M48" i="9" s="1"/>
  <c r="K52" i="9"/>
  <c r="M52" i="9"/>
  <c r="J52" i="9"/>
  <c r="Q51" i="9"/>
  <c r="F51" i="9"/>
  <c r="D4" i="9"/>
  <c r="P51" i="9"/>
  <c r="O51" i="9"/>
  <c r="E51" i="9"/>
  <c r="R4" i="9"/>
  <c r="R47" i="9" s="1"/>
  <c r="Q4" i="9"/>
  <c r="Q47" i="9" s="1"/>
  <c r="G52" i="9"/>
  <c r="D51" i="9"/>
  <c r="R5" i="9"/>
  <c r="P4" i="9"/>
  <c r="P47" i="9" s="1"/>
  <c r="N51" i="9"/>
  <c r="J7" i="9"/>
  <c r="J50" i="9" s="1"/>
  <c r="R7" i="9"/>
  <c r="T3" i="9" s="1"/>
  <c r="F52" i="9"/>
  <c r="O4" i="9"/>
  <c r="M51" i="9"/>
  <c r="E52" i="9"/>
  <c r="N4" i="9"/>
  <c r="D52" i="9"/>
  <c r="M4" i="9"/>
  <c r="L51" i="9"/>
  <c r="Q52" i="9"/>
  <c r="P52" i="9"/>
  <c r="Q5" i="9"/>
  <c r="Q48" i="9" s="1"/>
  <c r="O52" i="9"/>
  <c r="P5" i="9"/>
  <c r="P48" i="9" s="1"/>
  <c r="N52" i="9"/>
  <c r="C62" i="5"/>
  <c r="E2" i="10" s="1"/>
  <c r="D62" i="5"/>
  <c r="F2" i="10" s="1"/>
  <c r="E62" i="5"/>
  <c r="G2" i="10" s="1"/>
  <c r="F62" i="5"/>
  <c r="H2" i="10" s="1"/>
  <c r="G62" i="5"/>
  <c r="I2" i="10" s="1"/>
  <c r="H62" i="5"/>
  <c r="J2" i="10" s="1"/>
  <c r="I62" i="5"/>
  <c r="K2" i="10" s="1"/>
  <c r="J62" i="5"/>
  <c r="L2" i="10" s="1"/>
  <c r="B62" i="5"/>
  <c r="D2" i="10" s="1"/>
  <c r="O6" i="9" l="1"/>
  <c r="O49" i="9" s="1"/>
  <c r="O47" i="9"/>
  <c r="R6" i="9"/>
  <c r="N47" i="9"/>
  <c r="N6" i="9"/>
  <c r="N49" i="9" s="1"/>
  <c r="Q6" i="9"/>
  <c r="Q49" i="9" s="1"/>
  <c r="M47" i="9"/>
  <c r="M6" i="9"/>
  <c r="M49" i="9" s="1"/>
  <c r="P6" i="9"/>
  <c r="P49" i="9" s="1"/>
  <c r="D35" i="10"/>
  <c r="D34" i="10"/>
  <c r="D33" i="10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K74" i="5"/>
  <c r="K75" i="5"/>
  <c r="K73" i="5"/>
  <c r="M169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M168" i="2"/>
  <c r="M170" i="2"/>
  <c r="M171" i="2"/>
  <c r="M172" i="2"/>
  <c r="N166" i="2"/>
  <c r="O166" i="2"/>
  <c r="P166" i="2"/>
  <c r="Q166" i="2"/>
  <c r="N167" i="2"/>
  <c r="O167" i="2"/>
  <c r="P167" i="2"/>
  <c r="Q167" i="2"/>
  <c r="M166" i="2"/>
  <c r="M167" i="2"/>
  <c r="D32" i="10"/>
  <c r="E36" i="10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D25" i="10"/>
  <c r="E25" i="10"/>
  <c r="F25" i="10"/>
  <c r="G25" i="10"/>
  <c r="H25" i="10"/>
  <c r="I25" i="10"/>
  <c r="J25" i="10"/>
  <c r="K25" i="10"/>
  <c r="L25" i="10"/>
  <c r="M25" i="10"/>
  <c r="M24" i="10" s="1"/>
  <c r="N25" i="10"/>
  <c r="N24" i="10" s="1"/>
  <c r="O25" i="10"/>
  <c r="O24" i="10" s="1"/>
  <c r="P25" i="10"/>
  <c r="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4" i="10"/>
  <c r="R35" i="10"/>
  <c r="R33" i="10"/>
  <c r="R29" i="10"/>
  <c r="R28" i="10"/>
  <c r="R26" i="10"/>
  <c r="R27" i="10"/>
  <c r="R25" i="10"/>
  <c r="R24" i="10" s="1"/>
  <c r="D41" i="10"/>
  <c r="D42" i="10"/>
  <c r="D40" i="10"/>
  <c r="D38" i="10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D73" i="9"/>
  <c r="D59" i="9"/>
  <c r="D58" i="9"/>
  <c r="D60" i="9"/>
  <c r="E29" i="9"/>
  <c r="F29" i="9" s="1"/>
  <c r="G29" i="9" s="1"/>
  <c r="H29" i="9" s="1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E28" i="9"/>
  <c r="F28" i="9" s="1"/>
  <c r="G28" i="9" s="1"/>
  <c r="H28" i="9" s="1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D30" i="9"/>
  <c r="E30" i="9" s="1"/>
  <c r="F30" i="9" s="1"/>
  <c r="G30" i="9" s="1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D29" i="9"/>
  <c r="D28" i="9"/>
  <c r="C8" i="9"/>
  <c r="C9" i="9"/>
  <c r="R63" i="9"/>
  <c r="Q63" i="9"/>
  <c r="P63" i="9"/>
  <c r="O63" i="9"/>
  <c r="N63" i="9"/>
  <c r="M63" i="9"/>
  <c r="L63" i="9"/>
  <c r="K63" i="9"/>
  <c r="J63" i="9"/>
  <c r="I63" i="9"/>
  <c r="I78" i="9" s="1"/>
  <c r="H63" i="9"/>
  <c r="G63" i="9"/>
  <c r="G78" i="9" s="1"/>
  <c r="F63" i="9"/>
  <c r="E63" i="9"/>
  <c r="E78" i="9" s="1"/>
  <c r="D63" i="9"/>
  <c r="C63" i="9"/>
  <c r="B63" i="9"/>
  <c r="B78" i="9" s="1"/>
  <c r="D62" i="9"/>
  <c r="D61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R53" i="9"/>
  <c r="R77" i="9" s="1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C53" i="9"/>
  <c r="B53" i="9"/>
  <c r="B77" i="9" s="1"/>
  <c r="D43" i="9"/>
  <c r="D42" i="9"/>
  <c r="D41" i="9"/>
  <c r="D40" i="9"/>
  <c r="D22" i="9"/>
  <c r="R8" i="9"/>
  <c r="E8" i="9" s="1"/>
  <c r="E67" i="9" s="1"/>
  <c r="AU57" i="8"/>
  <c r="AU59" i="8"/>
  <c r="S158" i="2"/>
  <c r="T158" i="2"/>
  <c r="T166" i="2" s="1"/>
  <c r="S159" i="2"/>
  <c r="S167" i="2" s="1"/>
  <c r="T159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R162" i="2"/>
  <c r="R37" i="9" s="1"/>
  <c r="Q37" i="9" s="1"/>
  <c r="P37" i="9" s="1"/>
  <c r="O37" i="9" s="1"/>
  <c r="N37" i="9" s="1"/>
  <c r="M37" i="9" s="1"/>
  <c r="L37" i="9" s="1"/>
  <c r="K37" i="9" s="1"/>
  <c r="J37" i="9" s="1"/>
  <c r="I37" i="9" s="1"/>
  <c r="H37" i="9" s="1"/>
  <c r="G37" i="9" s="1"/>
  <c r="F37" i="9" s="1"/>
  <c r="E37" i="9" s="1"/>
  <c r="D37" i="9" s="1"/>
  <c r="R164" i="2"/>
  <c r="R39" i="9" s="1"/>
  <c r="Q39" i="9" s="1"/>
  <c r="P39" i="9" s="1"/>
  <c r="O39" i="9" s="1"/>
  <c r="N39" i="9" s="1"/>
  <c r="M39" i="9" s="1"/>
  <c r="L39" i="9" s="1"/>
  <c r="K39" i="9" s="1"/>
  <c r="J39" i="9" s="1"/>
  <c r="I39" i="9" s="1"/>
  <c r="H39" i="9" s="1"/>
  <c r="G39" i="9" s="1"/>
  <c r="F39" i="9" s="1"/>
  <c r="E39" i="9" s="1"/>
  <c r="D39" i="9" s="1"/>
  <c r="R163" i="2"/>
  <c r="R38" i="9" s="1"/>
  <c r="Q38" i="9" s="1"/>
  <c r="P38" i="9" s="1"/>
  <c r="O38" i="9" s="1"/>
  <c r="N38" i="9" s="1"/>
  <c r="M38" i="9" s="1"/>
  <c r="L38" i="9" s="1"/>
  <c r="K38" i="9" s="1"/>
  <c r="J38" i="9" s="1"/>
  <c r="I38" i="9" s="1"/>
  <c r="H38" i="9" s="1"/>
  <c r="G38" i="9" s="1"/>
  <c r="F38" i="9" s="1"/>
  <c r="E38" i="9" s="1"/>
  <c r="D38" i="9" s="1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R161" i="2"/>
  <c r="M161" i="2"/>
  <c r="N161" i="2"/>
  <c r="O161" i="2"/>
  <c r="P161" i="2"/>
  <c r="Q161" i="2"/>
  <c r="U158" i="2"/>
  <c r="V158" i="2"/>
  <c r="U159" i="2"/>
  <c r="U167" i="2" s="1"/>
  <c r="V159" i="2"/>
  <c r="V167" i="2" s="1"/>
  <c r="X158" i="2"/>
  <c r="Y158" i="2"/>
  <c r="Y166" i="2" s="1"/>
  <c r="Z158" i="2"/>
  <c r="Z166" i="2" s="1"/>
  <c r="AA158" i="2"/>
  <c r="AA166" i="2" s="1"/>
  <c r="AB158" i="2"/>
  <c r="AB166" i="2" s="1"/>
  <c r="AC158" i="2"/>
  <c r="AC166" i="2" s="1"/>
  <c r="AD158" i="2"/>
  <c r="AD166" i="2" s="1"/>
  <c r="AE158" i="2"/>
  <c r="AE166" i="2" s="1"/>
  <c r="AF158" i="2"/>
  <c r="AG158" i="2"/>
  <c r="AG166" i="2" s="1"/>
  <c r="AH158" i="2"/>
  <c r="AH166" i="2" s="1"/>
  <c r="AI158" i="2"/>
  <c r="AI166" i="2" s="1"/>
  <c r="AJ158" i="2"/>
  <c r="AK158" i="2"/>
  <c r="AK166" i="2" s="1"/>
  <c r="AL158" i="2"/>
  <c r="AL166" i="2" s="1"/>
  <c r="AM158" i="2"/>
  <c r="AM166" i="2" s="1"/>
  <c r="AN158" i="2"/>
  <c r="AN166" i="2" s="1"/>
  <c r="AO158" i="2"/>
  <c r="AO166" i="2" s="1"/>
  <c r="AP158" i="2"/>
  <c r="AP166" i="2" s="1"/>
  <c r="AQ158" i="2"/>
  <c r="AQ166" i="2" s="1"/>
  <c r="AR158" i="2"/>
  <c r="AS158" i="2"/>
  <c r="AT158" i="2"/>
  <c r="AT166" i="2" s="1"/>
  <c r="AU158" i="2"/>
  <c r="AU166" i="2" s="1"/>
  <c r="AV158" i="2"/>
  <c r="X159" i="2"/>
  <c r="X167" i="2" s="1"/>
  <c r="Y159" i="2"/>
  <c r="Z159" i="2"/>
  <c r="Z167" i="2" s="1"/>
  <c r="AA159" i="2"/>
  <c r="AA167" i="2" s="1"/>
  <c r="AB159" i="2"/>
  <c r="AB167" i="2" s="1"/>
  <c r="AC159" i="2"/>
  <c r="AC167" i="2" s="1"/>
  <c r="AD159" i="2"/>
  <c r="AD167" i="2" s="1"/>
  <c r="AE159" i="2"/>
  <c r="AE167" i="2" s="1"/>
  <c r="AF159" i="2"/>
  <c r="AF167" i="2" s="1"/>
  <c r="AG159" i="2"/>
  <c r="AG167" i="2" s="1"/>
  <c r="AH159" i="2"/>
  <c r="AH167" i="2" s="1"/>
  <c r="AI159" i="2"/>
  <c r="AI167" i="2" s="1"/>
  <c r="AJ159" i="2"/>
  <c r="AJ167" i="2" s="1"/>
  <c r="AK159" i="2"/>
  <c r="AL159" i="2"/>
  <c r="AL167" i="2" s="1"/>
  <c r="AM159" i="2"/>
  <c r="AM167" i="2" s="1"/>
  <c r="AN159" i="2"/>
  <c r="AN167" i="2" s="1"/>
  <c r="AO159" i="2"/>
  <c r="AO167" i="2" s="1"/>
  <c r="AP159" i="2"/>
  <c r="AP167" i="2" s="1"/>
  <c r="AQ159" i="2"/>
  <c r="AQ167" i="2" s="1"/>
  <c r="AR159" i="2"/>
  <c r="AR167" i="2" s="1"/>
  <c r="AS159" i="2"/>
  <c r="AS167" i="2" s="1"/>
  <c r="AT159" i="2"/>
  <c r="AT167" i="2" s="1"/>
  <c r="AU159" i="2"/>
  <c r="AU167" i="2" s="1"/>
  <c r="AV159" i="2"/>
  <c r="AV167" i="2" s="1"/>
  <c r="W158" i="2"/>
  <c r="W166" i="2" s="1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U157" i="2"/>
  <c r="V157" i="2"/>
  <c r="W157" i="2"/>
  <c r="S157" i="2"/>
  <c r="T157" i="2"/>
  <c r="N157" i="2"/>
  <c r="N165" i="2" s="1"/>
  <c r="O157" i="2"/>
  <c r="O165" i="2" s="1"/>
  <c r="P157" i="2"/>
  <c r="P165" i="2" s="1"/>
  <c r="Q157" i="2"/>
  <c r="Q165" i="2" s="1"/>
  <c r="R157" i="2"/>
  <c r="R165" i="2" s="1"/>
  <c r="M157" i="2"/>
  <c r="M165" i="2" s="1"/>
  <c r="K24" i="10" l="1"/>
  <c r="Q77" i="9"/>
  <c r="D78" i="9"/>
  <c r="S24" i="10"/>
  <c r="K78" i="9"/>
  <c r="D68" i="9"/>
  <c r="D67" i="9"/>
  <c r="D37" i="10"/>
  <c r="S160" i="2"/>
  <c r="AR160" i="2"/>
  <c r="AF160" i="2"/>
  <c r="AV160" i="2"/>
  <c r="D24" i="3" s="1"/>
  <c r="U160" i="2"/>
  <c r="B24" i="3" s="1"/>
  <c r="AK160" i="2"/>
  <c r="Y160" i="2"/>
  <c r="AG160" i="2"/>
  <c r="AJ160" i="2"/>
  <c r="X160" i="2"/>
  <c r="AS160" i="2"/>
  <c r="AK165" i="2"/>
  <c r="Y165" i="2"/>
  <c r="AV165" i="2"/>
  <c r="AJ165" i="2"/>
  <c r="X165" i="2"/>
  <c r="T160" i="2"/>
  <c r="AK167" i="2"/>
  <c r="Y167" i="2"/>
  <c r="AV166" i="2"/>
  <c r="AJ166" i="2"/>
  <c r="X166" i="2"/>
  <c r="AU165" i="2"/>
  <c r="AI165" i="2"/>
  <c r="W165" i="2"/>
  <c r="V160" i="2"/>
  <c r="AT165" i="2"/>
  <c r="AH165" i="2"/>
  <c r="V165" i="2"/>
  <c r="V166" i="2"/>
  <c r="AS165" i="2"/>
  <c r="AG165" i="2"/>
  <c r="U165" i="2"/>
  <c r="AS166" i="2"/>
  <c r="U166" i="2"/>
  <c r="AR165" i="2"/>
  <c r="AF165" i="2"/>
  <c r="T165" i="2"/>
  <c r="AR166" i="2"/>
  <c r="AF166" i="2"/>
  <c r="AQ165" i="2"/>
  <c r="AE165" i="2"/>
  <c r="S165" i="2"/>
  <c r="T167" i="2"/>
  <c r="S166" i="2"/>
  <c r="AP165" i="2"/>
  <c r="AD165" i="2"/>
  <c r="AO165" i="2"/>
  <c r="AC165" i="2"/>
  <c r="AL160" i="2"/>
  <c r="Z160" i="2"/>
  <c r="AN165" i="2"/>
  <c r="AB165" i="2"/>
  <c r="AM165" i="2"/>
  <c r="AA165" i="2"/>
  <c r="AL165" i="2"/>
  <c r="Z165" i="2"/>
  <c r="AM160" i="2"/>
  <c r="AA160" i="2"/>
  <c r="AU160" i="2"/>
  <c r="AI160" i="2"/>
  <c r="AT160" i="2"/>
  <c r="AH160" i="2"/>
  <c r="AE160" i="2"/>
  <c r="AB160" i="2"/>
  <c r="L24" i="10"/>
  <c r="G24" i="10"/>
  <c r="F24" i="10"/>
  <c r="Q24" i="10"/>
  <c r="E24" i="10"/>
  <c r="P24" i="10"/>
  <c r="D24" i="10"/>
  <c r="J24" i="10"/>
  <c r="I24" i="10"/>
  <c r="H24" i="10"/>
  <c r="J77" i="9"/>
  <c r="L77" i="9"/>
  <c r="C78" i="9"/>
  <c r="Q78" i="9"/>
  <c r="D25" i="9"/>
  <c r="M77" i="9"/>
  <c r="C77" i="9"/>
  <c r="N78" i="9"/>
  <c r="P77" i="9"/>
  <c r="F78" i="9"/>
  <c r="R78" i="9"/>
  <c r="H78" i="9"/>
  <c r="L78" i="9"/>
  <c r="K77" i="9"/>
  <c r="J78" i="9"/>
  <c r="N77" i="9"/>
  <c r="O77" i="9"/>
  <c r="I77" i="9"/>
  <c r="H77" i="9"/>
  <c r="AQ160" i="2"/>
  <c r="AO160" i="2"/>
  <c r="AP160" i="2"/>
  <c r="AC160" i="2"/>
  <c r="AN160" i="2"/>
  <c r="P78" i="9"/>
  <c r="O78" i="9"/>
  <c r="AD160" i="2"/>
  <c r="F8" i="9"/>
  <c r="F67" i="9" s="1"/>
  <c r="F77" i="9"/>
  <c r="G77" i="9"/>
  <c r="S40" i="9"/>
  <c r="M78" i="9"/>
  <c r="AB80" i="2"/>
  <c r="AW79" i="2"/>
  <c r="AW78" i="2"/>
  <c r="AW77" i="2"/>
  <c r="AB78" i="2"/>
  <c r="AB79" i="2"/>
  <c r="D31" i="3" l="1"/>
  <c r="C24" i="3"/>
  <c r="C31" i="3"/>
  <c r="G8" i="9"/>
  <c r="G67" i="9" s="1"/>
  <c r="AB88" i="2"/>
  <c r="AW87" i="2"/>
  <c r="AB87" i="2"/>
  <c r="AW86" i="2"/>
  <c r="AB86" i="2"/>
  <c r="AW85" i="2"/>
  <c r="Z51" i="5"/>
  <c r="Z50" i="5"/>
  <c r="Z49" i="5"/>
  <c r="N164" i="2"/>
  <c r="O164" i="2"/>
  <c r="P164" i="2"/>
  <c r="Q164" i="2"/>
  <c r="M164" i="2"/>
  <c r="H8" i="9" l="1"/>
  <c r="H67" i="9" s="1"/>
  <c r="AU138" i="8"/>
  <c r="AU54" i="8"/>
  <c r="AU184" i="8"/>
  <c r="AU183" i="8"/>
  <c r="AU147" i="8"/>
  <c r="AU146" i="8"/>
  <c r="AU150" i="8"/>
  <c r="AU151" i="8"/>
  <c r="AU152" i="8"/>
  <c r="AU153" i="8"/>
  <c r="AU154" i="8"/>
  <c r="AU155" i="8"/>
  <c r="AU156" i="8"/>
  <c r="AU157" i="8"/>
  <c r="AU158" i="8"/>
  <c r="AU159" i="8"/>
  <c r="AU160" i="8"/>
  <c r="AU161" i="8"/>
  <c r="AU162" i="8"/>
  <c r="AU163" i="8"/>
  <c r="AU164" i="8"/>
  <c r="AU165" i="8"/>
  <c r="AU166" i="8"/>
  <c r="AU167" i="8"/>
  <c r="AU168" i="8"/>
  <c r="AU169" i="8"/>
  <c r="AU170" i="8"/>
  <c r="AU171" i="8"/>
  <c r="AU172" i="8"/>
  <c r="AU173" i="8"/>
  <c r="AU174" i="8"/>
  <c r="AU175" i="8"/>
  <c r="AU176" i="8"/>
  <c r="AU177" i="8"/>
  <c r="AU178" i="8"/>
  <c r="AU179" i="8"/>
  <c r="AU180" i="8"/>
  <c r="AU181" i="8"/>
  <c r="AU182" i="8"/>
  <c r="AU149" i="8"/>
  <c r="AU134" i="8"/>
  <c r="AU135" i="8"/>
  <c r="AU136" i="8"/>
  <c r="AU137" i="8"/>
  <c r="AU139" i="8"/>
  <c r="AU142" i="8"/>
  <c r="AU143" i="8"/>
  <c r="AU144" i="8"/>
  <c r="AU145" i="8"/>
  <c r="AU55" i="8"/>
  <c r="AU99" i="8"/>
  <c r="AU97" i="8"/>
  <c r="AU98" i="8"/>
  <c r="AU96" i="8"/>
  <c r="AU108" i="8"/>
  <c r="AU103" i="8"/>
  <c r="AU104" i="8"/>
  <c r="AU105" i="8"/>
  <c r="AU106" i="8"/>
  <c r="AU107" i="8"/>
  <c r="AU102" i="8"/>
  <c r="AU100" i="8"/>
  <c r="AU101" i="8"/>
  <c r="AU94" i="8"/>
  <c r="AU95" i="8"/>
  <c r="AU93" i="8"/>
  <c r="AU91" i="8"/>
  <c r="AU92" i="8"/>
  <c r="AU90" i="8"/>
  <c r="AU89" i="8"/>
  <c r="AU87" i="8"/>
  <c r="AU88" i="8"/>
  <c r="AU86" i="8"/>
  <c r="AU84" i="8"/>
  <c r="AU85" i="8"/>
  <c r="AU83" i="8"/>
  <c r="AU81" i="8"/>
  <c r="AU82" i="8"/>
  <c r="AU80" i="8"/>
  <c r="AU78" i="8"/>
  <c r="AU79" i="8"/>
  <c r="AU77" i="8"/>
  <c r="AU75" i="8"/>
  <c r="AU76" i="8"/>
  <c r="AU74" i="8"/>
  <c r="AU72" i="8"/>
  <c r="AU73" i="8"/>
  <c r="AU65" i="8"/>
  <c r="AU66" i="8"/>
  <c r="AU67" i="8"/>
  <c r="AU68" i="8"/>
  <c r="AU69" i="8"/>
  <c r="AU70" i="8"/>
  <c r="AU71" i="8"/>
  <c r="AU60" i="8"/>
  <c r="AU61" i="8"/>
  <c r="AU62" i="8"/>
  <c r="AU63" i="8"/>
  <c r="AU64" i="8"/>
  <c r="AU58" i="8"/>
  <c r="AU9" i="8"/>
  <c r="AU8" i="8"/>
  <c r="AU45" i="8"/>
  <c r="AU46" i="8"/>
  <c r="AU44" i="8"/>
  <c r="AU40" i="8"/>
  <c r="AU41" i="8"/>
  <c r="AU42" i="8"/>
  <c r="AU43" i="8"/>
  <c r="AU56" i="8"/>
  <c r="S71" i="5"/>
  <c r="L71" i="5"/>
  <c r="M71" i="5"/>
  <c r="N71" i="5"/>
  <c r="O71" i="5"/>
  <c r="R22" i="10" s="1"/>
  <c r="Q22" i="10" s="1"/>
  <c r="P22" i="10" s="1"/>
  <c r="O22" i="10" s="1"/>
  <c r="N22" i="10" s="1"/>
  <c r="M22" i="10" s="1"/>
  <c r="P71" i="5"/>
  <c r="Q71" i="5"/>
  <c r="R71" i="5"/>
  <c r="K71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U72" i="5"/>
  <c r="P72" i="5"/>
  <c r="Q72" i="5"/>
  <c r="R72" i="5"/>
  <c r="S72" i="5"/>
  <c r="L72" i="5"/>
  <c r="M72" i="5"/>
  <c r="N72" i="5"/>
  <c r="O72" i="5"/>
  <c r="R23" i="10" s="1"/>
  <c r="Q23" i="10" s="1"/>
  <c r="P23" i="10" s="1"/>
  <c r="O23" i="10" s="1"/>
  <c r="N23" i="10" s="1"/>
  <c r="M23" i="10" s="1"/>
  <c r="K72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R70" i="5"/>
  <c r="S70" i="5"/>
  <c r="L70" i="5"/>
  <c r="M70" i="5"/>
  <c r="N70" i="5"/>
  <c r="O70" i="5"/>
  <c r="R21" i="10" s="1"/>
  <c r="Q21" i="10" s="1"/>
  <c r="P21" i="10" s="1"/>
  <c r="O21" i="10" s="1"/>
  <c r="N21" i="10" s="1"/>
  <c r="M21" i="10" s="1"/>
  <c r="P70" i="5"/>
  <c r="Q70" i="5"/>
  <c r="K70" i="5"/>
  <c r="O43" i="5"/>
  <c r="O44" i="5"/>
  <c r="O45" i="5"/>
  <c r="Z45" i="5"/>
  <c r="Z44" i="5"/>
  <c r="Z43" i="5"/>
  <c r="P45" i="5"/>
  <c r="P44" i="5"/>
  <c r="P43" i="5"/>
  <c r="N96" i="5"/>
  <c r="N103" i="5" s="1"/>
  <c r="O96" i="5"/>
  <c r="O103" i="5" s="1"/>
  <c r="P96" i="5"/>
  <c r="Q96" i="5"/>
  <c r="R96" i="5"/>
  <c r="S96" i="5"/>
  <c r="T96" i="5"/>
  <c r="U96" i="5"/>
  <c r="V96" i="5"/>
  <c r="N97" i="5"/>
  <c r="N102" i="5" s="1"/>
  <c r="O97" i="5"/>
  <c r="O102" i="5" s="1"/>
  <c r="P97" i="5"/>
  <c r="Q97" i="5"/>
  <c r="R97" i="5"/>
  <c r="S97" i="5"/>
  <c r="T97" i="5"/>
  <c r="U97" i="5"/>
  <c r="V97" i="5"/>
  <c r="N98" i="5"/>
  <c r="O98" i="5"/>
  <c r="P98" i="5"/>
  <c r="Q98" i="5"/>
  <c r="R98" i="5"/>
  <c r="S98" i="5"/>
  <c r="T98" i="5"/>
  <c r="U98" i="5"/>
  <c r="V98" i="5"/>
  <c r="O95" i="5"/>
  <c r="O101" i="5" s="1"/>
  <c r="P95" i="5"/>
  <c r="P101" i="5" s="1"/>
  <c r="Q95" i="5"/>
  <c r="R95" i="5"/>
  <c r="S95" i="5"/>
  <c r="T95" i="5"/>
  <c r="U95" i="5"/>
  <c r="V95" i="5"/>
  <c r="N95" i="5"/>
  <c r="N101" i="5" s="1"/>
  <c r="L65" i="5"/>
  <c r="N5" i="10" s="1"/>
  <c r="M65" i="5"/>
  <c r="O5" i="10" s="1"/>
  <c r="N65" i="5"/>
  <c r="P5" i="10" s="1"/>
  <c r="O65" i="5"/>
  <c r="Q5" i="10" s="1"/>
  <c r="P65" i="5"/>
  <c r="R5" i="10" s="1"/>
  <c r="Q65" i="5"/>
  <c r="K65" i="5"/>
  <c r="M5" i="10" s="1"/>
  <c r="L64" i="5"/>
  <c r="N4" i="10" s="1"/>
  <c r="M64" i="5"/>
  <c r="O4" i="10" s="1"/>
  <c r="N64" i="5"/>
  <c r="P4" i="10" s="1"/>
  <c r="O64" i="5"/>
  <c r="Q4" i="10" s="1"/>
  <c r="P64" i="5"/>
  <c r="R4" i="10" s="1"/>
  <c r="Q64" i="5"/>
  <c r="K64" i="5"/>
  <c r="M4" i="10" s="1"/>
  <c r="L63" i="5"/>
  <c r="N3" i="10" s="1"/>
  <c r="M63" i="5"/>
  <c r="O3" i="10" s="1"/>
  <c r="N63" i="5"/>
  <c r="P3" i="10" s="1"/>
  <c r="O63" i="5"/>
  <c r="Q3" i="10" s="1"/>
  <c r="P63" i="5"/>
  <c r="R3" i="10" s="1"/>
  <c r="Q63" i="5"/>
  <c r="K63" i="5"/>
  <c r="M3" i="10" s="1"/>
  <c r="Q62" i="5"/>
  <c r="P62" i="5"/>
  <c r="L62" i="5"/>
  <c r="M62" i="5"/>
  <c r="N62" i="5"/>
  <c r="O62" i="5"/>
  <c r="K62" i="5"/>
  <c r="N104" i="2"/>
  <c r="O104" i="2"/>
  <c r="P104" i="2"/>
  <c r="Q104" i="2"/>
  <c r="R104" i="2"/>
  <c r="S104" i="2"/>
  <c r="M104" i="2"/>
  <c r="M99" i="2"/>
  <c r="N99" i="2"/>
  <c r="O99" i="2"/>
  <c r="P99" i="2"/>
  <c r="Q99" i="2"/>
  <c r="R99" i="2"/>
  <c r="S99" i="2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N98" i="2"/>
  <c r="O98" i="2"/>
  <c r="P98" i="2"/>
  <c r="Q98" i="2"/>
  <c r="R98" i="2"/>
  <c r="S98" i="2"/>
  <c r="M98" i="2"/>
  <c r="R56" i="2"/>
  <c r="A103" i="2"/>
  <c r="A99" i="2"/>
  <c r="A100" i="2"/>
  <c r="A101" i="2"/>
  <c r="A102" i="2"/>
  <c r="A98" i="2"/>
  <c r="R96" i="2"/>
  <c r="R9" i="9" s="1"/>
  <c r="R95" i="2"/>
  <c r="R94" i="2"/>
  <c r="N133" i="2"/>
  <c r="O133" i="2"/>
  <c r="P133" i="2"/>
  <c r="Q133" i="2"/>
  <c r="R133" i="2"/>
  <c r="N134" i="2"/>
  <c r="O134" i="2"/>
  <c r="P134" i="2"/>
  <c r="Q134" i="2"/>
  <c r="R134" i="2"/>
  <c r="N135" i="2"/>
  <c r="O135" i="2"/>
  <c r="P135" i="2"/>
  <c r="Q135" i="2"/>
  <c r="R135" i="2"/>
  <c r="M134" i="2"/>
  <c r="M135" i="2"/>
  <c r="M133" i="2"/>
  <c r="A134" i="2"/>
  <c r="A135" i="2"/>
  <c r="A133" i="2"/>
  <c r="A132" i="2"/>
  <c r="M128" i="2"/>
  <c r="N128" i="2"/>
  <c r="O128" i="2"/>
  <c r="P128" i="2"/>
  <c r="Q128" i="2"/>
  <c r="R128" i="2"/>
  <c r="M129" i="2"/>
  <c r="N129" i="2"/>
  <c r="O129" i="2"/>
  <c r="P129" i="2"/>
  <c r="Q129" i="2"/>
  <c r="R129" i="2"/>
  <c r="M130" i="2"/>
  <c r="N130" i="2"/>
  <c r="O130" i="2"/>
  <c r="P130" i="2"/>
  <c r="Q130" i="2"/>
  <c r="R130" i="2"/>
  <c r="N127" i="2"/>
  <c r="O127" i="2"/>
  <c r="P127" i="2"/>
  <c r="Q127" i="2"/>
  <c r="R127" i="2"/>
  <c r="M127" i="2"/>
  <c r="A130" i="2"/>
  <c r="A129" i="2"/>
  <c r="A127" i="2"/>
  <c r="A128" i="2"/>
  <c r="A126" i="2"/>
  <c r="B5" i="3"/>
  <c r="D139" i="2"/>
  <c r="E139" i="2" s="1"/>
  <c r="F139" i="2" s="1"/>
  <c r="G139" i="2" s="1"/>
  <c r="H139" i="2" s="1"/>
  <c r="I139" i="2" s="1"/>
  <c r="J139" i="2" s="1"/>
  <c r="K139" i="2" s="1"/>
  <c r="L139" i="2" s="1"/>
  <c r="M139" i="2" s="1"/>
  <c r="N139" i="2" s="1"/>
  <c r="O139" i="2" s="1"/>
  <c r="P139" i="2" s="1"/>
  <c r="Q139" i="2" s="1"/>
  <c r="R139" i="2" s="1"/>
  <c r="S139" i="2" s="1"/>
  <c r="T139" i="2" s="1"/>
  <c r="U139" i="2" s="1"/>
  <c r="V139" i="2" s="1"/>
  <c r="W139" i="2" s="1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R158" i="2"/>
  <c r="R166" i="2" s="1"/>
  <c r="R159" i="2"/>
  <c r="R167" i="2" s="1"/>
  <c r="W159" i="2"/>
  <c r="W167" i="2" s="1"/>
  <c r="AU30" i="8"/>
  <c r="M162" i="2"/>
  <c r="N162" i="2"/>
  <c r="O162" i="2"/>
  <c r="P162" i="2"/>
  <c r="Q162" i="2"/>
  <c r="AU37" i="8"/>
  <c r="M163" i="2"/>
  <c r="N163" i="2"/>
  <c r="O163" i="2"/>
  <c r="P163" i="2"/>
  <c r="Q163" i="2"/>
  <c r="M176" i="2"/>
  <c r="N176" i="2"/>
  <c r="O176" i="2"/>
  <c r="P176" i="2"/>
  <c r="Q176" i="2"/>
  <c r="R176" i="2"/>
  <c r="S176" i="2"/>
  <c r="M177" i="2"/>
  <c r="N177" i="2"/>
  <c r="O177" i="2"/>
  <c r="P177" i="2"/>
  <c r="Q177" i="2"/>
  <c r="R177" i="2"/>
  <c r="S177" i="2"/>
  <c r="M178" i="2"/>
  <c r="N178" i="2"/>
  <c r="O178" i="2"/>
  <c r="P178" i="2"/>
  <c r="Q178" i="2"/>
  <c r="R178" i="2"/>
  <c r="S178" i="2"/>
  <c r="M179" i="2"/>
  <c r="N179" i="2"/>
  <c r="O179" i="2"/>
  <c r="P179" i="2"/>
  <c r="Q179" i="2"/>
  <c r="R179" i="2"/>
  <c r="S179" i="2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T181" i="2"/>
  <c r="M182" i="2"/>
  <c r="N182" i="2"/>
  <c r="O182" i="2"/>
  <c r="P182" i="2"/>
  <c r="Q182" i="2"/>
  <c r="R182" i="2"/>
  <c r="S182" i="2"/>
  <c r="M184" i="2"/>
  <c r="N184" i="2"/>
  <c r="O184" i="2"/>
  <c r="P184" i="2"/>
  <c r="Q184" i="2"/>
  <c r="R184" i="2"/>
  <c r="S184" i="2"/>
  <c r="T184" i="2"/>
  <c r="U184" i="2"/>
  <c r="M185" i="2"/>
  <c r="N185" i="2"/>
  <c r="O185" i="2"/>
  <c r="P185" i="2"/>
  <c r="Q185" i="2"/>
  <c r="R185" i="2"/>
  <c r="S185" i="2"/>
  <c r="T185" i="2"/>
  <c r="U185" i="2"/>
  <c r="M186" i="2"/>
  <c r="N186" i="2"/>
  <c r="O186" i="2"/>
  <c r="P186" i="2"/>
  <c r="Q186" i="2"/>
  <c r="R186" i="2"/>
  <c r="S186" i="2"/>
  <c r="T186" i="2"/>
  <c r="U186" i="2"/>
  <c r="M187" i="2"/>
  <c r="N187" i="2"/>
  <c r="O187" i="2"/>
  <c r="P187" i="2"/>
  <c r="Q187" i="2"/>
  <c r="R187" i="2"/>
  <c r="S187" i="2"/>
  <c r="T187" i="2"/>
  <c r="U187" i="2"/>
  <c r="M188" i="2"/>
  <c r="N188" i="2"/>
  <c r="O188" i="2"/>
  <c r="P188" i="2"/>
  <c r="Q188" i="2"/>
  <c r="R188" i="2"/>
  <c r="S188" i="2"/>
  <c r="T188" i="2"/>
  <c r="U188" i="2"/>
  <c r="M189" i="2"/>
  <c r="N189" i="2"/>
  <c r="O189" i="2"/>
  <c r="P189" i="2"/>
  <c r="Q189" i="2"/>
  <c r="R189" i="2"/>
  <c r="S189" i="2"/>
  <c r="T189" i="2"/>
  <c r="U189" i="2"/>
  <c r="M190" i="2"/>
  <c r="N190" i="2"/>
  <c r="O190" i="2"/>
  <c r="P190" i="2"/>
  <c r="Q190" i="2"/>
  <c r="R190" i="2"/>
  <c r="S190" i="2"/>
  <c r="T190" i="2"/>
  <c r="U190" i="2"/>
  <c r="AV64" i="2"/>
  <c r="AV63" i="2"/>
  <c r="AV62" i="2"/>
  <c r="AB64" i="2"/>
  <c r="AB63" i="2"/>
  <c r="AB62" i="2"/>
  <c r="R64" i="2"/>
  <c r="R63" i="2"/>
  <c r="R62" i="2"/>
  <c r="AV51" i="2"/>
  <c r="AV50" i="2"/>
  <c r="AV49" i="2"/>
  <c r="AB51" i="2"/>
  <c r="AB50" i="2"/>
  <c r="AB49" i="2"/>
  <c r="R51" i="2"/>
  <c r="R50" i="2"/>
  <c r="R49" i="2"/>
  <c r="P103" i="5" l="1"/>
  <c r="R8" i="10" s="1"/>
  <c r="P102" i="5"/>
  <c r="R7" i="10" s="1"/>
  <c r="L23" i="10"/>
  <c r="N31" i="10"/>
  <c r="S2" i="10"/>
  <c r="R30" i="10"/>
  <c r="N30" i="10"/>
  <c r="O32" i="10"/>
  <c r="N32" i="10"/>
  <c r="L21" i="10"/>
  <c r="L22" i="10"/>
  <c r="Q31" i="10"/>
  <c r="T72" i="5"/>
  <c r="Q30" i="10"/>
  <c r="R25" i="4"/>
  <c r="Q25" i="4"/>
  <c r="P32" i="10"/>
  <c r="O31" i="10"/>
  <c r="O30" i="10"/>
  <c r="Q32" i="10"/>
  <c r="R15" i="10"/>
  <c r="P17" i="4"/>
  <c r="P25" i="4"/>
  <c r="E9" i="9"/>
  <c r="E68" i="9" s="1"/>
  <c r="I8" i="9"/>
  <c r="I67" i="9" s="1"/>
  <c r="AU38" i="8"/>
  <c r="AU39" i="8"/>
  <c r="AU25" i="8"/>
  <c r="AU28" i="8"/>
  <c r="AU22" i="8"/>
  <c r="R199" i="2"/>
  <c r="R15" i="9" s="1"/>
  <c r="R198" i="2"/>
  <c r="R14" i="9" s="1"/>
  <c r="R193" i="2"/>
  <c r="R10" i="9" s="1"/>
  <c r="R197" i="2"/>
  <c r="R13" i="9" s="1"/>
  <c r="O150" i="2"/>
  <c r="I150" i="2"/>
  <c r="J150" i="2"/>
  <c r="H150" i="2"/>
  <c r="G150" i="2"/>
  <c r="D150" i="2"/>
  <c r="L150" i="2"/>
  <c r="K150" i="2"/>
  <c r="N150" i="2"/>
  <c r="F150" i="2"/>
  <c r="E150" i="2"/>
  <c r="M150" i="2"/>
  <c r="Q13" i="9" l="1"/>
  <c r="R22" i="9"/>
  <c r="Q15" i="9"/>
  <c r="R16" i="10"/>
  <c r="R19" i="10" s="1"/>
  <c r="R10" i="10" s="1"/>
  <c r="Q7" i="10"/>
  <c r="R17" i="10"/>
  <c r="S17" i="10" s="1"/>
  <c r="Q8" i="10"/>
  <c r="S30" i="10"/>
  <c r="R32" i="10"/>
  <c r="M32" i="10"/>
  <c r="P30" i="10"/>
  <c r="M30" i="10"/>
  <c r="K22" i="10"/>
  <c r="P31" i="10"/>
  <c r="K21" i="10"/>
  <c r="K23" i="10"/>
  <c r="R31" i="10"/>
  <c r="M31" i="10"/>
  <c r="R32" i="9"/>
  <c r="P15" i="10"/>
  <c r="S15" i="10"/>
  <c r="R18" i="10"/>
  <c r="R9" i="10" s="1"/>
  <c r="R12" i="10"/>
  <c r="S12" i="10" s="1"/>
  <c r="R31" i="9"/>
  <c r="J67" i="9"/>
  <c r="R33" i="9"/>
  <c r="Q14" i="9"/>
  <c r="R23" i="9"/>
  <c r="Q31" i="9"/>
  <c r="R49" i="9"/>
  <c r="F9" i="9"/>
  <c r="F68" i="9" s="1"/>
  <c r="AB58" i="2"/>
  <c r="AB56" i="2"/>
  <c r="R58" i="2"/>
  <c r="R195" i="2" s="1"/>
  <c r="R12" i="9" s="1"/>
  <c r="AV43" i="2"/>
  <c r="AV56" i="2"/>
  <c r="AV58" i="2"/>
  <c r="AB43" i="2"/>
  <c r="R20" i="10" l="1"/>
  <c r="R11" i="10" s="1"/>
  <c r="P8" i="10"/>
  <c r="O8" i="10" s="1"/>
  <c r="P7" i="10"/>
  <c r="P14" i="9"/>
  <c r="P15" i="9"/>
  <c r="R13" i="10"/>
  <c r="S13" i="10" s="1"/>
  <c r="S16" i="10"/>
  <c r="R14" i="10"/>
  <c r="S14" i="10" s="1"/>
  <c r="P13" i="9"/>
  <c r="Q16" i="10"/>
  <c r="Q13" i="10" s="1"/>
  <c r="Q17" i="10"/>
  <c r="Q14" i="10" s="1"/>
  <c r="J22" i="10"/>
  <c r="D31" i="10"/>
  <c r="E32" i="10"/>
  <c r="J23" i="10"/>
  <c r="S31" i="10"/>
  <c r="S32" i="10"/>
  <c r="J21" i="10"/>
  <c r="T6" i="9"/>
  <c r="P12" i="10"/>
  <c r="P18" i="10"/>
  <c r="P9" i="10" s="1"/>
  <c r="O15" i="10"/>
  <c r="P17" i="10"/>
  <c r="Q32" i="9"/>
  <c r="Q33" i="9"/>
  <c r="Q12" i="9"/>
  <c r="R24" i="9"/>
  <c r="U30" i="9" s="1"/>
  <c r="T2" i="9"/>
  <c r="R48" i="9"/>
  <c r="K8" i="9"/>
  <c r="K67" i="9" s="1"/>
  <c r="G9" i="9"/>
  <c r="G68" i="9" s="1"/>
  <c r="R57" i="2"/>
  <c r="R194" i="2" s="1"/>
  <c r="R11" i="9" s="1"/>
  <c r="AB57" i="2"/>
  <c r="AV57" i="2"/>
  <c r="Q19" i="10" l="1"/>
  <c r="Q10" i="10" s="1"/>
  <c r="P16" i="10"/>
  <c r="P32" i="9"/>
  <c r="O7" i="10"/>
  <c r="N7" i="10" s="1"/>
  <c r="O13" i="9"/>
  <c r="O31" i="9" s="1"/>
  <c r="Q20" i="10"/>
  <c r="Q11" i="10" s="1"/>
  <c r="O15" i="9"/>
  <c r="O14" i="9"/>
  <c r="P31" i="9"/>
  <c r="Q11" i="9"/>
  <c r="P12" i="9"/>
  <c r="I23" i="10"/>
  <c r="F32" i="10"/>
  <c r="I21" i="10"/>
  <c r="I22" i="10"/>
  <c r="T5" i="9"/>
  <c r="T4" i="9"/>
  <c r="O16" i="10"/>
  <c r="P20" i="10"/>
  <c r="P11" i="10" s="1"/>
  <c r="P14" i="10"/>
  <c r="N15" i="10"/>
  <c r="N8" i="10"/>
  <c r="O17" i="10"/>
  <c r="O12" i="10"/>
  <c r="O18" i="10"/>
  <c r="O9" i="10" s="1"/>
  <c r="P19" i="10"/>
  <c r="P10" i="10" s="1"/>
  <c r="P13" i="10"/>
  <c r="P33" i="9"/>
  <c r="H9" i="9"/>
  <c r="H68" i="9" s="1"/>
  <c r="L8" i="9"/>
  <c r="L67" i="9" s="1"/>
  <c r="R43" i="2"/>
  <c r="AB45" i="2"/>
  <c r="R45" i="2"/>
  <c r="R44" i="2"/>
  <c r="AV44" i="2"/>
  <c r="O32" i="9" l="1"/>
  <c r="O12" i="9"/>
  <c r="N14" i="9"/>
  <c r="P11" i="9"/>
  <c r="N15" i="9"/>
  <c r="N13" i="9"/>
  <c r="H21" i="10"/>
  <c r="H22" i="10"/>
  <c r="G32" i="10"/>
  <c r="H23" i="10"/>
  <c r="O20" i="10"/>
  <c r="O11" i="10" s="1"/>
  <c r="O14" i="10"/>
  <c r="M8" i="10"/>
  <c r="N17" i="10"/>
  <c r="O13" i="10"/>
  <c r="O19" i="10"/>
  <c r="O10" i="10" s="1"/>
  <c r="N18" i="10"/>
  <c r="N9" i="10" s="1"/>
  <c r="N12" i="10"/>
  <c r="M7" i="10"/>
  <c r="N16" i="10"/>
  <c r="M15" i="10"/>
  <c r="M8" i="9"/>
  <c r="M67" i="9" s="1"/>
  <c r="N32" i="9"/>
  <c r="I9" i="9"/>
  <c r="I68" i="9" s="1"/>
  <c r="O33" i="9"/>
  <c r="AB44" i="2"/>
  <c r="AV45" i="2"/>
  <c r="AX43" i="2" s="1"/>
  <c r="N31" i="9" l="1"/>
  <c r="M15" i="9"/>
  <c r="O11" i="9"/>
  <c r="M14" i="9"/>
  <c r="M13" i="9"/>
  <c r="N12" i="9"/>
  <c r="H32" i="10"/>
  <c r="G22" i="10"/>
  <c r="G21" i="10"/>
  <c r="G23" i="10"/>
  <c r="L8" i="10"/>
  <c r="M17" i="10"/>
  <c r="M16" i="10"/>
  <c r="L7" i="10"/>
  <c r="N13" i="10"/>
  <c r="N19" i="10"/>
  <c r="N10" i="10" s="1"/>
  <c r="N14" i="10"/>
  <c r="N20" i="10"/>
  <c r="N11" i="10" s="1"/>
  <c r="M12" i="10"/>
  <c r="M18" i="10"/>
  <c r="M9" i="10" s="1"/>
  <c r="G5" i="10"/>
  <c r="N33" i="9"/>
  <c r="J68" i="9"/>
  <c r="N8" i="9"/>
  <c r="N67" i="9" s="1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S117" i="2"/>
  <c r="S124" i="2" s="1"/>
  <c r="T117" i="2"/>
  <c r="U117" i="2"/>
  <c r="U124" i="2" s="1"/>
  <c r="V117" i="2"/>
  <c r="V124" i="2" s="1"/>
  <c r="W117" i="2"/>
  <c r="X117" i="2"/>
  <c r="Y117" i="2"/>
  <c r="Z117" i="2"/>
  <c r="AA117" i="2"/>
  <c r="AB117" i="2"/>
  <c r="AC117" i="2"/>
  <c r="AC124" i="2" s="1"/>
  <c r="AD117" i="2"/>
  <c r="AE117" i="2"/>
  <c r="AE124" i="2" s="1"/>
  <c r="AF117" i="2"/>
  <c r="AF124" i="2" s="1"/>
  <c r="AG117" i="2"/>
  <c r="AG124" i="2" s="1"/>
  <c r="AH117" i="2"/>
  <c r="AI117" i="2"/>
  <c r="AJ117" i="2"/>
  <c r="AK117" i="2"/>
  <c r="AL117" i="2"/>
  <c r="AM117" i="2"/>
  <c r="AN117" i="2"/>
  <c r="AO117" i="2"/>
  <c r="AO124" i="2" s="1"/>
  <c r="AP117" i="2"/>
  <c r="AQ117" i="2"/>
  <c r="AQ124" i="2" s="1"/>
  <c r="AR117" i="2"/>
  <c r="AR124" i="2" s="1"/>
  <c r="AS117" i="2"/>
  <c r="AT117" i="2"/>
  <c r="AU117" i="2"/>
  <c r="AV117" i="2"/>
  <c r="S118" i="2"/>
  <c r="S119" i="2" s="1"/>
  <c r="T118" i="2"/>
  <c r="T119" i="2" s="1"/>
  <c r="U118" i="2"/>
  <c r="U119" i="2" s="1"/>
  <c r="V118" i="2"/>
  <c r="V119" i="2" s="1"/>
  <c r="W118" i="2"/>
  <c r="W119" i="2" s="1"/>
  <c r="X118" i="2"/>
  <c r="X119" i="2" s="1"/>
  <c r="Y118" i="2"/>
  <c r="Y119" i="2" s="1"/>
  <c r="Z118" i="2"/>
  <c r="Z119" i="2" s="1"/>
  <c r="AA118" i="2"/>
  <c r="AA119" i="2" s="1"/>
  <c r="AB118" i="2"/>
  <c r="AB119" i="2" s="1"/>
  <c r="AC118" i="2"/>
  <c r="AC119" i="2" s="1"/>
  <c r="AD118" i="2"/>
  <c r="AD119" i="2" s="1"/>
  <c r="AE118" i="2"/>
  <c r="AE119" i="2" s="1"/>
  <c r="AF118" i="2"/>
  <c r="AF119" i="2" s="1"/>
  <c r="AG118" i="2"/>
  <c r="AG119" i="2" s="1"/>
  <c r="AH118" i="2"/>
  <c r="AH119" i="2" s="1"/>
  <c r="AI118" i="2"/>
  <c r="AI119" i="2" s="1"/>
  <c r="AJ118" i="2"/>
  <c r="AJ119" i="2" s="1"/>
  <c r="AK118" i="2"/>
  <c r="AK119" i="2" s="1"/>
  <c r="AL118" i="2"/>
  <c r="AL119" i="2" s="1"/>
  <c r="AM118" i="2"/>
  <c r="AM119" i="2" s="1"/>
  <c r="AN118" i="2"/>
  <c r="AN119" i="2" s="1"/>
  <c r="AO118" i="2"/>
  <c r="AO119" i="2" s="1"/>
  <c r="AP118" i="2"/>
  <c r="AP119" i="2" s="1"/>
  <c r="AQ118" i="2"/>
  <c r="AQ119" i="2" s="1"/>
  <c r="AR118" i="2"/>
  <c r="AR119" i="2" s="1"/>
  <c r="AS118" i="2"/>
  <c r="AS119" i="2" s="1"/>
  <c r="AT118" i="2"/>
  <c r="AT119" i="2" s="1"/>
  <c r="AU118" i="2"/>
  <c r="AU119" i="2" s="1"/>
  <c r="AV118" i="2"/>
  <c r="AV119" i="2" s="1"/>
  <c r="R118" i="2"/>
  <c r="R117" i="2"/>
  <c r="R116" i="2"/>
  <c r="R115" i="2"/>
  <c r="R114" i="2"/>
  <c r="R113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U9" i="2"/>
  <c r="T9" i="2"/>
  <c r="S9" i="2"/>
  <c r="R9" i="2"/>
  <c r="Q2" i="4"/>
  <c r="C6" i="3"/>
  <c r="C5" i="3"/>
  <c r="C4" i="3"/>
  <c r="C3" i="3"/>
  <c r="C2" i="3"/>
  <c r="D6" i="3"/>
  <c r="D5" i="3"/>
  <c r="D4" i="3"/>
  <c r="D3" i="3"/>
  <c r="D2" i="3"/>
  <c r="R2" i="4"/>
  <c r="P2" i="4"/>
  <c r="M23" i="9" l="1"/>
  <c r="M31" i="9"/>
  <c r="M32" i="9"/>
  <c r="M12" i="9"/>
  <c r="L13" i="9"/>
  <c r="L14" i="9"/>
  <c r="N11" i="9"/>
  <c r="K7" i="10"/>
  <c r="L15" i="9"/>
  <c r="F23" i="10"/>
  <c r="F21" i="10"/>
  <c r="F22" i="10"/>
  <c r="I32" i="10"/>
  <c r="H5" i="10"/>
  <c r="AH124" i="2"/>
  <c r="M19" i="10"/>
  <c r="M10" i="10" s="1"/>
  <c r="M13" i="10"/>
  <c r="M14" i="10"/>
  <c r="M20" i="10"/>
  <c r="M11" i="10" s="1"/>
  <c r="K8" i="10"/>
  <c r="F5" i="10"/>
  <c r="N23" i="9"/>
  <c r="O8" i="9"/>
  <c r="O67" i="9" s="1"/>
  <c r="R51" i="9"/>
  <c r="R50" i="9"/>
  <c r="R52" i="9"/>
  <c r="K9" i="9"/>
  <c r="K68" i="9" s="1"/>
  <c r="M33" i="9"/>
  <c r="AS124" i="2"/>
  <c r="T124" i="2"/>
  <c r="AJ124" i="2"/>
  <c r="X124" i="2"/>
  <c r="X123" i="2"/>
  <c r="AJ123" i="2"/>
  <c r="AV123" i="2"/>
  <c r="AK123" i="2"/>
  <c r="Y123" i="2"/>
  <c r="U123" i="2"/>
  <c r="AG123" i="2"/>
  <c r="AS123" i="2"/>
  <c r="AQ120" i="2"/>
  <c r="S120" i="2"/>
  <c r="AD124" i="2"/>
  <c r="T120" i="2"/>
  <c r="AF120" i="2"/>
  <c r="AR120" i="2"/>
  <c r="S123" i="2"/>
  <c r="AE123" i="2"/>
  <c r="AQ123" i="2"/>
  <c r="AO120" i="2"/>
  <c r="AV124" i="2"/>
  <c r="AC123" i="2"/>
  <c r="AO123" i="2"/>
  <c r="AU120" i="2"/>
  <c r="AI120" i="2"/>
  <c r="W120" i="2"/>
  <c r="AB123" i="2"/>
  <c r="AN123" i="2"/>
  <c r="AC120" i="2"/>
  <c r="R123" i="2"/>
  <c r="AD123" i="2"/>
  <c r="AP123" i="2"/>
  <c r="AP120" i="2"/>
  <c r="AH123" i="2"/>
  <c r="Z123" i="2"/>
  <c r="AL123" i="2"/>
  <c r="V123" i="2"/>
  <c r="AT123" i="2"/>
  <c r="AS120" i="2"/>
  <c r="AG120" i="2"/>
  <c r="W123" i="2"/>
  <c r="AI123" i="2"/>
  <c r="AU123" i="2"/>
  <c r="U120" i="2"/>
  <c r="AE120" i="2"/>
  <c r="AM120" i="2"/>
  <c r="AL120" i="2"/>
  <c r="AT124" i="2"/>
  <c r="R124" i="2"/>
  <c r="AA123" i="2"/>
  <c r="AM123" i="2"/>
  <c r="AA120" i="2"/>
  <c r="Z120" i="2"/>
  <c r="V120" i="2"/>
  <c r="AT120" i="2"/>
  <c r="AN120" i="2"/>
  <c r="AB120" i="2"/>
  <c r="T123" i="2"/>
  <c r="AF123" i="2"/>
  <c r="AR123" i="2"/>
  <c r="AH120" i="2"/>
  <c r="AK120" i="2"/>
  <c r="Y120" i="2"/>
  <c r="AK124" i="2"/>
  <c r="Y124" i="2"/>
  <c r="D9" i="3"/>
  <c r="AU124" i="2"/>
  <c r="AI124" i="2"/>
  <c r="W124" i="2"/>
  <c r="AD120" i="2"/>
  <c r="C9" i="3"/>
  <c r="AV120" i="2"/>
  <c r="AJ120" i="2"/>
  <c r="X120" i="2"/>
  <c r="AP124" i="2"/>
  <c r="AN124" i="2"/>
  <c r="AB124" i="2"/>
  <c r="AM124" i="2"/>
  <c r="AA124" i="2"/>
  <c r="AL124" i="2"/>
  <c r="Z124" i="2"/>
  <c r="T9" i="9" l="1"/>
  <c r="T8" i="9"/>
  <c r="K15" i="9"/>
  <c r="K14" i="9"/>
  <c r="L23" i="9"/>
  <c r="K13" i="9"/>
  <c r="J7" i="10"/>
  <c r="M11" i="9"/>
  <c r="L12" i="9"/>
  <c r="J32" i="10"/>
  <c r="I5" i="10"/>
  <c r="E22" i="10"/>
  <c r="E21" i="10"/>
  <c r="E23" i="10"/>
  <c r="T7" i="9"/>
  <c r="J8" i="10"/>
  <c r="E5" i="10"/>
  <c r="O23" i="9"/>
  <c r="P8" i="9"/>
  <c r="P67" i="9" s="1"/>
  <c r="L9" i="9"/>
  <c r="L68" i="9" s="1"/>
  <c r="AT34" i="5"/>
  <c r="G46" i="7"/>
  <c r="G45" i="7"/>
  <c r="AW31" i="7"/>
  <c r="G50" i="7"/>
  <c r="G51" i="7"/>
  <c r="G49" i="7"/>
  <c r="B50" i="7"/>
  <c r="B51" i="7"/>
  <c r="B49" i="7"/>
  <c r="G43" i="7"/>
  <c r="G44" i="7"/>
  <c r="G42" i="7"/>
  <c r="F43" i="7"/>
  <c r="F44" i="7"/>
  <c r="F42" i="7"/>
  <c r="G47" i="7"/>
  <c r="B38" i="7"/>
  <c r="G35" i="7"/>
  <c r="G40" i="7"/>
  <c r="I32" i="7"/>
  <c r="I35" i="7"/>
  <c r="J32" i="7" s="1"/>
  <c r="H32" i="7"/>
  <c r="H33" i="7"/>
  <c r="H34" i="7"/>
  <c r="G36" i="7"/>
  <c r="H36" i="7" s="1"/>
  <c r="G37" i="7"/>
  <c r="H37" i="7" s="1"/>
  <c r="B37" i="7"/>
  <c r="B47" i="7" s="1"/>
  <c r="B35" i="7"/>
  <c r="B45" i="7" s="1"/>
  <c r="B36" i="7"/>
  <c r="B46" i="7" s="1"/>
  <c r="AW30" i="7"/>
  <c r="AX26" i="7"/>
  <c r="AX21" i="7"/>
  <c r="AX16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2" i="7"/>
  <c r="P5" i="4"/>
  <c r="I7" i="10" l="1"/>
  <c r="J14" i="9"/>
  <c r="K23" i="9"/>
  <c r="L11" i="9"/>
  <c r="J13" i="9"/>
  <c r="K12" i="9"/>
  <c r="J15" i="9"/>
  <c r="D23" i="10"/>
  <c r="D21" i="10"/>
  <c r="D22" i="10"/>
  <c r="K32" i="10"/>
  <c r="J5" i="10"/>
  <c r="J17" i="10" s="1"/>
  <c r="I8" i="10"/>
  <c r="C2" i="10"/>
  <c r="D5" i="10"/>
  <c r="CR37" i="10"/>
  <c r="AU112" i="8"/>
  <c r="C6" i="10"/>
  <c r="AU116" i="8"/>
  <c r="L24" i="9"/>
  <c r="M9" i="9"/>
  <c r="M68" i="9" s="1"/>
  <c r="P23" i="9"/>
  <c r="Q8" i="9"/>
  <c r="H35" i="7"/>
  <c r="G41" i="7"/>
  <c r="I15" i="9" l="1"/>
  <c r="J12" i="9"/>
  <c r="K24" i="9"/>
  <c r="I13" i="9"/>
  <c r="I14" i="9"/>
  <c r="J23" i="9"/>
  <c r="K11" i="9"/>
  <c r="H7" i="10"/>
  <c r="L32" i="10"/>
  <c r="K5" i="10"/>
  <c r="K17" i="10" s="1"/>
  <c r="AU132" i="8"/>
  <c r="AU131" i="8"/>
  <c r="AU133" i="8"/>
  <c r="J14" i="10"/>
  <c r="J20" i="10"/>
  <c r="J11" i="10" s="1"/>
  <c r="H8" i="10"/>
  <c r="I17" i="10"/>
  <c r="C5" i="10"/>
  <c r="D45" i="10" s="1"/>
  <c r="AU115" i="8"/>
  <c r="Q67" i="9"/>
  <c r="R67" i="9"/>
  <c r="Q23" i="9"/>
  <c r="M24" i="9"/>
  <c r="N9" i="9"/>
  <c r="N68" i="9" s="1"/>
  <c r="G38" i="7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V35" i="2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P26" i="5"/>
  <c r="P27" i="5"/>
  <c r="P25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P35" i="5"/>
  <c r="P36" i="5"/>
  <c r="P34" i="5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R25" i="2"/>
  <c r="AV34" i="2"/>
  <c r="AT45" i="5"/>
  <c r="AT44" i="5"/>
  <c r="AT43" i="5"/>
  <c r="J11" i="9" l="1"/>
  <c r="H14" i="9"/>
  <c r="I23" i="9"/>
  <c r="H13" i="9"/>
  <c r="I12" i="9"/>
  <c r="J24" i="9"/>
  <c r="G7" i="10"/>
  <c r="H15" i="9"/>
  <c r="K14" i="10"/>
  <c r="K20" i="10"/>
  <c r="K11" i="10" s="1"/>
  <c r="L5" i="10"/>
  <c r="L17" i="10" s="1"/>
  <c r="G8" i="10"/>
  <c r="H17" i="10"/>
  <c r="I14" i="10"/>
  <c r="I20" i="10"/>
  <c r="I11" i="10" s="1"/>
  <c r="N24" i="9"/>
  <c r="O9" i="9"/>
  <c r="O68" i="9" s="1"/>
  <c r="N7" i="9"/>
  <c r="N50" i="9" s="1"/>
  <c r="AV44" i="5"/>
  <c r="AV45" i="5"/>
  <c r="AV43" i="5"/>
  <c r="AW43" i="2"/>
  <c r="U38" i="2"/>
  <c r="AT40" i="2"/>
  <c r="AH40" i="2"/>
  <c r="AV31" i="2"/>
  <c r="AI40" i="2"/>
  <c r="AC39" i="2"/>
  <c r="V40" i="2"/>
  <c r="AV29" i="2"/>
  <c r="AU38" i="2"/>
  <c r="AN39" i="2"/>
  <c r="AB39" i="2"/>
  <c r="AT38" i="2"/>
  <c r="V38" i="2"/>
  <c r="AG38" i="2"/>
  <c r="AK40" i="2"/>
  <c r="AQ38" i="2"/>
  <c r="AE38" i="2"/>
  <c r="S40" i="2"/>
  <c r="AP38" i="2"/>
  <c r="AD38" i="2"/>
  <c r="R40" i="2"/>
  <c r="AU40" i="2"/>
  <c r="AW34" i="2"/>
  <c r="AH38" i="2"/>
  <c r="U40" i="2"/>
  <c r="AV39" i="2"/>
  <c r="AP31" i="2"/>
  <c r="AD31" i="2"/>
  <c r="X30" i="2"/>
  <c r="AP29" i="2"/>
  <c r="W40" i="2"/>
  <c r="AI38" i="2"/>
  <c r="Y38" i="2"/>
  <c r="AI29" i="2"/>
  <c r="AJ31" i="2"/>
  <c r="AU31" i="2"/>
  <c r="AI31" i="2"/>
  <c r="AO30" i="2"/>
  <c r="AC30" i="2"/>
  <c r="AU29" i="2"/>
  <c r="W29" i="2"/>
  <c r="AS40" i="2"/>
  <c r="AG40" i="2"/>
  <c r="AM38" i="2"/>
  <c r="AA38" i="2"/>
  <c r="AQ31" i="2"/>
  <c r="AE31" i="2"/>
  <c r="Y30" i="2"/>
  <c r="AQ29" i="2"/>
  <c r="S31" i="2"/>
  <c r="AK39" i="2"/>
  <c r="AG31" i="2"/>
  <c r="AK30" i="2"/>
  <c r="AR29" i="2"/>
  <c r="AV38" i="2"/>
  <c r="AL31" i="2"/>
  <c r="Z31" i="2"/>
  <c r="AR30" i="2"/>
  <c r="AF30" i="2"/>
  <c r="T30" i="2"/>
  <c r="AL29" i="2"/>
  <c r="Z29" i="2"/>
  <c r="AN40" i="2"/>
  <c r="AB40" i="2"/>
  <c r="AT39" i="2"/>
  <c r="AH39" i="2"/>
  <c r="V39" i="2"/>
  <c r="R29" i="2"/>
  <c r="AK31" i="2"/>
  <c r="Y31" i="2"/>
  <c r="AQ30" i="2"/>
  <c r="AE30" i="2"/>
  <c r="S30" i="2"/>
  <c r="AK29" i="2"/>
  <c r="Y29" i="2"/>
  <c r="AM39" i="2"/>
  <c r="U29" i="2"/>
  <c r="AF29" i="2"/>
  <c r="AS38" i="2"/>
  <c r="AG39" i="2"/>
  <c r="X29" i="2"/>
  <c r="AV40" i="2"/>
  <c r="AJ40" i="2"/>
  <c r="X40" i="2"/>
  <c r="AG29" i="2"/>
  <c r="Z30" i="2"/>
  <c r="AV30" i="2"/>
  <c r="X31" i="2"/>
  <c r="AD30" i="2"/>
  <c r="AJ29" i="2"/>
  <c r="AE29" i="2"/>
  <c r="AD29" i="2"/>
  <c r="AO31" i="2"/>
  <c r="AC31" i="2"/>
  <c r="AU30" i="2"/>
  <c r="AI30" i="2"/>
  <c r="W30" i="2"/>
  <c r="AO29" i="2"/>
  <c r="AC29" i="2"/>
  <c r="W31" i="2"/>
  <c r="AS31" i="2"/>
  <c r="AM30" i="2"/>
  <c r="AS29" i="2"/>
  <c r="S29" i="2"/>
  <c r="AF31" i="2"/>
  <c r="T29" i="2"/>
  <c r="AP30" i="2"/>
  <c r="U31" i="2"/>
  <c r="AA30" i="2"/>
  <c r="AR31" i="2"/>
  <c r="T31" i="2"/>
  <c r="AL30" i="2"/>
  <c r="AJ30" i="2"/>
  <c r="AO40" i="2"/>
  <c r="AC40" i="2"/>
  <c r="AU39" i="2"/>
  <c r="AI39" i="2"/>
  <c r="W39" i="2"/>
  <c r="AO38" i="2"/>
  <c r="AC38" i="2"/>
  <c r="AT31" i="2"/>
  <c r="AH31" i="2"/>
  <c r="V31" i="2"/>
  <c r="AN30" i="2"/>
  <c r="AB30" i="2"/>
  <c r="AT29" i="2"/>
  <c r="AH29" i="2"/>
  <c r="V29" i="2"/>
  <c r="AN38" i="2"/>
  <c r="AB38" i="2"/>
  <c r="AL40" i="2"/>
  <c r="Z40" i="2"/>
  <c r="AR38" i="2"/>
  <c r="AF40" i="2"/>
  <c r="T39" i="2"/>
  <c r="AL39" i="2"/>
  <c r="Z39" i="2"/>
  <c r="AO39" i="2"/>
  <c r="W38" i="2"/>
  <c r="AJ39" i="2"/>
  <c r="AN31" i="2"/>
  <c r="AB31" i="2"/>
  <c r="AT30" i="2"/>
  <c r="AH30" i="2"/>
  <c r="V30" i="2"/>
  <c r="AN29" i="2"/>
  <c r="AB29" i="2"/>
  <c r="AM29" i="2"/>
  <c r="X39" i="2"/>
  <c r="AM31" i="2"/>
  <c r="AA31" i="2"/>
  <c r="AS30" i="2"/>
  <c r="AG30" i="2"/>
  <c r="U30" i="2"/>
  <c r="AA29" i="2"/>
  <c r="AS39" i="2"/>
  <c r="U39" i="2"/>
  <c r="Y40" i="2"/>
  <c r="AA39" i="2"/>
  <c r="T40" i="2"/>
  <c r="T38" i="2"/>
  <c r="Y39" i="2"/>
  <c r="AR39" i="2"/>
  <c r="AF39" i="2"/>
  <c r="AL38" i="2"/>
  <c r="Z38" i="2"/>
  <c r="AQ39" i="2"/>
  <c r="AE39" i="2"/>
  <c r="S39" i="2"/>
  <c r="AK38" i="2"/>
  <c r="AP39" i="2"/>
  <c r="AD39" i="2"/>
  <c r="R39" i="2"/>
  <c r="AJ38" i="2"/>
  <c r="X38" i="2"/>
  <c r="AR40" i="2"/>
  <c r="AQ40" i="2"/>
  <c r="S38" i="2"/>
  <c r="R38" i="2"/>
  <c r="AF38" i="2"/>
  <c r="AE40" i="2"/>
  <c r="AP40" i="2"/>
  <c r="AD40" i="2"/>
  <c r="AM40" i="2"/>
  <c r="AA40" i="2"/>
  <c r="AX45" i="2"/>
  <c r="AX44" i="2"/>
  <c r="F7" i="10" l="1"/>
  <c r="H12" i="9"/>
  <c r="I24" i="9"/>
  <c r="G13" i="9"/>
  <c r="H23" i="9"/>
  <c r="G14" i="9"/>
  <c r="G15" i="9"/>
  <c r="I11" i="9"/>
  <c r="L20" i="10"/>
  <c r="L11" i="10" s="1"/>
  <c r="L14" i="10"/>
  <c r="H20" i="10"/>
  <c r="H11" i="10" s="1"/>
  <c r="H14" i="10"/>
  <c r="F8" i="10"/>
  <c r="G17" i="10"/>
  <c r="O24" i="9"/>
  <c r="P9" i="9"/>
  <c r="P68" i="9" s="1"/>
  <c r="O7" i="9"/>
  <c r="M7" i="9"/>
  <c r="M50" i="9" s="1"/>
  <c r="B29" i="3"/>
  <c r="O66" i="9" l="1"/>
  <c r="O50" i="9"/>
  <c r="G23" i="9"/>
  <c r="F14" i="9"/>
  <c r="G12" i="9"/>
  <c r="H24" i="9"/>
  <c r="F15" i="9"/>
  <c r="F13" i="9"/>
  <c r="H11" i="9"/>
  <c r="E7" i="10"/>
  <c r="E8" i="10"/>
  <c r="F17" i="10"/>
  <c r="G14" i="10"/>
  <c r="G20" i="10"/>
  <c r="G11" i="10" s="1"/>
  <c r="N66" i="9"/>
  <c r="L7" i="9"/>
  <c r="Q9" i="9"/>
  <c r="P24" i="9"/>
  <c r="P7" i="9"/>
  <c r="P8" i="4"/>
  <c r="P7" i="4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Q86" i="5"/>
  <c r="Q79" i="5" s="1"/>
  <c r="R86" i="5"/>
  <c r="R79" i="5" s="1"/>
  <c r="S86" i="5"/>
  <c r="S79" i="5" s="1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Q87" i="5"/>
  <c r="Q88" i="5" s="1"/>
  <c r="R87" i="5"/>
  <c r="R88" i="5" s="1"/>
  <c r="S87" i="5"/>
  <c r="S88" i="5" s="1"/>
  <c r="T87" i="5"/>
  <c r="T88" i="5" s="1"/>
  <c r="U87" i="5"/>
  <c r="U88" i="5" s="1"/>
  <c r="V87" i="5"/>
  <c r="V88" i="5" s="1"/>
  <c r="W87" i="5"/>
  <c r="W88" i="5" s="1"/>
  <c r="X87" i="5"/>
  <c r="X88" i="5" s="1"/>
  <c r="Y87" i="5"/>
  <c r="Y88" i="5" s="1"/>
  <c r="Z87" i="5"/>
  <c r="Z88" i="5" s="1"/>
  <c r="AA87" i="5"/>
  <c r="AA88" i="5" s="1"/>
  <c r="AB87" i="5"/>
  <c r="AB88" i="5" s="1"/>
  <c r="AC87" i="5"/>
  <c r="AC88" i="5" s="1"/>
  <c r="AD87" i="5"/>
  <c r="AD88" i="5" s="1"/>
  <c r="AE87" i="5"/>
  <c r="AE88" i="5" s="1"/>
  <c r="AF87" i="5"/>
  <c r="AF88" i="5" s="1"/>
  <c r="AG87" i="5"/>
  <c r="AG88" i="5" s="1"/>
  <c r="AH87" i="5"/>
  <c r="AH88" i="5" s="1"/>
  <c r="AI87" i="5"/>
  <c r="AI88" i="5" s="1"/>
  <c r="AJ87" i="5"/>
  <c r="AJ88" i="5" s="1"/>
  <c r="AK87" i="5"/>
  <c r="AK88" i="5" s="1"/>
  <c r="AL87" i="5"/>
  <c r="AL88" i="5" s="1"/>
  <c r="AM87" i="5"/>
  <c r="AM88" i="5" s="1"/>
  <c r="AN87" i="5"/>
  <c r="AN88" i="5" s="1"/>
  <c r="AO87" i="5"/>
  <c r="AO88" i="5" s="1"/>
  <c r="AP87" i="5"/>
  <c r="AP88" i="5" s="1"/>
  <c r="AQ87" i="5"/>
  <c r="AQ88" i="5" s="1"/>
  <c r="AR87" i="5"/>
  <c r="AR88" i="5" s="1"/>
  <c r="AS87" i="5"/>
  <c r="AS88" i="5" s="1"/>
  <c r="AT87" i="5"/>
  <c r="AT88" i="5" s="1"/>
  <c r="P76" i="5"/>
  <c r="P86" i="5"/>
  <c r="P87" i="5"/>
  <c r="P88" i="5" s="1"/>
  <c r="P77" i="5"/>
  <c r="P68" i="5"/>
  <c r="P67" i="5"/>
  <c r="P66" i="5"/>
  <c r="P60" i="5"/>
  <c r="P10" i="5"/>
  <c r="P83" i="5"/>
  <c r="P82" i="5"/>
  <c r="P80" i="5"/>
  <c r="P81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Q77" i="5"/>
  <c r="Q78" i="5" s="1"/>
  <c r="R77" i="5"/>
  <c r="R78" i="5" s="1"/>
  <c r="S77" i="5"/>
  <c r="S78" i="5" s="1"/>
  <c r="T77" i="5"/>
  <c r="T78" i="5" s="1"/>
  <c r="U77" i="5"/>
  <c r="U78" i="5" s="1"/>
  <c r="V77" i="5"/>
  <c r="V78" i="5" s="1"/>
  <c r="W77" i="5"/>
  <c r="W78" i="5" s="1"/>
  <c r="X77" i="5"/>
  <c r="X78" i="5" s="1"/>
  <c r="Y77" i="5"/>
  <c r="Y78" i="5" s="1"/>
  <c r="Z77" i="5"/>
  <c r="Z78" i="5" s="1"/>
  <c r="AA77" i="5"/>
  <c r="AA78" i="5" s="1"/>
  <c r="AB77" i="5"/>
  <c r="AB78" i="5" s="1"/>
  <c r="AC77" i="5"/>
  <c r="AC78" i="5" s="1"/>
  <c r="AD77" i="5"/>
  <c r="AD78" i="5" s="1"/>
  <c r="AE77" i="5"/>
  <c r="AE78" i="5" s="1"/>
  <c r="AF77" i="5"/>
  <c r="AF78" i="5" s="1"/>
  <c r="AG77" i="5"/>
  <c r="AG78" i="5" s="1"/>
  <c r="AH77" i="5"/>
  <c r="AH78" i="5" s="1"/>
  <c r="AI77" i="5"/>
  <c r="AI78" i="5" s="1"/>
  <c r="AJ77" i="5"/>
  <c r="AJ78" i="5" s="1"/>
  <c r="AK77" i="5"/>
  <c r="AK78" i="5" s="1"/>
  <c r="AL77" i="5"/>
  <c r="AL78" i="5" s="1"/>
  <c r="AM77" i="5"/>
  <c r="AM78" i="5" s="1"/>
  <c r="AN77" i="5"/>
  <c r="AN78" i="5" s="1"/>
  <c r="AO77" i="5"/>
  <c r="AO78" i="5" s="1"/>
  <c r="AP77" i="5"/>
  <c r="AP78" i="5" s="1"/>
  <c r="AQ77" i="5"/>
  <c r="AQ78" i="5" s="1"/>
  <c r="AR77" i="5"/>
  <c r="AR78" i="5" s="1"/>
  <c r="AS77" i="5"/>
  <c r="AS78" i="5" s="1"/>
  <c r="AT77" i="5"/>
  <c r="AT78" i="5" s="1"/>
  <c r="P6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P12" i="5"/>
  <c r="P11" i="5"/>
  <c r="Q9" i="5"/>
  <c r="R9" i="5"/>
  <c r="S9" i="5"/>
  <c r="P9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P59" i="5"/>
  <c r="AT56" i="5"/>
  <c r="AT55" i="5"/>
  <c r="AT54" i="5"/>
  <c r="AT51" i="5"/>
  <c r="AT50" i="5"/>
  <c r="AT49" i="5"/>
  <c r="P66" i="9" l="1"/>
  <c r="P50" i="9"/>
  <c r="M66" i="9"/>
  <c r="L50" i="9"/>
  <c r="G11" i="9"/>
  <c r="E13" i="9"/>
  <c r="E15" i="9"/>
  <c r="F12" i="9"/>
  <c r="G24" i="9"/>
  <c r="D7" i="10"/>
  <c r="E14" i="9"/>
  <c r="F23" i="9"/>
  <c r="AD79" i="5"/>
  <c r="AO79" i="5"/>
  <c r="AC79" i="5"/>
  <c r="D8" i="10"/>
  <c r="E17" i="10"/>
  <c r="F14" i="10"/>
  <c r="F20" i="10"/>
  <c r="F11" i="10" s="1"/>
  <c r="Q68" i="9"/>
  <c r="R68" i="9"/>
  <c r="C5" i="9"/>
  <c r="Q24" i="9"/>
  <c r="Q7" i="9"/>
  <c r="K7" i="9"/>
  <c r="AA79" i="5"/>
  <c r="AM79" i="5"/>
  <c r="AT79" i="5"/>
  <c r="AH79" i="5"/>
  <c r="V79" i="5"/>
  <c r="AE79" i="5"/>
  <c r="AK79" i="5"/>
  <c r="AI79" i="5"/>
  <c r="W79" i="5"/>
  <c r="AQ79" i="5"/>
  <c r="AP79" i="5"/>
  <c r="Y79" i="5"/>
  <c r="AL79" i="5"/>
  <c r="Z79" i="5"/>
  <c r="AS79" i="5"/>
  <c r="AG79" i="5"/>
  <c r="U79" i="5"/>
  <c r="AR79" i="5"/>
  <c r="AF79" i="5"/>
  <c r="T79" i="5"/>
  <c r="P79" i="5"/>
  <c r="AJ79" i="5"/>
  <c r="X79" i="5"/>
  <c r="P23" i="4"/>
  <c r="AN79" i="5"/>
  <c r="AB79" i="5"/>
  <c r="X20" i="4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P78" i="5"/>
  <c r="AT15" i="5"/>
  <c r="AP15" i="5"/>
  <c r="AL15" i="5"/>
  <c r="AH15" i="5"/>
  <c r="AD15" i="5"/>
  <c r="Z15" i="5"/>
  <c r="V15" i="5"/>
  <c r="AT13" i="5"/>
  <c r="AP13" i="5"/>
  <c r="AO14" i="5"/>
  <c r="AL13" i="5"/>
  <c r="AK14" i="5"/>
  <c r="AH14" i="5"/>
  <c r="AG14" i="5"/>
  <c r="AD13" i="5"/>
  <c r="AC14" i="5"/>
  <c r="Z13" i="5"/>
  <c r="Y14" i="5"/>
  <c r="V13" i="5"/>
  <c r="U14" i="5"/>
  <c r="R13" i="5"/>
  <c r="Q13" i="5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Q18" i="4"/>
  <c r="R18" i="4" s="1"/>
  <c r="S18" i="4" s="1"/>
  <c r="T18" i="4" s="1"/>
  <c r="U18" i="4" s="1"/>
  <c r="V18" i="4" s="1"/>
  <c r="W18" i="4" s="1"/>
  <c r="X18" i="4" s="1"/>
  <c r="B15" i="3"/>
  <c r="B6" i="3"/>
  <c r="B4" i="3"/>
  <c r="B2" i="3"/>
  <c r="B3" i="3"/>
  <c r="C25" i="3"/>
  <c r="D25" i="3" s="1"/>
  <c r="B14" i="3"/>
  <c r="B12" i="3"/>
  <c r="R3" i="2"/>
  <c r="AQ90" i="2"/>
  <c r="W90" i="2"/>
  <c r="AB90" i="2"/>
  <c r="AG90" i="2"/>
  <c r="AL90" i="2"/>
  <c r="AV90" i="2"/>
  <c r="R90" i="2"/>
  <c r="R121" i="2" s="1"/>
  <c r="R119" i="2"/>
  <c r="T111" i="2"/>
  <c r="U111" i="2"/>
  <c r="V111" i="2"/>
  <c r="X111" i="2"/>
  <c r="Y111" i="2"/>
  <c r="Z111" i="2"/>
  <c r="AB111" i="2"/>
  <c r="AC111" i="2"/>
  <c r="AD111" i="2"/>
  <c r="AE111" i="2"/>
  <c r="AF111" i="2"/>
  <c r="AG111" i="2"/>
  <c r="AH111" i="2"/>
  <c r="AJ111" i="2"/>
  <c r="AK111" i="2"/>
  <c r="AL111" i="2"/>
  <c r="AN111" i="2"/>
  <c r="AO111" i="2"/>
  <c r="AP111" i="2"/>
  <c r="AR111" i="2"/>
  <c r="AS111" i="2"/>
  <c r="AT111" i="2"/>
  <c r="AU111" i="2"/>
  <c r="AV111" i="2"/>
  <c r="S111" i="2"/>
  <c r="W111" i="2"/>
  <c r="AA111" i="2"/>
  <c r="AI111" i="2"/>
  <c r="AM111" i="2"/>
  <c r="AQ111" i="2"/>
  <c r="R111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R120" i="2"/>
  <c r="L66" i="9" l="1"/>
  <c r="K50" i="9"/>
  <c r="Q50" i="9"/>
  <c r="S3" i="9"/>
  <c r="E12" i="9"/>
  <c r="F24" i="9"/>
  <c r="C7" i="10"/>
  <c r="AU117" i="8"/>
  <c r="D15" i="9"/>
  <c r="D13" i="9"/>
  <c r="D14" i="9"/>
  <c r="E23" i="9"/>
  <c r="F11" i="9"/>
  <c r="AU118" i="8"/>
  <c r="C8" i="10"/>
  <c r="D17" i="10"/>
  <c r="E20" i="10"/>
  <c r="E11" i="10" s="1"/>
  <c r="E14" i="10"/>
  <c r="R66" i="9"/>
  <c r="Q66" i="9"/>
  <c r="K66" i="9"/>
  <c r="AU5" i="8"/>
  <c r="Y18" i="4"/>
  <c r="X19" i="4"/>
  <c r="B9" i="3"/>
  <c r="W160" i="2"/>
  <c r="R160" i="2"/>
  <c r="C26" i="3"/>
  <c r="R122" i="2"/>
  <c r="S122" i="2" s="1"/>
  <c r="T122" i="2" s="1"/>
  <c r="U122" i="2" s="1"/>
  <c r="V122" i="2" s="1"/>
  <c r="W122" i="2" s="1"/>
  <c r="X122" i="2" s="1"/>
  <c r="Y122" i="2" s="1"/>
  <c r="Z122" i="2" s="1"/>
  <c r="AA122" i="2" s="1"/>
  <c r="AB122" i="2" s="1"/>
  <c r="AC122" i="2" s="1"/>
  <c r="AD122" i="2" s="1"/>
  <c r="AE122" i="2" s="1"/>
  <c r="AF122" i="2" s="1"/>
  <c r="AG122" i="2" s="1"/>
  <c r="AH122" i="2" s="1"/>
  <c r="AI122" i="2" s="1"/>
  <c r="AJ122" i="2" s="1"/>
  <c r="AK122" i="2" s="1"/>
  <c r="AL122" i="2" s="1"/>
  <c r="AM122" i="2" s="1"/>
  <c r="AN122" i="2" s="1"/>
  <c r="AO122" i="2" s="1"/>
  <c r="AP122" i="2" s="1"/>
  <c r="AQ122" i="2" s="1"/>
  <c r="AR122" i="2" s="1"/>
  <c r="AS122" i="2" s="1"/>
  <c r="AT122" i="2" s="1"/>
  <c r="AU122" i="2" s="1"/>
  <c r="AV122" i="2" s="1"/>
  <c r="AW122" i="2" s="1"/>
  <c r="S121" i="2"/>
  <c r="T121" i="2" s="1"/>
  <c r="U121" i="2" s="1"/>
  <c r="V121" i="2" s="1"/>
  <c r="W121" i="2" s="1"/>
  <c r="X121" i="2" s="1"/>
  <c r="Y121" i="2" s="1"/>
  <c r="Z121" i="2" s="1"/>
  <c r="AA121" i="2" s="1"/>
  <c r="AB121" i="2" s="1"/>
  <c r="AC121" i="2" s="1"/>
  <c r="AD121" i="2" s="1"/>
  <c r="AE121" i="2" s="1"/>
  <c r="AF121" i="2" s="1"/>
  <c r="AG121" i="2" s="1"/>
  <c r="AH121" i="2" s="1"/>
  <c r="AI121" i="2" s="1"/>
  <c r="AJ121" i="2" s="1"/>
  <c r="AK121" i="2" s="1"/>
  <c r="AL121" i="2" s="1"/>
  <c r="AM121" i="2" s="1"/>
  <c r="AN121" i="2" s="1"/>
  <c r="AO121" i="2" s="1"/>
  <c r="AP121" i="2" s="1"/>
  <c r="AQ121" i="2" s="1"/>
  <c r="AR121" i="2" s="1"/>
  <c r="AS121" i="2" s="1"/>
  <c r="AT121" i="2" s="1"/>
  <c r="AU121" i="2" s="1"/>
  <c r="AV121" i="2" s="1"/>
  <c r="AW121" i="2" s="1"/>
  <c r="AH90" i="2"/>
  <c r="AI90" i="2" s="1"/>
  <c r="AJ90" i="2" s="1"/>
  <c r="AK90" i="2" s="1"/>
  <c r="E25" i="3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E26" i="3" s="1"/>
  <c r="AG5" i="5"/>
  <c r="AP38" i="5"/>
  <c r="AC40" i="5"/>
  <c r="D5" i="5"/>
  <c r="L5" i="5"/>
  <c r="T5" i="5"/>
  <c r="AB5" i="5"/>
  <c r="AF5" i="5"/>
  <c r="AJ5" i="5"/>
  <c r="AN5" i="5"/>
  <c r="AR5" i="5"/>
  <c r="E29" i="5"/>
  <c r="I29" i="5"/>
  <c r="M29" i="5"/>
  <c r="Q29" i="5"/>
  <c r="U29" i="5"/>
  <c r="Y29" i="5"/>
  <c r="AC29" i="5"/>
  <c r="AG29" i="5"/>
  <c r="AK29" i="5"/>
  <c r="AO29" i="5"/>
  <c r="AS29" i="5"/>
  <c r="D30" i="5"/>
  <c r="H30" i="5"/>
  <c r="L30" i="5"/>
  <c r="P30" i="5"/>
  <c r="T30" i="5"/>
  <c r="X30" i="5"/>
  <c r="AB30" i="5"/>
  <c r="AF30" i="5"/>
  <c r="AJ30" i="5"/>
  <c r="AN30" i="5"/>
  <c r="AR30" i="5"/>
  <c r="G31" i="5"/>
  <c r="K31" i="5"/>
  <c r="O31" i="5"/>
  <c r="W31" i="5"/>
  <c r="AA31" i="5"/>
  <c r="F38" i="5"/>
  <c r="B5" i="5"/>
  <c r="F5" i="5"/>
  <c r="J5" i="5"/>
  <c r="N5" i="5"/>
  <c r="R5" i="5"/>
  <c r="V5" i="5"/>
  <c r="Z5" i="5"/>
  <c r="AD5" i="5"/>
  <c r="E5" i="5"/>
  <c r="Y5" i="5"/>
  <c r="J38" i="5"/>
  <c r="V38" i="5"/>
  <c r="Z38" i="5"/>
  <c r="N29" i="5"/>
  <c r="S29" i="5"/>
  <c r="K29" i="5"/>
  <c r="AD30" i="5"/>
  <c r="M5" i="5"/>
  <c r="Q5" i="5"/>
  <c r="AQ29" i="5"/>
  <c r="B29" i="5"/>
  <c r="J29" i="5"/>
  <c r="R29" i="5"/>
  <c r="J39" i="5"/>
  <c r="F29" i="5"/>
  <c r="AO5" i="5"/>
  <c r="F30" i="5"/>
  <c r="I5" i="5"/>
  <c r="U5" i="5"/>
  <c r="AC5" i="5"/>
  <c r="AK5" i="5"/>
  <c r="AS5" i="5"/>
  <c r="AL38" i="5"/>
  <c r="AM31" i="5"/>
  <c r="C5" i="5"/>
  <c r="G5" i="5"/>
  <c r="K5" i="5"/>
  <c r="O5" i="5"/>
  <c r="S5" i="5"/>
  <c r="W5" i="5"/>
  <c r="AA5" i="5"/>
  <c r="AI5" i="5"/>
  <c r="AM5" i="5"/>
  <c r="AQ5" i="5"/>
  <c r="AQ31" i="5"/>
  <c r="AH5" i="5"/>
  <c r="AL5" i="5"/>
  <c r="AP5" i="5"/>
  <c r="AT5" i="5"/>
  <c r="H5" i="5"/>
  <c r="P5" i="5"/>
  <c r="X5" i="5"/>
  <c r="AE5" i="5"/>
  <c r="B38" i="5"/>
  <c r="N38" i="5"/>
  <c r="R38" i="5"/>
  <c r="AD38" i="5"/>
  <c r="AH38" i="5"/>
  <c r="V30" i="5"/>
  <c r="S90" i="2"/>
  <c r="T90" i="2" s="1"/>
  <c r="U90" i="2" s="1"/>
  <c r="V90" i="2" s="1"/>
  <c r="AH13" i="5"/>
  <c r="V14" i="5"/>
  <c r="AL14" i="5"/>
  <c r="T15" i="5"/>
  <c r="X15" i="5"/>
  <c r="AB15" i="5"/>
  <c r="AF15" i="5"/>
  <c r="AJ15" i="5"/>
  <c r="AN15" i="5"/>
  <c r="AR15" i="5"/>
  <c r="Z14" i="5"/>
  <c r="AP14" i="5"/>
  <c r="R112" i="2"/>
  <c r="P13" i="5"/>
  <c r="U15" i="5"/>
  <c r="Y15" i="5"/>
  <c r="AC15" i="5"/>
  <c r="AG15" i="5"/>
  <c r="AK15" i="5"/>
  <c r="AO15" i="5"/>
  <c r="AS15" i="5"/>
  <c r="AD14" i="5"/>
  <c r="AT14" i="5"/>
  <c r="AS14" i="5"/>
  <c r="AA29" i="5"/>
  <c r="N30" i="5"/>
  <c r="AS40" i="5"/>
  <c r="C29" i="5"/>
  <c r="AI29" i="5"/>
  <c r="AT21" i="5"/>
  <c r="O29" i="5"/>
  <c r="AE29" i="5"/>
  <c r="B30" i="5"/>
  <c r="R30" i="5"/>
  <c r="AH30" i="5"/>
  <c r="AE31" i="5"/>
  <c r="G38" i="5"/>
  <c r="Z39" i="5"/>
  <c r="S15" i="5"/>
  <c r="S14" i="5"/>
  <c r="S13" i="5"/>
  <c r="W14" i="5"/>
  <c r="W13" i="5"/>
  <c r="W15" i="5"/>
  <c r="AA15" i="5"/>
  <c r="AA13" i="5"/>
  <c r="AA14" i="5"/>
  <c r="AE15" i="5"/>
  <c r="AE14" i="5"/>
  <c r="AE13" i="5"/>
  <c r="AI15" i="5"/>
  <c r="AI14" i="5"/>
  <c r="AI13" i="5"/>
  <c r="AM15" i="5"/>
  <c r="AM14" i="5"/>
  <c r="AM13" i="5"/>
  <c r="AQ13" i="5"/>
  <c r="AQ15" i="5"/>
  <c r="AQ14" i="5"/>
  <c r="T14" i="5"/>
  <c r="T13" i="5"/>
  <c r="X14" i="5"/>
  <c r="X13" i="5"/>
  <c r="AB14" i="5"/>
  <c r="AB13" i="5"/>
  <c r="AF14" i="5"/>
  <c r="AF13" i="5"/>
  <c r="AJ14" i="5"/>
  <c r="AJ13" i="5"/>
  <c r="AN14" i="5"/>
  <c r="AN13" i="5"/>
  <c r="AR14" i="5"/>
  <c r="AR13" i="5"/>
  <c r="AT38" i="5"/>
  <c r="AV38" i="5" s="1"/>
  <c r="AO40" i="5"/>
  <c r="Y40" i="5"/>
  <c r="I40" i="5"/>
  <c r="AL39" i="5"/>
  <c r="V39" i="5"/>
  <c r="F39" i="5"/>
  <c r="AI38" i="5"/>
  <c r="S38" i="5"/>
  <c r="C38" i="5"/>
  <c r="AG40" i="5"/>
  <c r="Q40" i="5"/>
  <c r="AT39" i="5"/>
  <c r="AV39" i="5" s="1"/>
  <c r="AD39" i="5"/>
  <c r="N39" i="5"/>
  <c r="AA38" i="5"/>
  <c r="K38" i="5"/>
  <c r="AI31" i="5"/>
  <c r="AI30" i="5"/>
  <c r="AA30" i="5"/>
  <c r="W30" i="5"/>
  <c r="O30" i="5"/>
  <c r="G30" i="5"/>
  <c r="AR29" i="5"/>
  <c r="AN29" i="5"/>
  <c r="AF29" i="5"/>
  <c r="X29" i="5"/>
  <c r="P29" i="5"/>
  <c r="H29" i="5"/>
  <c r="D29" i="5"/>
  <c r="AK40" i="5"/>
  <c r="U40" i="5"/>
  <c r="E40" i="5"/>
  <c r="AH39" i="5"/>
  <c r="R39" i="5"/>
  <c r="B39" i="5"/>
  <c r="AE38" i="5"/>
  <c r="O38" i="5"/>
  <c r="AQ38" i="5"/>
  <c r="S31" i="5"/>
  <c r="AE30" i="5"/>
  <c r="S30" i="5"/>
  <c r="K30" i="5"/>
  <c r="C30" i="5"/>
  <c r="AJ29" i="5"/>
  <c r="AB29" i="5"/>
  <c r="T29" i="5"/>
  <c r="L29" i="5"/>
  <c r="E39" i="5"/>
  <c r="I39" i="5"/>
  <c r="M39" i="5"/>
  <c r="Q39" i="5"/>
  <c r="U39" i="5"/>
  <c r="Y39" i="5"/>
  <c r="AC39" i="5"/>
  <c r="AG39" i="5"/>
  <c r="AK39" i="5"/>
  <c r="AO39" i="5"/>
  <c r="AS39" i="5"/>
  <c r="D40" i="5"/>
  <c r="H40" i="5"/>
  <c r="L40" i="5"/>
  <c r="P40" i="5"/>
  <c r="T40" i="5"/>
  <c r="X40" i="5"/>
  <c r="AB40" i="5"/>
  <c r="AF40" i="5"/>
  <c r="AJ40" i="5"/>
  <c r="AN40" i="5"/>
  <c r="AR40" i="5"/>
  <c r="W38" i="5"/>
  <c r="AP39" i="5"/>
  <c r="V29" i="5"/>
  <c r="Z29" i="5"/>
  <c r="AD29" i="5"/>
  <c r="AH29" i="5"/>
  <c r="AL29" i="5"/>
  <c r="AP29" i="5"/>
  <c r="AT29" i="5"/>
  <c r="E30" i="5"/>
  <c r="I30" i="5"/>
  <c r="M30" i="5"/>
  <c r="Q30" i="5"/>
  <c r="U30" i="5"/>
  <c r="Y30" i="5"/>
  <c r="AC30" i="5"/>
  <c r="AG30" i="5"/>
  <c r="AK30" i="5"/>
  <c r="AO30" i="5"/>
  <c r="AS30" i="5"/>
  <c r="D31" i="5"/>
  <c r="H31" i="5"/>
  <c r="L31" i="5"/>
  <c r="P31" i="5"/>
  <c r="T31" i="5"/>
  <c r="X31" i="5"/>
  <c r="AB31" i="5"/>
  <c r="AF31" i="5"/>
  <c r="AJ31" i="5"/>
  <c r="AN31" i="5"/>
  <c r="AR31" i="5"/>
  <c r="G29" i="5"/>
  <c r="W29" i="5"/>
  <c r="AM29" i="5"/>
  <c r="J30" i="5"/>
  <c r="Z30" i="5"/>
  <c r="C31" i="5"/>
  <c r="AM38" i="5"/>
  <c r="M40" i="5"/>
  <c r="AP30" i="5"/>
  <c r="E31" i="5"/>
  <c r="Q31" i="5"/>
  <c r="Y31" i="5"/>
  <c r="AK31" i="5"/>
  <c r="AS31" i="5"/>
  <c r="AM30" i="5"/>
  <c r="AQ30" i="5"/>
  <c r="B31" i="5"/>
  <c r="F31" i="5"/>
  <c r="J31" i="5"/>
  <c r="N31" i="5"/>
  <c r="R31" i="5"/>
  <c r="V31" i="5"/>
  <c r="Z31" i="5"/>
  <c r="AD31" i="5"/>
  <c r="AH31" i="5"/>
  <c r="AL31" i="5"/>
  <c r="AP31" i="5"/>
  <c r="AT31" i="5"/>
  <c r="D38" i="5"/>
  <c r="H38" i="5"/>
  <c r="L38" i="5"/>
  <c r="P38" i="5"/>
  <c r="T38" i="5"/>
  <c r="X38" i="5"/>
  <c r="AB38" i="5"/>
  <c r="AF38" i="5"/>
  <c r="AJ38" i="5"/>
  <c r="AN38" i="5"/>
  <c r="AR38" i="5"/>
  <c r="C39" i="5"/>
  <c r="G39" i="5"/>
  <c r="K39" i="5"/>
  <c r="O39" i="5"/>
  <c r="S39" i="5"/>
  <c r="W39" i="5"/>
  <c r="AA39" i="5"/>
  <c r="AE39" i="5"/>
  <c r="AI39" i="5"/>
  <c r="AM39" i="5"/>
  <c r="AQ39" i="5"/>
  <c r="B40" i="5"/>
  <c r="F40" i="5"/>
  <c r="J40" i="5"/>
  <c r="N40" i="5"/>
  <c r="R40" i="5"/>
  <c r="V40" i="5"/>
  <c r="Z40" i="5"/>
  <c r="AD40" i="5"/>
  <c r="AH40" i="5"/>
  <c r="AL40" i="5"/>
  <c r="AP40" i="5"/>
  <c r="AT40" i="5"/>
  <c r="AV40" i="5" s="1"/>
  <c r="AL30" i="5"/>
  <c r="AT30" i="5"/>
  <c r="I31" i="5"/>
  <c r="M31" i="5"/>
  <c r="U31" i="5"/>
  <c r="AC31" i="5"/>
  <c r="AG31" i="5"/>
  <c r="AO31" i="5"/>
  <c r="U13" i="5"/>
  <c r="Y13" i="5"/>
  <c r="AC13" i="5"/>
  <c r="AG13" i="5"/>
  <c r="AK13" i="5"/>
  <c r="AO13" i="5"/>
  <c r="AS13" i="5"/>
  <c r="E38" i="5"/>
  <c r="I38" i="5"/>
  <c r="M38" i="5"/>
  <c r="Q38" i="5"/>
  <c r="U38" i="5"/>
  <c r="Y38" i="5"/>
  <c r="AC38" i="5"/>
  <c r="AG38" i="5"/>
  <c r="AK38" i="5"/>
  <c r="AO38" i="5"/>
  <c r="AS38" i="5"/>
  <c r="D39" i="5"/>
  <c r="H39" i="5"/>
  <c r="L39" i="5"/>
  <c r="P39" i="5"/>
  <c r="T39" i="5"/>
  <c r="X39" i="5"/>
  <c r="AB39" i="5"/>
  <c r="AF39" i="5"/>
  <c r="AJ39" i="5"/>
  <c r="AN39" i="5"/>
  <c r="AR39" i="5"/>
  <c r="C40" i="5"/>
  <c r="G40" i="5"/>
  <c r="K40" i="5"/>
  <c r="O40" i="5"/>
  <c r="S40" i="5"/>
  <c r="W40" i="5"/>
  <c r="AA40" i="5"/>
  <c r="AE40" i="5"/>
  <c r="AI40" i="5"/>
  <c r="AM40" i="5"/>
  <c r="AQ40" i="5"/>
  <c r="R19" i="4"/>
  <c r="S20" i="4"/>
  <c r="V19" i="4"/>
  <c r="W20" i="4"/>
  <c r="S19" i="4"/>
  <c r="W19" i="4"/>
  <c r="P20" i="4"/>
  <c r="T20" i="4"/>
  <c r="P19" i="4"/>
  <c r="T19" i="4"/>
  <c r="Q20" i="4"/>
  <c r="U20" i="4"/>
  <c r="Q19" i="4"/>
  <c r="U19" i="4"/>
  <c r="R20" i="4"/>
  <c r="V20" i="4"/>
  <c r="I26" i="3"/>
  <c r="P27" i="3"/>
  <c r="H27" i="3"/>
  <c r="H26" i="3"/>
  <c r="O26" i="3"/>
  <c r="K26" i="3"/>
  <c r="G26" i="3"/>
  <c r="N27" i="3"/>
  <c r="J27" i="3"/>
  <c r="B26" i="3"/>
  <c r="E26" i="3"/>
  <c r="D27" i="3"/>
  <c r="L26" i="3"/>
  <c r="D26" i="3"/>
  <c r="O27" i="3"/>
  <c r="K27" i="3"/>
  <c r="C27" i="3"/>
  <c r="N26" i="3"/>
  <c r="B27" i="3"/>
  <c r="M27" i="3"/>
  <c r="I27" i="3"/>
  <c r="X90" i="2"/>
  <c r="Y90" i="2" s="1"/>
  <c r="Z90" i="2" s="1"/>
  <c r="AA90" i="2" s="1"/>
  <c r="AR90" i="2"/>
  <c r="AS90" i="2" s="1"/>
  <c r="AT90" i="2" s="1"/>
  <c r="AU90" i="2" s="1"/>
  <c r="AC90" i="2"/>
  <c r="AD90" i="2" s="1"/>
  <c r="AE90" i="2" s="1"/>
  <c r="AF90" i="2" s="1"/>
  <c r="AM90" i="2"/>
  <c r="AN90" i="2" s="1"/>
  <c r="AO90" i="2" s="1"/>
  <c r="AQ15" i="2"/>
  <c r="AA15" i="2"/>
  <c r="AU14" i="2"/>
  <c r="AM14" i="2"/>
  <c r="AI14" i="2"/>
  <c r="AE14" i="2"/>
  <c r="W14" i="2"/>
  <c r="AQ14" i="2"/>
  <c r="AA14" i="2"/>
  <c r="AU15" i="2"/>
  <c r="AM15" i="2"/>
  <c r="AI15" i="2"/>
  <c r="AE15" i="2"/>
  <c r="W15" i="2"/>
  <c r="AV15" i="2"/>
  <c r="AN15" i="2"/>
  <c r="AF15" i="2"/>
  <c r="X15" i="2"/>
  <c r="AT14" i="2"/>
  <c r="AP14" i="2"/>
  <c r="AL14" i="2"/>
  <c r="AH14" i="2"/>
  <c r="AD14" i="2"/>
  <c r="Z14" i="2"/>
  <c r="V14" i="2"/>
  <c r="AT15" i="2"/>
  <c r="AP15" i="2"/>
  <c r="AL15" i="2"/>
  <c r="AH15" i="2"/>
  <c r="AD15" i="2"/>
  <c r="Z15" i="2"/>
  <c r="V15" i="2"/>
  <c r="AV14" i="2"/>
  <c r="AR14" i="2"/>
  <c r="AN14" i="2"/>
  <c r="AJ13" i="2"/>
  <c r="AF14" i="2"/>
  <c r="AB14" i="2"/>
  <c r="X14" i="2"/>
  <c r="AR15" i="2"/>
  <c r="AJ15" i="2"/>
  <c r="AB15" i="2"/>
  <c r="AS14" i="2"/>
  <c r="AO14" i="2"/>
  <c r="AK14" i="2"/>
  <c r="AG14" i="2"/>
  <c r="AC14" i="2"/>
  <c r="Y14" i="2"/>
  <c r="U14" i="2"/>
  <c r="AS15" i="2"/>
  <c r="AO15" i="2"/>
  <c r="AK15" i="2"/>
  <c r="AG15" i="2"/>
  <c r="AC15" i="2"/>
  <c r="Y15" i="2"/>
  <c r="U15" i="2"/>
  <c r="AJ14" i="2"/>
  <c r="C13" i="9" l="1"/>
  <c r="B13" i="9" s="1"/>
  <c r="AU13" i="8"/>
  <c r="C14" i="9"/>
  <c r="B14" i="9" s="1"/>
  <c r="AU14" i="8"/>
  <c r="C15" i="9"/>
  <c r="B15" i="9" s="1"/>
  <c r="AU15" i="8"/>
  <c r="E11" i="9"/>
  <c r="D32" i="9"/>
  <c r="AU32" i="8" s="1"/>
  <c r="D12" i="9"/>
  <c r="E24" i="9"/>
  <c r="D14" i="10"/>
  <c r="AU124" i="8" s="1"/>
  <c r="D20" i="10"/>
  <c r="AU127" i="8"/>
  <c r="AU6" i="8"/>
  <c r="C6" i="9"/>
  <c r="C2" i="9"/>
  <c r="B31" i="3"/>
  <c r="AU29" i="8"/>
  <c r="D33" i="9"/>
  <c r="I7" i="9"/>
  <c r="I50" i="9" s="1"/>
  <c r="Z18" i="4"/>
  <c r="Y19" i="4"/>
  <c r="Y20" i="4"/>
  <c r="L27" i="3"/>
  <c r="E27" i="3"/>
  <c r="T27" i="3"/>
  <c r="M26" i="3"/>
  <c r="F26" i="3"/>
  <c r="S27" i="3"/>
  <c r="R27" i="3"/>
  <c r="Q27" i="3"/>
  <c r="Y26" i="3"/>
  <c r="X26" i="3"/>
  <c r="AE27" i="3"/>
  <c r="W26" i="3"/>
  <c r="AD27" i="3"/>
  <c r="V26" i="3"/>
  <c r="AC27" i="3"/>
  <c r="AB27" i="3"/>
  <c r="J26" i="3"/>
  <c r="F27" i="3"/>
  <c r="U27" i="3"/>
  <c r="U26" i="3"/>
  <c r="T26" i="3"/>
  <c r="AA27" i="3"/>
  <c r="R26" i="3"/>
  <c r="Z27" i="3"/>
  <c r="AD26" i="3"/>
  <c r="S26" i="3"/>
  <c r="Y27" i="3"/>
  <c r="AC26" i="3"/>
  <c r="Q26" i="3"/>
  <c r="X27" i="3"/>
  <c r="AB26" i="3"/>
  <c r="W27" i="3"/>
  <c r="AA26" i="3"/>
  <c r="P26" i="3"/>
  <c r="G27" i="3"/>
  <c r="V27" i="3"/>
  <c r="Z26" i="3"/>
  <c r="P13" i="4"/>
  <c r="AT18" i="5"/>
  <c r="AU18" i="5"/>
  <c r="AP90" i="2"/>
  <c r="D35" i="9" l="1"/>
  <c r="AU12" i="8"/>
  <c r="D24" i="9"/>
  <c r="D21" i="9" s="1"/>
  <c r="C12" i="9"/>
  <c r="B12" i="9" s="1"/>
  <c r="D11" i="9"/>
  <c r="D11" i="10"/>
  <c r="AU121" i="8" s="1"/>
  <c r="AU130" i="8"/>
  <c r="C49" i="9"/>
  <c r="S6" i="9" s="1"/>
  <c r="C48" i="9"/>
  <c r="J66" i="9"/>
  <c r="H7" i="9"/>
  <c r="AU2" i="8"/>
  <c r="D48" i="9"/>
  <c r="D36" i="9"/>
  <c r="AU33" i="8"/>
  <c r="D49" i="9"/>
  <c r="AU35" i="8"/>
  <c r="Z19" i="4"/>
  <c r="Z20" i="4"/>
  <c r="AA18" i="4"/>
  <c r="C20" i="3"/>
  <c r="C21" i="3" s="1"/>
  <c r="C22" i="3" s="1"/>
  <c r="B20" i="3"/>
  <c r="B21" i="3" s="1"/>
  <c r="B22" i="3" s="1"/>
  <c r="D20" i="3"/>
  <c r="D21" i="3" s="1"/>
  <c r="D22" i="3" s="1"/>
  <c r="R14" i="4"/>
  <c r="R15" i="4" s="1"/>
  <c r="P14" i="4"/>
  <c r="AB69" i="2"/>
  <c r="AB70" i="2"/>
  <c r="AB68" i="2"/>
  <c r="AW69" i="2"/>
  <c r="AW68" i="2"/>
  <c r="AW67" i="2"/>
  <c r="E48" i="9" l="1"/>
  <c r="I66" i="9"/>
  <c r="H50" i="9"/>
  <c r="C11" i="9"/>
  <c r="B11" i="9" s="1"/>
  <c r="D23" i="9"/>
  <c r="AU11" i="8"/>
  <c r="D27" i="9"/>
  <c r="AU27" i="8" s="1"/>
  <c r="AU24" i="8"/>
  <c r="AU36" i="8"/>
  <c r="AU49" i="8"/>
  <c r="S46" i="9"/>
  <c r="AU21" i="8"/>
  <c r="S5" i="9"/>
  <c r="AU48" i="8"/>
  <c r="G7" i="9"/>
  <c r="G50" i="9" s="1"/>
  <c r="AA19" i="4"/>
  <c r="AA20" i="4"/>
  <c r="AB18" i="4"/>
  <c r="B23" i="3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R30" i="2" s="1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R31" i="2" s="1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AX40" i="2"/>
  <c r="D35" i="2"/>
  <c r="D36" i="2"/>
  <c r="D34" i="2"/>
  <c r="D26" i="2"/>
  <c r="D30" i="2" s="1"/>
  <c r="D27" i="2"/>
  <c r="D25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D20" i="2"/>
  <c r="T13" i="2"/>
  <c r="E3" i="2"/>
  <c r="F3" i="2"/>
  <c r="G3" i="2"/>
  <c r="H3" i="2"/>
  <c r="I3" i="2"/>
  <c r="J3" i="2"/>
  <c r="K3" i="2"/>
  <c r="L3" i="2"/>
  <c r="M3" i="2"/>
  <c r="N3" i="2"/>
  <c r="O3" i="2"/>
  <c r="P3" i="2"/>
  <c r="Q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R5" i="2" s="1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U13" i="2"/>
  <c r="X13" i="2"/>
  <c r="Y13" i="2"/>
  <c r="AA13" i="2"/>
  <c r="AB13" i="2"/>
  <c r="AC13" i="2"/>
  <c r="AF13" i="2"/>
  <c r="AG13" i="2"/>
  <c r="AI13" i="2"/>
  <c r="AK13" i="2"/>
  <c r="AN13" i="2"/>
  <c r="AO13" i="2"/>
  <c r="AQ13" i="2"/>
  <c r="AR13" i="2"/>
  <c r="AS13" i="2"/>
  <c r="AV13" i="2"/>
  <c r="R13" i="2"/>
  <c r="S13" i="2"/>
  <c r="V13" i="2"/>
  <c r="W13" i="2"/>
  <c r="Z13" i="2"/>
  <c r="AD13" i="2"/>
  <c r="AE13" i="2"/>
  <c r="AH13" i="2"/>
  <c r="AL13" i="2"/>
  <c r="AM13" i="2"/>
  <c r="AP13" i="2"/>
  <c r="AT13" i="2"/>
  <c r="AU13" i="2"/>
  <c r="D4" i="2"/>
  <c r="D3" i="2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D18" i="9" l="1"/>
  <c r="S43" i="9" s="1"/>
  <c r="F48" i="9"/>
  <c r="E5" i="9"/>
  <c r="E32" i="9" s="1"/>
  <c r="E35" i="9" s="1"/>
  <c r="D26" i="9"/>
  <c r="AU23" i="8"/>
  <c r="D20" i="9"/>
  <c r="H66" i="9"/>
  <c r="S18" i="9"/>
  <c r="F7" i="9"/>
  <c r="F50" i="9" s="1"/>
  <c r="D7" i="9"/>
  <c r="AB19" i="4"/>
  <c r="AB20" i="4"/>
  <c r="AC18" i="4"/>
  <c r="AK5" i="2"/>
  <c r="AU5" i="2"/>
  <c r="AV5" i="2"/>
  <c r="AT5" i="2"/>
  <c r="Y5" i="2"/>
  <c r="AJ5" i="2"/>
  <c r="W5" i="2"/>
  <c r="V5" i="2"/>
  <c r="AI5" i="2"/>
  <c r="AH5" i="2"/>
  <c r="X5" i="2"/>
  <c r="T5" i="2"/>
  <c r="AE5" i="2"/>
  <c r="AP5" i="2"/>
  <c r="AO5" i="2"/>
  <c r="AC5" i="2"/>
  <c r="AN5" i="2"/>
  <c r="AB5" i="2"/>
  <c r="AM5" i="2"/>
  <c r="AL5" i="2"/>
  <c r="Z5" i="2"/>
  <c r="AS5" i="2"/>
  <c r="AG5" i="2"/>
  <c r="U5" i="2"/>
  <c r="AR5" i="2"/>
  <c r="AF5" i="2"/>
  <c r="AQ5" i="2"/>
  <c r="S5" i="2"/>
  <c r="AD5" i="2"/>
  <c r="AV21" i="2"/>
  <c r="E5" i="2"/>
  <c r="P15" i="4"/>
  <c r="Q5" i="2"/>
  <c r="M5" i="2"/>
  <c r="L5" i="2"/>
  <c r="K5" i="2"/>
  <c r="H5" i="2"/>
  <c r="O5" i="2"/>
  <c r="G5" i="2"/>
  <c r="N5" i="2"/>
  <c r="I5" i="2"/>
  <c r="J5" i="2"/>
  <c r="F5" i="2"/>
  <c r="P5" i="2"/>
  <c r="AA5" i="2"/>
  <c r="P40" i="2"/>
  <c r="H40" i="2"/>
  <c r="AX38" i="2"/>
  <c r="L38" i="2"/>
  <c r="H31" i="2"/>
  <c r="H30" i="2"/>
  <c r="L29" i="2"/>
  <c r="D38" i="2"/>
  <c r="O40" i="2"/>
  <c r="K40" i="2"/>
  <c r="G40" i="2"/>
  <c r="O39" i="2"/>
  <c r="G39" i="2"/>
  <c r="K38" i="2"/>
  <c r="O31" i="2"/>
  <c r="K31" i="2"/>
  <c r="O30" i="2"/>
  <c r="K30" i="2"/>
  <c r="G30" i="2"/>
  <c r="O29" i="2"/>
  <c r="G29" i="2"/>
  <c r="L40" i="2"/>
  <c r="AX39" i="2"/>
  <c r="H39" i="2"/>
  <c r="P38" i="2"/>
  <c r="P31" i="2"/>
  <c r="H29" i="2"/>
  <c r="D29" i="2"/>
  <c r="D40" i="2"/>
  <c r="N40" i="2"/>
  <c r="J40" i="2"/>
  <c r="F40" i="2"/>
  <c r="N39" i="2"/>
  <c r="J39" i="2"/>
  <c r="F39" i="2"/>
  <c r="N38" i="2"/>
  <c r="J38" i="2"/>
  <c r="F38" i="2"/>
  <c r="N31" i="2"/>
  <c r="J31" i="2"/>
  <c r="F31" i="2"/>
  <c r="N30" i="2"/>
  <c r="J30" i="2"/>
  <c r="F30" i="2"/>
  <c r="P39" i="2"/>
  <c r="L39" i="2"/>
  <c r="H38" i="2"/>
  <c r="P30" i="2"/>
  <c r="P29" i="2"/>
  <c r="D5" i="2"/>
  <c r="D31" i="2"/>
  <c r="D39" i="2"/>
  <c r="Q40" i="2"/>
  <c r="M40" i="2"/>
  <c r="I40" i="2"/>
  <c r="E40" i="2"/>
  <c r="Q39" i="2"/>
  <c r="M39" i="2"/>
  <c r="I39" i="2"/>
  <c r="E39" i="2"/>
  <c r="Q38" i="2"/>
  <c r="M38" i="2"/>
  <c r="I38" i="2"/>
  <c r="E38" i="2"/>
  <c r="Q31" i="2"/>
  <c r="M31" i="2"/>
  <c r="I31" i="2"/>
  <c r="E31" i="2"/>
  <c r="N29" i="2"/>
  <c r="J29" i="2"/>
  <c r="F29" i="2"/>
  <c r="K39" i="2"/>
  <c r="O38" i="2"/>
  <c r="G38" i="2"/>
  <c r="K29" i="2"/>
  <c r="L30" i="2"/>
  <c r="G31" i="2"/>
  <c r="L31" i="2"/>
  <c r="Q30" i="2"/>
  <c r="M30" i="2"/>
  <c r="I30" i="2"/>
  <c r="E30" i="2"/>
  <c r="Q29" i="2"/>
  <c r="M29" i="2"/>
  <c r="I29" i="2"/>
  <c r="E29" i="2"/>
  <c r="AU18" i="8" l="1"/>
  <c r="E18" i="9"/>
  <c r="F18" i="9" s="1"/>
  <c r="G48" i="9"/>
  <c r="F5" i="9"/>
  <c r="F32" i="9" s="1"/>
  <c r="F35" i="9" s="1"/>
  <c r="D50" i="9"/>
  <c r="D10" i="9"/>
  <c r="S45" i="9"/>
  <c r="AU26" i="8"/>
  <c r="D17" i="9"/>
  <c r="E17" i="9" s="1"/>
  <c r="F17" i="9" s="1"/>
  <c r="G17" i="9" s="1"/>
  <c r="H17" i="9" s="1"/>
  <c r="C3" i="9"/>
  <c r="G66" i="9"/>
  <c r="E7" i="9"/>
  <c r="E50" i="9" s="1"/>
  <c r="AU3" i="8"/>
  <c r="AV18" i="2"/>
  <c r="AC19" i="4"/>
  <c r="AC20" i="4"/>
  <c r="AD18" i="4"/>
  <c r="P16" i="4"/>
  <c r="AW18" i="2"/>
  <c r="E21" i="9" l="1"/>
  <c r="E27" i="9" s="1"/>
  <c r="H48" i="9"/>
  <c r="G5" i="9"/>
  <c r="G32" i="9" s="1"/>
  <c r="G35" i="9" s="1"/>
  <c r="S42" i="9"/>
  <c r="S17" i="9"/>
  <c r="E20" i="9"/>
  <c r="C52" i="9"/>
  <c r="C51" i="9"/>
  <c r="S8" i="9"/>
  <c r="S9" i="9"/>
  <c r="C7" i="9"/>
  <c r="E66" i="9"/>
  <c r="F66" i="9"/>
  <c r="G18" i="9"/>
  <c r="D56" i="9"/>
  <c r="I17" i="9"/>
  <c r="AU7" i="8"/>
  <c r="AE18" i="4"/>
  <c r="AD19" i="4"/>
  <c r="AD20" i="4"/>
  <c r="F21" i="9" l="1"/>
  <c r="I48" i="9"/>
  <c r="H5" i="9"/>
  <c r="H32" i="9" s="1"/>
  <c r="H35" i="9" s="1"/>
  <c r="E45" i="9"/>
  <c r="F20" i="9"/>
  <c r="E26" i="9"/>
  <c r="C50" i="9"/>
  <c r="S7" i="9" s="1"/>
  <c r="D66" i="9"/>
  <c r="D71" i="9" s="1"/>
  <c r="H18" i="9"/>
  <c r="J17" i="9"/>
  <c r="AX53" i="9"/>
  <c r="AX57" i="9"/>
  <c r="F27" i="9"/>
  <c r="G21" i="9"/>
  <c r="AF18" i="4"/>
  <c r="AE19" i="4"/>
  <c r="AE20" i="4"/>
  <c r="J48" i="9" l="1"/>
  <c r="I5" i="9"/>
  <c r="I32" i="9" s="1"/>
  <c r="I35" i="9" s="1"/>
  <c r="F26" i="9"/>
  <c r="E42" i="9"/>
  <c r="F45" i="9"/>
  <c r="G20" i="9"/>
  <c r="AU50" i="8"/>
  <c r="D69" i="9"/>
  <c r="G27" i="9"/>
  <c r="I18" i="9"/>
  <c r="C10" i="9"/>
  <c r="B10" i="9" s="1"/>
  <c r="E10" i="9"/>
  <c r="AU10" i="8"/>
  <c r="H21" i="9"/>
  <c r="K17" i="9"/>
  <c r="AG18" i="4"/>
  <c r="AF19" i="4"/>
  <c r="AF20" i="4"/>
  <c r="K48" i="9" l="1"/>
  <c r="J5" i="9"/>
  <c r="J32" i="9" s="1"/>
  <c r="J35" i="9" s="1"/>
  <c r="G45" i="9"/>
  <c r="H20" i="9"/>
  <c r="E69" i="9"/>
  <c r="G26" i="9"/>
  <c r="F42" i="9"/>
  <c r="H27" i="9"/>
  <c r="L17" i="9"/>
  <c r="J18" i="9"/>
  <c r="I21" i="9"/>
  <c r="F10" i="9"/>
  <c r="E22" i="9"/>
  <c r="AH18" i="4"/>
  <c r="AG19" i="4"/>
  <c r="AG20" i="4"/>
  <c r="L48" i="9" l="1"/>
  <c r="K5" i="9"/>
  <c r="K32" i="9" s="1"/>
  <c r="K35" i="9" s="1"/>
  <c r="H26" i="9"/>
  <c r="G42" i="9"/>
  <c r="F69" i="9"/>
  <c r="I20" i="9"/>
  <c r="H45" i="9"/>
  <c r="J21" i="9"/>
  <c r="I27" i="9"/>
  <c r="K18" i="9"/>
  <c r="M17" i="9"/>
  <c r="G10" i="9"/>
  <c r="F22" i="9"/>
  <c r="AI18" i="4"/>
  <c r="AH19" i="4"/>
  <c r="AH20" i="4"/>
  <c r="L5" i="9" l="1"/>
  <c r="L32" i="9" s="1"/>
  <c r="L35" i="9" s="1"/>
  <c r="M35" i="9" s="1"/>
  <c r="N35" i="9" s="1"/>
  <c r="O35" i="9" s="1"/>
  <c r="P35" i="9" s="1"/>
  <c r="Q35" i="9" s="1"/>
  <c r="I45" i="9"/>
  <c r="J20" i="9"/>
  <c r="G69" i="9"/>
  <c r="H42" i="9"/>
  <c r="I26" i="9"/>
  <c r="K21" i="9"/>
  <c r="H10" i="9"/>
  <c r="G22" i="9"/>
  <c r="N17" i="9"/>
  <c r="L18" i="9"/>
  <c r="J27" i="9"/>
  <c r="AJ18" i="4"/>
  <c r="AI19" i="4"/>
  <c r="AI20" i="4"/>
  <c r="R35" i="9" l="1"/>
  <c r="T35" i="9" s="1"/>
  <c r="S35" i="9"/>
  <c r="H69" i="9"/>
  <c r="J26" i="9"/>
  <c r="I42" i="9"/>
  <c r="K20" i="9"/>
  <c r="J45" i="9"/>
  <c r="L21" i="9"/>
  <c r="M18" i="9"/>
  <c r="K27" i="9"/>
  <c r="O17" i="9"/>
  <c r="I10" i="9"/>
  <c r="H22" i="9"/>
  <c r="Q13" i="4"/>
  <c r="Q14" i="4" s="1"/>
  <c r="Q15" i="4" s="1"/>
  <c r="AK18" i="4"/>
  <c r="AJ19" i="4"/>
  <c r="AJ20" i="4"/>
  <c r="K45" i="9" l="1"/>
  <c r="L20" i="9"/>
  <c r="K26" i="9"/>
  <c r="J42" i="9"/>
  <c r="I69" i="9"/>
  <c r="L27" i="9"/>
  <c r="J10" i="9"/>
  <c r="I22" i="9"/>
  <c r="N18" i="9"/>
  <c r="P17" i="9"/>
  <c r="M21" i="9"/>
  <c r="AL18" i="4"/>
  <c r="AK19" i="4"/>
  <c r="AK20" i="4"/>
  <c r="J69" i="9" l="1"/>
  <c r="L26" i="9"/>
  <c r="K42" i="9"/>
  <c r="M20" i="9"/>
  <c r="L45" i="9"/>
  <c r="K10" i="9"/>
  <c r="J22" i="9"/>
  <c r="M46" i="9"/>
  <c r="N21" i="9"/>
  <c r="M27" i="9"/>
  <c r="Q17" i="9"/>
  <c r="O18" i="9"/>
  <c r="AM18" i="4"/>
  <c r="AL19" i="4"/>
  <c r="AL20" i="4"/>
  <c r="K69" i="9" l="1"/>
  <c r="M45" i="9"/>
  <c r="N20" i="9"/>
  <c r="M26" i="9"/>
  <c r="L42" i="9"/>
  <c r="R17" i="9"/>
  <c r="N27" i="9"/>
  <c r="N46" i="9"/>
  <c r="O21" i="9"/>
  <c r="L10" i="9"/>
  <c r="K22" i="9"/>
  <c r="P18" i="9"/>
  <c r="AN18" i="4"/>
  <c r="AM19" i="4"/>
  <c r="AM20" i="4"/>
  <c r="O20" i="9" l="1"/>
  <c r="N45" i="9"/>
  <c r="N26" i="9"/>
  <c r="M42" i="9"/>
  <c r="L69" i="9"/>
  <c r="O27" i="9"/>
  <c r="O46" i="9"/>
  <c r="P21" i="9"/>
  <c r="Q18" i="9"/>
  <c r="M10" i="9"/>
  <c r="L22" i="9"/>
  <c r="AO18" i="4"/>
  <c r="AN19" i="4"/>
  <c r="AN20" i="4"/>
  <c r="O26" i="9" l="1"/>
  <c r="N42" i="9"/>
  <c r="M69" i="9"/>
  <c r="P20" i="9"/>
  <c r="O45" i="9"/>
  <c r="R18" i="9"/>
  <c r="P46" i="9"/>
  <c r="Q21" i="9"/>
  <c r="P27" i="9"/>
  <c r="N10" i="9"/>
  <c r="M22" i="9"/>
  <c r="AP18" i="4"/>
  <c r="AO19" i="4"/>
  <c r="AO20" i="4"/>
  <c r="Q20" i="9" l="1"/>
  <c r="P45" i="9"/>
  <c r="N69" i="9"/>
  <c r="P26" i="9"/>
  <c r="O42" i="9"/>
  <c r="Q27" i="9"/>
  <c r="Q46" i="9"/>
  <c r="R21" i="9"/>
  <c r="R46" i="9" s="1"/>
  <c r="O10" i="9"/>
  <c r="N22" i="9"/>
  <c r="AQ18" i="4"/>
  <c r="AP19" i="4"/>
  <c r="AP20" i="4"/>
  <c r="O69" i="9" l="1"/>
  <c r="P42" i="9"/>
  <c r="Q26" i="9"/>
  <c r="Q45" i="9"/>
  <c r="R20" i="9"/>
  <c r="R45" i="9" s="1"/>
  <c r="T45" i="9" s="1"/>
  <c r="U46" i="9"/>
  <c r="T46" i="9"/>
  <c r="R27" i="9"/>
  <c r="P10" i="9"/>
  <c r="O22" i="9"/>
  <c r="AR18" i="4"/>
  <c r="AQ19" i="4"/>
  <c r="AQ20" i="4"/>
  <c r="P69" i="9" l="1"/>
  <c r="R26" i="9"/>
  <c r="R42" i="9" s="1"/>
  <c r="Q42" i="9"/>
  <c r="Q10" i="9"/>
  <c r="P22" i="9"/>
  <c r="AS18" i="4"/>
  <c r="AR19" i="4"/>
  <c r="AR20" i="4"/>
  <c r="T17" i="9" l="1"/>
  <c r="T42" i="9"/>
  <c r="Q22" i="9"/>
  <c r="Q69" i="9"/>
  <c r="R69" i="9"/>
  <c r="AS19" i="4"/>
  <c r="AS20" i="4"/>
  <c r="R13" i="4" l="1"/>
  <c r="AU20" i="8" l="1"/>
  <c r="AU52" i="8"/>
  <c r="AU51" i="8"/>
  <c r="AU17" i="8" l="1"/>
  <c r="D53" i="9"/>
  <c r="E77" i="9" l="1"/>
  <c r="D54" i="9"/>
  <c r="D77" i="9"/>
  <c r="AU53" i="8"/>
  <c r="Q15" i="10"/>
  <c r="Q18" i="10" l="1"/>
  <c r="Q9" i="10" s="1"/>
  <c r="Q12" i="10"/>
  <c r="D30" i="10"/>
  <c r="D4" i="10"/>
  <c r="E31" i="10"/>
  <c r="AU141" i="8"/>
  <c r="D3" i="10" l="1"/>
  <c r="D15" i="10" s="1"/>
  <c r="D12" i="10" s="1"/>
  <c r="E4" i="10"/>
  <c r="E16" i="10" s="1"/>
  <c r="E19" i="10" s="1"/>
  <c r="E10" i="10" s="1"/>
  <c r="F31" i="10"/>
  <c r="AU140" i="8"/>
  <c r="C3" i="10"/>
  <c r="D43" i="10" s="1"/>
  <c r="AU113" i="8"/>
  <c r="E30" i="10"/>
  <c r="C4" i="10"/>
  <c r="D44" i="10" s="1"/>
  <c r="AU114" i="8"/>
  <c r="D16" i="10"/>
  <c r="D48" i="10" l="1"/>
  <c r="E13" i="10"/>
  <c r="G31" i="10"/>
  <c r="F30" i="10"/>
  <c r="F4" i="10"/>
  <c r="F16" i="10" s="1"/>
  <c r="E3" i="10"/>
  <c r="E15" i="10" s="1"/>
  <c r="D18" i="10"/>
  <c r="AU125" i="8"/>
  <c r="AU122" i="8"/>
  <c r="D13" i="10"/>
  <c r="AU123" i="8" s="1"/>
  <c r="D19" i="10"/>
  <c r="AU126" i="8"/>
  <c r="H31" i="10" l="1"/>
  <c r="G30" i="10"/>
  <c r="AU128" i="8"/>
  <c r="D9" i="10"/>
  <c r="AU119" i="8" s="1"/>
  <c r="E18" i="10"/>
  <c r="E9" i="10" s="1"/>
  <c r="E12" i="10"/>
  <c r="F3" i="10"/>
  <c r="F15" i="10" s="1"/>
  <c r="G4" i="10"/>
  <c r="G16" i="10" s="1"/>
  <c r="F19" i="10"/>
  <c r="F10" i="10" s="1"/>
  <c r="F13" i="10"/>
  <c r="D10" i="10"/>
  <c r="AU120" i="8" s="1"/>
  <c r="AU129" i="8"/>
  <c r="I31" i="10" l="1"/>
  <c r="H30" i="10"/>
  <c r="H4" i="10"/>
  <c r="H16" i="10" s="1"/>
  <c r="G19" i="10"/>
  <c r="G10" i="10" s="1"/>
  <c r="G13" i="10"/>
  <c r="F12" i="10"/>
  <c r="F18" i="10"/>
  <c r="F9" i="10" s="1"/>
  <c r="G3" i="10"/>
  <c r="G15" i="10" s="1"/>
  <c r="J31" i="10" l="1"/>
  <c r="I30" i="10"/>
  <c r="H3" i="10"/>
  <c r="H15" i="10" s="1"/>
  <c r="H19" i="10"/>
  <c r="H10" i="10" s="1"/>
  <c r="H13" i="10"/>
  <c r="I4" i="10"/>
  <c r="I16" i="10" s="1"/>
  <c r="G18" i="10"/>
  <c r="G9" i="10" s="1"/>
  <c r="G12" i="10"/>
  <c r="K31" i="10" l="1"/>
  <c r="J30" i="10"/>
  <c r="I13" i="10"/>
  <c r="I19" i="10"/>
  <c r="I10" i="10" s="1"/>
  <c r="J4" i="10"/>
  <c r="J16" i="10" s="1"/>
  <c r="I3" i="10"/>
  <c r="I15" i="10" s="1"/>
  <c r="H12" i="10"/>
  <c r="H18" i="10"/>
  <c r="H9" i="10" s="1"/>
  <c r="L31" i="10" l="1"/>
  <c r="K30" i="10"/>
  <c r="J3" i="10"/>
  <c r="J15" i="10" s="1"/>
  <c r="I12" i="10"/>
  <c r="I18" i="10"/>
  <c r="I9" i="10" s="1"/>
  <c r="J13" i="10"/>
  <c r="J19" i="10"/>
  <c r="J10" i="10" s="1"/>
  <c r="K4" i="10"/>
  <c r="K16" i="10" s="1"/>
  <c r="L4" i="10"/>
  <c r="L16" i="10" s="1"/>
  <c r="L30" i="10" l="1"/>
  <c r="L13" i="10"/>
  <c r="L19" i="10"/>
  <c r="L10" i="10" s="1"/>
  <c r="K13" i="10"/>
  <c r="K19" i="10"/>
  <c r="K10" i="10" s="1"/>
  <c r="J12" i="10"/>
  <c r="J18" i="10"/>
  <c r="J9" i="10" s="1"/>
  <c r="K3" i="10"/>
  <c r="K15" i="10" s="1"/>
  <c r="L3" i="10" l="1"/>
  <c r="L15" i="10" s="1"/>
  <c r="L12" i="10" s="1"/>
  <c r="L18" i="10"/>
  <c r="L9" i="10" s="1"/>
  <c r="K12" i="10"/>
  <c r="K18" i="10"/>
  <c r="K9" i="10" s="1"/>
  <c r="C4" i="9" l="1"/>
  <c r="C47" i="9" s="1"/>
  <c r="D31" i="9"/>
  <c r="D19" i="9" s="1"/>
  <c r="S2" i="9"/>
  <c r="D55" i="9"/>
  <c r="AU4" i="8"/>
  <c r="D47" i="9"/>
  <c r="S4" i="9" l="1"/>
  <c r="E47" i="9"/>
  <c r="AU47" i="8"/>
  <c r="AU31" i="8"/>
  <c r="S44" i="9"/>
  <c r="AU19" i="8"/>
  <c r="D34" i="9"/>
  <c r="F47" i="9" l="1"/>
  <c r="E49" i="9"/>
  <c r="E4" i="9"/>
  <c r="E31" i="9" s="1"/>
  <c r="E34" i="9" s="1"/>
  <c r="AU34" i="8"/>
  <c r="D16" i="9"/>
  <c r="E6" i="9" l="1"/>
  <c r="E33" i="9" s="1"/>
  <c r="G47" i="9"/>
  <c r="F49" i="9"/>
  <c r="F4" i="9"/>
  <c r="F31" i="9" s="1"/>
  <c r="F34" i="9" s="1"/>
  <c r="U16" i="9"/>
  <c r="E16" i="9"/>
  <c r="AU16" i="8"/>
  <c r="S41" i="9"/>
  <c r="S16" i="9"/>
  <c r="F6" i="9" l="1"/>
  <c r="F33" i="9" s="1"/>
  <c r="F46" i="9" s="1"/>
  <c r="H47" i="9"/>
  <c r="G49" i="9"/>
  <c r="G4" i="9"/>
  <c r="G31" i="9" s="1"/>
  <c r="G34" i="9" s="1"/>
  <c r="E36" i="9"/>
  <c r="F36" i="9" s="1"/>
  <c r="E46" i="9"/>
  <c r="F16" i="9"/>
  <c r="E19" i="9"/>
  <c r="I47" i="9" l="1"/>
  <c r="H49" i="9"/>
  <c r="H4" i="9"/>
  <c r="H31" i="9" s="1"/>
  <c r="H34" i="9" s="1"/>
  <c r="E43" i="9"/>
  <c r="G6" i="9"/>
  <c r="G33" i="9" s="1"/>
  <c r="G46" i="9" s="1"/>
  <c r="E25" i="9"/>
  <c r="F19" i="9"/>
  <c r="E44" i="9"/>
  <c r="G16" i="9"/>
  <c r="F43" i="9"/>
  <c r="H6" i="9" l="1"/>
  <c r="H33" i="9" s="1"/>
  <c r="H46" i="9" s="1"/>
  <c r="J47" i="9"/>
  <c r="I49" i="9"/>
  <c r="I4" i="9"/>
  <c r="I31" i="9" s="1"/>
  <c r="I34" i="9" s="1"/>
  <c r="G36" i="9"/>
  <c r="H36" i="9" s="1"/>
  <c r="H16" i="9"/>
  <c r="F44" i="9"/>
  <c r="G19" i="9"/>
  <c r="F25" i="9"/>
  <c r="E41" i="9"/>
  <c r="E40" i="9" s="1"/>
  <c r="I6" i="9" l="1"/>
  <c r="I33" i="9" s="1"/>
  <c r="I46" i="9" s="1"/>
  <c r="G43" i="9"/>
  <c r="K47" i="9"/>
  <c r="J49" i="9"/>
  <c r="J4" i="9"/>
  <c r="J31" i="9" s="1"/>
  <c r="J34" i="9" s="1"/>
  <c r="G25" i="9"/>
  <c r="F41" i="9"/>
  <c r="F40" i="9" s="1"/>
  <c r="G44" i="9"/>
  <c r="H19" i="9"/>
  <c r="I16" i="9"/>
  <c r="H43" i="9"/>
  <c r="J6" i="9" l="1"/>
  <c r="J33" i="9" s="1"/>
  <c r="J46" i="9" s="1"/>
  <c r="L47" i="9"/>
  <c r="K49" i="9"/>
  <c r="K4" i="9"/>
  <c r="K31" i="9" s="1"/>
  <c r="K34" i="9" s="1"/>
  <c r="I36" i="9"/>
  <c r="J36" i="9" s="1"/>
  <c r="I43" i="9"/>
  <c r="J16" i="9"/>
  <c r="I19" i="9"/>
  <c r="H44" i="9"/>
  <c r="H25" i="9"/>
  <c r="G41" i="9"/>
  <c r="G40" i="9" s="1"/>
  <c r="K6" i="9" l="1"/>
  <c r="K33" i="9" s="1"/>
  <c r="K46" i="9" s="1"/>
  <c r="K36" i="9"/>
  <c r="L49" i="9"/>
  <c r="L4" i="9"/>
  <c r="L31" i="9" s="1"/>
  <c r="L34" i="9" s="1"/>
  <c r="M34" i="9" s="1"/>
  <c r="N34" i="9" s="1"/>
  <c r="O34" i="9" s="1"/>
  <c r="P34" i="9" s="1"/>
  <c r="Q34" i="9" s="1"/>
  <c r="I25" i="9"/>
  <c r="H41" i="9"/>
  <c r="H40" i="9" s="1"/>
  <c r="I44" i="9"/>
  <c r="J19" i="9"/>
  <c r="K16" i="9"/>
  <c r="J43" i="9"/>
  <c r="R34" i="9" l="1"/>
  <c r="T34" i="9" s="1"/>
  <c r="S34" i="9"/>
  <c r="L6" i="9"/>
  <c r="L33" i="9" s="1"/>
  <c r="L46" i="9" s="1"/>
  <c r="K43" i="9"/>
  <c r="L16" i="9"/>
  <c r="J44" i="9"/>
  <c r="K19" i="9"/>
  <c r="J25" i="9"/>
  <c r="I41" i="9"/>
  <c r="I40" i="9" s="1"/>
  <c r="L36" i="9" l="1"/>
  <c r="M36" i="9" s="1"/>
  <c r="N36" i="9" s="1"/>
  <c r="O36" i="9" s="1"/>
  <c r="P36" i="9" s="1"/>
  <c r="Q36" i="9" s="1"/>
  <c r="R36" i="9" s="1"/>
  <c r="K25" i="9"/>
  <c r="J41" i="9"/>
  <c r="J40" i="9" s="1"/>
  <c r="L19" i="9"/>
  <c r="K44" i="9"/>
  <c r="M16" i="9"/>
  <c r="L43" i="9" l="1"/>
  <c r="M43" i="9"/>
  <c r="N16" i="9"/>
  <c r="L44" i="9"/>
  <c r="M19" i="9"/>
  <c r="T12" i="9" s="1"/>
  <c r="L25" i="9"/>
  <c r="K41" i="9"/>
  <c r="K40" i="9" s="1"/>
  <c r="M25" i="9" l="1"/>
  <c r="L41" i="9"/>
  <c r="L40" i="9" s="1"/>
  <c r="N19" i="9"/>
  <c r="M44" i="9"/>
  <c r="O16" i="9"/>
  <c r="N43" i="9"/>
  <c r="O43" i="9" l="1"/>
  <c r="P16" i="9"/>
  <c r="N44" i="9"/>
  <c r="O19" i="9"/>
  <c r="N25" i="9"/>
  <c r="M41" i="9"/>
  <c r="M40" i="9" s="1"/>
  <c r="O25" i="9" l="1"/>
  <c r="N41" i="9"/>
  <c r="N40" i="9" s="1"/>
  <c r="P19" i="9"/>
  <c r="O44" i="9"/>
  <c r="Q16" i="9"/>
  <c r="P43" i="9"/>
  <c r="S36" i="9" l="1"/>
  <c r="Q43" i="9"/>
  <c r="R16" i="9"/>
  <c r="P44" i="9"/>
  <c r="Q19" i="9"/>
  <c r="P25" i="9"/>
  <c r="O41" i="9"/>
  <c r="O40" i="9" s="1"/>
  <c r="Q25" i="9" l="1"/>
  <c r="P41" i="9"/>
  <c r="P40" i="9" s="1"/>
  <c r="Q44" i="9"/>
  <c r="R19" i="9"/>
  <c r="R44" i="9" s="1"/>
  <c r="T44" i="9" s="1"/>
  <c r="R43" i="9"/>
  <c r="T36" i="9"/>
  <c r="T18" i="9" l="1"/>
  <c r="T43" i="9"/>
  <c r="R25" i="9"/>
  <c r="R41" i="9" s="1"/>
  <c r="Q41" i="9"/>
  <c r="Q40" i="9" s="1"/>
  <c r="T16" i="9" l="1"/>
  <c r="R40" i="9"/>
  <c r="T40" i="9" s="1"/>
  <c r="T4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tc={D9AA64D4-74A7-4418-A996-522D83A62B2C}</author>
  </authors>
  <commentList>
    <comment ref="A42" authorId="0" shapeId="0" xr:uid="{D9AA64D4-74A7-4418-A996-522D83A62B2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cibles correspondent à la chronique d'investissement AMS-PE d'I4CE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tc={3AD19CAF-2B57-404F-96AE-EF3454B5E532}</author>
    <author>tc={199E7535-D0EE-4B4B-8D42-EBE8C9961E55}</author>
    <author>tc={B4EB7289-8E3C-4D19-8454-5CBD6284F769}</author>
    <author>tc={4B794542-9841-4301-8D77-D43A0888CB0E}</author>
    <author>tc={0539E1C1-A145-4A86-9382-9D90D2D3BD0C}</author>
  </authors>
  <commentList>
    <comment ref="A42" authorId="0" shapeId="0" xr:uid="{3AD19CAF-2B57-404F-96AE-EF3454B5E53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cibles correspondent à la chronique d'investissement AMS-PE d'I4CE</t>
      </text>
    </comment>
    <comment ref="A48" authorId="1" shapeId="0" xr:uid="{199E7535-D0EE-4B4B-8D42-EBE8C9961E5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cibles correspondent à la chronique d'investissement AMS-PE d'I4CE</t>
      </text>
    </comment>
    <comment ref="A55" authorId="2" shapeId="0" xr:uid="{B4EB7289-8E3C-4D19-8454-5CBD6284F76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cibles correspondent à la chronique d'investissement AMS-PE d'I4CE</t>
      </text>
    </comment>
    <comment ref="A61" authorId="3" shapeId="0" xr:uid="{4B794542-9841-4301-8D77-D43A0888CB0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cibles correspondent à la chronique d'investissement AMS-PE d'I4CE</t>
      </text>
    </comment>
    <comment ref="A192" authorId="4" shapeId="0" xr:uid="{0539E1C1-A145-4A86-9382-9D90D2D3BD0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cibles correspondent à la chronique d'investissement AMS-PE d'I4CE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D28" authorId="0" shapeId="0" xr:uid="{E9692D81-88EE-421F-A831-A845752619E8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source Prix I4CE 2019 divisé par l'indice du prix PMAT_03_16 de 2019 soit 1.27</t>
        </r>
      </text>
    </comment>
    <comment ref="D57" authorId="0" shapeId="0" xr:uid="{15C38DCD-7F83-4548-9D7B-D5010EF1F57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en comptabilité nationale, seuls l'achat des PL est comptabilisé dans les investissements du secteur. 
</t>
        </r>
      </text>
    </comment>
  </commentList>
</comments>
</file>

<file path=xl/sharedStrings.xml><?xml version="1.0" encoding="utf-8"?>
<sst xmlns="http://schemas.openxmlformats.org/spreadsheetml/2006/main" count="766" uniqueCount="496">
  <si>
    <t>AME 3ME</t>
  </si>
  <si>
    <t>AMS 3ME</t>
  </si>
  <si>
    <t xml:space="preserve">Cibles </t>
  </si>
  <si>
    <t>AME I4CE</t>
  </si>
  <si>
    <t>AMS I4CE</t>
  </si>
  <si>
    <t>Mtep carburant fossile</t>
  </si>
  <si>
    <t>Mtep électricité</t>
  </si>
  <si>
    <t xml:space="preserve">Mtep Gaz </t>
  </si>
  <si>
    <t>Ecart 3ME-cible</t>
  </si>
  <si>
    <t>3ME</t>
  </si>
  <si>
    <t>IA_16_0</t>
  </si>
  <si>
    <t>IA_13_16_0</t>
  </si>
  <si>
    <t>PIA_16_0</t>
  </si>
  <si>
    <t>PIA_13_16_0</t>
  </si>
  <si>
    <t>PGDP_0</t>
  </si>
  <si>
    <t>IA_16_2</t>
  </si>
  <si>
    <t>IA_13_16_2</t>
  </si>
  <si>
    <t>PIA_16_2</t>
  </si>
  <si>
    <t>PIA_13_16_2</t>
  </si>
  <si>
    <t>PGDP_2</t>
  </si>
  <si>
    <t>Investissements PL en M€ 2022</t>
  </si>
  <si>
    <t>Montants du crédit d'impôts en M€ 2022</t>
  </si>
  <si>
    <t>Q_MTEP_SEC_22_16_0</t>
  </si>
  <si>
    <t>Q_MTEP_SEC_23_16_0</t>
  </si>
  <si>
    <t>Q_MTEP_SEC_24_16_0</t>
  </si>
  <si>
    <t>Q_MTEP_SEC_22_16_2</t>
  </si>
  <si>
    <t>Q_MTEP_SEC_23_16_2</t>
  </si>
  <si>
    <t>Q_MTEP_SEC_24_16_2</t>
  </si>
  <si>
    <t>Ecart AMS AME 3ME</t>
  </si>
  <si>
    <t>Ecart AMS AME I4CE</t>
  </si>
  <si>
    <t>AME</t>
  </si>
  <si>
    <t>en %</t>
  </si>
  <si>
    <t>Carburant pétrolier</t>
  </si>
  <si>
    <t>Electricité</t>
  </si>
  <si>
    <t xml:space="preserve"> Gaz </t>
  </si>
  <si>
    <t>source 23-09-27 I4CE investissements climat AMS23.xls</t>
  </si>
  <si>
    <t>source Copie de Trajectoire-véhicules_transport.xlsx</t>
  </si>
  <si>
    <t>Carburant</t>
  </si>
  <si>
    <t>électricité</t>
  </si>
  <si>
    <t>Gaz et H</t>
  </si>
  <si>
    <t>AMS Part de marché des PL par type de motorisation DGEC</t>
  </si>
  <si>
    <t>AMS Cibles DGEC</t>
  </si>
  <si>
    <t>historique I4CE</t>
  </si>
  <si>
    <t>AMS-PE Part de marché des PL par type de motorisation I4CE</t>
  </si>
  <si>
    <t>AMS-PE I4CE</t>
  </si>
  <si>
    <t>Ecart AMS AME I4CE en %</t>
  </si>
  <si>
    <t>Ecart AMS-PE AME I4CE en %</t>
  </si>
  <si>
    <t>AMS Nombre de véhicules en milliers (DGEC)</t>
  </si>
  <si>
    <t>prix moyen des véhicules bas carbone  en k€ 2022 (I4CE AMS-PE)</t>
  </si>
  <si>
    <t>Nombre d'immatriculations (I4CE AMS-PE)</t>
  </si>
  <si>
    <t>Nombre d'immatriculations gazole (I4CE AMS-PE)</t>
  </si>
  <si>
    <t>Nombre d'immatriculations bas carbone (I4CE AMS-PE)</t>
  </si>
  <si>
    <t>Nombre d'immatriculations (I4CE AME)</t>
  </si>
  <si>
    <t>Nombre d'immatriculations gazole (I4CE AME)</t>
  </si>
  <si>
    <t>Nombre d'immatriculations bas carbone (I4CE AME)</t>
  </si>
  <si>
    <t>prix moyen des véhicules PL gazole en k€ 2022 (I4CE AME)</t>
  </si>
  <si>
    <t>prix moyen des véhicules bas carbone  en k€ 2022 (I4CE AME)</t>
  </si>
  <si>
    <t>Part des immatriculations bas carbone</t>
  </si>
  <si>
    <t>Part des immatriculations gazole</t>
  </si>
  <si>
    <t>Part des immatriculations gazole (I4CE AME)</t>
  </si>
  <si>
    <t>Part des immatriculations bas carbone (I4CE AME)</t>
  </si>
  <si>
    <t>AME Nombre de véhicules en milliers (DGEC)</t>
  </si>
  <si>
    <t>Investissements PL Investissements PL  en M€ 2022</t>
  </si>
  <si>
    <t>Ecart de prix bas carbone -gazole</t>
  </si>
  <si>
    <t>Ecart de prix moyen entre un PL gazole et un PL bas carbone en €</t>
  </si>
  <si>
    <t xml:space="preserve">Taux d'actualisation </t>
  </si>
  <si>
    <t xml:space="preserve">durée de vie du véhicule </t>
  </si>
  <si>
    <t xml:space="preserve">Nombre de Km parcouru par PL </t>
  </si>
  <si>
    <t>Prix du Kwh d'électricité</t>
  </si>
  <si>
    <t>Economie d'énergie en € par PL sur sa durée de vie</t>
  </si>
  <si>
    <t xml:space="preserve">Consommation d'un PL électrique en KWH/100km </t>
  </si>
  <si>
    <t xml:space="preserve">Consommation d'un PL gazole en l/100 km </t>
  </si>
  <si>
    <t>Prix du l de gazole en euros</t>
  </si>
  <si>
    <t>taux de croissance du prix réel du gazole anticipé</t>
  </si>
  <si>
    <t xml:space="preserve">taux de croissance du prix réel de l'électricité anticipé </t>
  </si>
  <si>
    <t xml:space="preserve">VAN </t>
  </si>
  <si>
    <t>Prix d'un grand PL élec en k€</t>
  </si>
  <si>
    <t>Prix d'un petit PL elec en k€</t>
  </si>
  <si>
    <t>Prix d'un poid lourd diesel en k€</t>
  </si>
  <si>
    <t xml:space="preserve">Part des petits PL dans les immatriculations françaises </t>
  </si>
  <si>
    <t>Part des grands Pl dans les immatriculations françaises</t>
  </si>
  <si>
    <t>Economie d'énergie en Kwh par 100km</t>
  </si>
  <si>
    <t xml:space="preserve">Crédit d'impôt en € par KWH évité </t>
  </si>
  <si>
    <t>Crédit d'impôt moyen par PL électrique</t>
  </si>
  <si>
    <t>facture annuelle de gazole des PL en € actualisée par vh</t>
  </si>
  <si>
    <t>facture annuelle d'électricité des PL en € actualisée par vh</t>
  </si>
  <si>
    <t>total</t>
  </si>
  <si>
    <t>IA_15_0</t>
  </si>
  <si>
    <t>IA_13_15_0</t>
  </si>
  <si>
    <t>PIA_15_0</t>
  </si>
  <si>
    <t>PIA_13_15_0</t>
  </si>
  <si>
    <t>IA_15_2</t>
  </si>
  <si>
    <t>IA_13_15_2</t>
  </si>
  <si>
    <t>PIA_15_2</t>
  </si>
  <si>
    <t>PIA_13_15_2</t>
  </si>
  <si>
    <t>Q_MTEP_SEC_22_15_0</t>
  </si>
  <si>
    <t>Q_MTEP_SEC_23_15_0</t>
  </si>
  <si>
    <t>Q_MTEP_SEC_24_15_0</t>
  </si>
  <si>
    <t>Q_MTEP_SEC_22_15_2</t>
  </si>
  <si>
    <t>Q_MTEP_SEC_23_15_2</t>
  </si>
  <si>
    <t>Q_MTEP_SEC_24_15_2</t>
  </si>
  <si>
    <t>Ecart de prix moyen entre un  bus/car gazole et un  bus/car bas carbone en €</t>
  </si>
  <si>
    <t xml:space="preserve">Nombre de Km parcouru par  bus/car </t>
  </si>
  <si>
    <t xml:space="preserve">Consommation d'un  bus/car gazole en l/100 km </t>
  </si>
  <si>
    <t xml:space="preserve">Consommation d'un  bus/car électrique en KWH/100km </t>
  </si>
  <si>
    <t>Economie d'énergie en € par  bus/car sur sa durée de vie</t>
  </si>
  <si>
    <t>Crédit d'impôt moyen par  bus/car électrique</t>
  </si>
  <si>
    <t>facture annuelle de gazole des  bus/car en € actualisée par vh</t>
  </si>
  <si>
    <t>facture annuelle d'électricité des  bus/car en € actualisée par vh</t>
  </si>
  <si>
    <t>GR_prog_K_16</t>
  </si>
  <si>
    <t>GR_prog_K_15</t>
  </si>
  <si>
    <t>E_OTH_22_15_0</t>
  </si>
  <si>
    <t>E_OTH_23_15_0</t>
  </si>
  <si>
    <t>E_OTH_24_15_0</t>
  </si>
  <si>
    <t>E_OTH_22_15_2</t>
  </si>
  <si>
    <t>E_OTH_23_15_2</t>
  </si>
  <si>
    <t>E_OTH_24_15_2</t>
  </si>
  <si>
    <t>E_OTH_22_16_0</t>
  </si>
  <si>
    <t>E_OTH_23_16_0</t>
  </si>
  <si>
    <t>E_OTH_24_16_0</t>
  </si>
  <si>
    <t>E_OTH_22_16_2</t>
  </si>
  <si>
    <t>E_OTH_23_16_2</t>
  </si>
  <si>
    <t>E_OTH_24_16_2</t>
  </si>
  <si>
    <t>YQ_15_0</t>
  </si>
  <si>
    <t>YQ_16_0</t>
  </si>
  <si>
    <t>YQ_15_2</t>
  </si>
  <si>
    <t>YQ_16_2</t>
  </si>
  <si>
    <t>PL et VUL pavillon français</t>
  </si>
  <si>
    <t>parc de PL immatriculés en France en milliers</t>
  </si>
  <si>
    <t>Parc de VL immatriculés en France en milliers</t>
  </si>
  <si>
    <t>Parc de bus et cars en milliers</t>
  </si>
  <si>
    <t>Milliards de tonnes-Km PL et VUL</t>
  </si>
  <si>
    <t>Mtep essence PL et VUL</t>
  </si>
  <si>
    <t>Mtep gazole PL et VUL</t>
  </si>
  <si>
    <t>Mtep électricité  PL et VUL</t>
  </si>
  <si>
    <t>Mtep gaz naturel  PL et VUL</t>
  </si>
  <si>
    <t>Conso énergétique elec des PL et VUL au KM</t>
  </si>
  <si>
    <t>Conso énergétique gaz des PL et VUL au KM</t>
  </si>
  <si>
    <t>KM/ PL véhicules</t>
  </si>
  <si>
    <t>Km/VUL</t>
  </si>
  <si>
    <t>Conso énergétique PP des PL et VUL en tep/ KM</t>
  </si>
  <si>
    <t>Prix d'un VUL PP  en k€</t>
  </si>
  <si>
    <t>Prix d'un VUL élec  en k€</t>
  </si>
  <si>
    <t>prix d'un VUL GNV en k€</t>
  </si>
  <si>
    <t>Prix moyen d'un PL électrique en k€</t>
  </si>
  <si>
    <t>prix des PL GNV en k€  HT</t>
  </si>
  <si>
    <t>Conso énergétique elec des PL au KM</t>
  </si>
  <si>
    <t>Conso énergétique GNV des VUL au KM</t>
  </si>
  <si>
    <t>Conso énergétique elec des  VUL au KM</t>
  </si>
  <si>
    <t>Conso énergétique GNV des PL au KM</t>
  </si>
  <si>
    <t>Parc roulant des PL immatriculés en France</t>
  </si>
  <si>
    <t>Essence</t>
  </si>
  <si>
    <t>Diesel</t>
  </si>
  <si>
    <t>Hybrides rechargeables</t>
  </si>
  <si>
    <t>Electriques</t>
  </si>
  <si>
    <t>Hydrogène</t>
  </si>
  <si>
    <t>GNV</t>
  </si>
  <si>
    <t>Nombre de VUL immatriculés</t>
  </si>
  <si>
    <t xml:space="preserve">source </t>
  </si>
  <si>
    <t>compte des transports</t>
  </si>
  <si>
    <t>I4CE</t>
  </si>
  <si>
    <t>unités</t>
  </si>
  <si>
    <t xml:space="preserve">taux de crédit d'impôt </t>
  </si>
  <si>
    <t>E_OTH_N_15_0</t>
  </si>
  <si>
    <t>E_OTH_N_15_2</t>
  </si>
  <si>
    <t>E_OTH_N_16_0</t>
  </si>
  <si>
    <t>E_OTH_N_16_2</t>
  </si>
  <si>
    <t>E_OTH_EXO_16</t>
  </si>
  <si>
    <t>E_OTH_16_2</t>
  </si>
  <si>
    <t>Q_MTEP_SEC_16_2</t>
  </si>
  <si>
    <t>I_MDE_16_0</t>
  </si>
  <si>
    <t>I_MDE_16_2</t>
  </si>
  <si>
    <t>I_MDE_EXO_16</t>
  </si>
  <si>
    <t>K_16_0</t>
  </si>
  <si>
    <t>K_N_16_0</t>
  </si>
  <si>
    <t>IA_N_16_0</t>
  </si>
  <si>
    <t>E_OTH_16_2*PHI_E_OTH_22_16_2</t>
  </si>
  <si>
    <t>E_OTH_16_2*PHI_E_OTH_23_16_2</t>
  </si>
  <si>
    <t>E_OTH_16_2*PHI_E_OTH_24_16_2</t>
  </si>
  <si>
    <t>tep</t>
  </si>
  <si>
    <t>factuere</t>
  </si>
  <si>
    <t>baisse des tep</t>
  </si>
  <si>
    <t>baisse de la facture</t>
  </si>
  <si>
    <t xml:space="preserve">baisse des facture projetée </t>
  </si>
  <si>
    <t>phi_E_Oth</t>
  </si>
  <si>
    <t xml:space="preserve">Baisse des tep projetée </t>
  </si>
  <si>
    <t>taux de crédit d'impôt avec prix 2023</t>
  </si>
  <si>
    <t>taux du crédit avce prix anticipé 2050</t>
  </si>
  <si>
    <t>prix moyen des véhicules PL gazole en k€ 2022 (I4CE AMS)</t>
  </si>
  <si>
    <t>nombre de PL 3ME AME</t>
  </si>
  <si>
    <t>nombre de PL 3ME AMS</t>
  </si>
  <si>
    <t>Coût électrification des PL AMS I4CE</t>
  </si>
  <si>
    <t>Coût électrification des PL AME I4CE</t>
  </si>
  <si>
    <t>AMS Cibles DGEC PL</t>
  </si>
  <si>
    <t>AMS Cibles DGEC VUL</t>
  </si>
  <si>
    <t>source Transports_AMS_run2_vf10</t>
  </si>
  <si>
    <t xml:space="preserve">PL carburant fossile </t>
  </si>
  <si>
    <t>PL électricité</t>
  </si>
  <si>
    <t xml:space="preserve">PL Gaz </t>
  </si>
  <si>
    <t>VUL carburant fossile</t>
  </si>
  <si>
    <t>VUL électricité</t>
  </si>
  <si>
    <t xml:space="preserve">VUL Gaz </t>
  </si>
  <si>
    <t>rendements énergétiques VUL</t>
  </si>
  <si>
    <t>rendements énergétiques PL tep/100KM</t>
  </si>
  <si>
    <t>Trucks_16</t>
  </si>
  <si>
    <t>E_spe_22_16</t>
  </si>
  <si>
    <t>E_spe_23_16</t>
  </si>
  <si>
    <t>E_spe_24_16</t>
  </si>
  <si>
    <t>Q_Mtep_spe_22_16</t>
  </si>
  <si>
    <t>Q_Mtep_spe_23_16</t>
  </si>
  <si>
    <t>Q_Mtep_spe_24_16</t>
  </si>
  <si>
    <t>E_trucks_n_22_16</t>
  </si>
  <si>
    <t>E_trucks_n_23_16</t>
  </si>
  <si>
    <t>E_trucks_n_24_16</t>
  </si>
  <si>
    <t>Nombre d'immatriculations PL (I4CE AME)</t>
  </si>
  <si>
    <t>Nombre d'immatriculations PL gazole (I4CE AME)</t>
  </si>
  <si>
    <t>Nombre d'immatriculations bas carbone PL (I4CE AME)</t>
  </si>
  <si>
    <t>prix moyen des véhicules PL bas carbone  en k€ 2022 (I4CE AME)</t>
  </si>
  <si>
    <t>Part des immatriculations PL gazole (I4CE AME)</t>
  </si>
  <si>
    <t>Part des immatriculations PL bas carbone (I4CE AME)</t>
  </si>
  <si>
    <t>Nombre d'immatriculations PL (I4CE AMS)</t>
  </si>
  <si>
    <t>Nombre d'immatriculations PL gazole (I4CE AMS)</t>
  </si>
  <si>
    <t>Nombre d'immatriculations PL  bas carbone (I4CE AMS)</t>
  </si>
  <si>
    <t>prix moyen des véhicules PL bas carbone  en k€ 2022 (I4CE AMS)</t>
  </si>
  <si>
    <t>Part des immatriculations gazole PL</t>
  </si>
  <si>
    <t>Part des immatriculations bas carbone PL</t>
  </si>
  <si>
    <t>AME Nombre de véhicules PL en milliers (I4CE)</t>
  </si>
  <si>
    <t>AMS Nombre de véhicules PL en milliers  (I4CE)</t>
  </si>
  <si>
    <t>Electrique</t>
  </si>
  <si>
    <t>AME parc de PL (I4CE)</t>
  </si>
  <si>
    <t>Parc PL gazole</t>
  </si>
  <si>
    <t>Parc PL Electrique</t>
  </si>
  <si>
    <t>Parc PL Gaz</t>
  </si>
  <si>
    <t>AME Parc roulant de VUL (I4CE)</t>
  </si>
  <si>
    <t>PL gazole</t>
  </si>
  <si>
    <t>consommation TEP/VH</t>
  </si>
  <si>
    <t>Parc de bus et autocars (I4CE)</t>
  </si>
  <si>
    <t>Gazole</t>
  </si>
  <si>
    <t xml:space="preserve">Gaz </t>
  </si>
  <si>
    <t>Evolution du kilométrage moyen</t>
  </si>
  <si>
    <t>Autobus et autocars pavillon français</t>
  </si>
  <si>
    <t>Gazole (kWh/100km)</t>
  </si>
  <si>
    <t>GNV (kWh/100km)</t>
  </si>
  <si>
    <t>Electrique (kWh/100km)</t>
  </si>
  <si>
    <t>H2 (kWh/100km)</t>
  </si>
  <si>
    <t>Intensité énergétique du parc roulant</t>
  </si>
  <si>
    <t>Bus gazole</t>
  </si>
  <si>
    <t>Bus électricité</t>
  </si>
  <si>
    <t xml:space="preserve">Bus Gaz </t>
  </si>
  <si>
    <t>prix moyen des véhicules bus et car gazole en k€ 2022 (I4CE AMS-PE)</t>
  </si>
  <si>
    <t>prix moyen des bus et cars gazole en k€ 2022 (I4CE AME)</t>
  </si>
  <si>
    <t>prix moyen des bus et cars électriques en k€ 2022 (I4CE AME)</t>
  </si>
  <si>
    <t>prix moyen des bus et cars gaz en k€ 2022 (I4CE AME)</t>
  </si>
  <si>
    <t>Mtep_per_trucks_22_16</t>
  </si>
  <si>
    <t>Mtep_per_trucks_23_16</t>
  </si>
  <si>
    <t>Mtep_per_trucks_24_16</t>
  </si>
  <si>
    <t>Trucks_22_16</t>
  </si>
  <si>
    <t>Trucks_23_16</t>
  </si>
  <si>
    <t>Trucks_24_16</t>
  </si>
  <si>
    <t>LUV_22_16</t>
  </si>
  <si>
    <t>LUV_23_16</t>
  </si>
  <si>
    <t>LUV_24_16</t>
  </si>
  <si>
    <t>Mtep_per_LUV_22_16</t>
  </si>
  <si>
    <t>Mtep_per_LUV_23_16</t>
  </si>
  <si>
    <t>Mtep_per_LUV_24_16</t>
  </si>
  <si>
    <t>LUV_16</t>
  </si>
  <si>
    <t>E_LUV_n_22_16</t>
  </si>
  <si>
    <t>E_LUV_n_23_16</t>
  </si>
  <si>
    <t>E_LUV_n_24_16</t>
  </si>
  <si>
    <t>Ptrucks_22_16</t>
  </si>
  <si>
    <t>Ptrucks_23_16</t>
  </si>
  <si>
    <t>Ptrucks_24_16</t>
  </si>
  <si>
    <t>PLUV_22_16</t>
  </si>
  <si>
    <t>PLUV_23_16</t>
  </si>
  <si>
    <t>PLUV_24_16</t>
  </si>
  <si>
    <t>E_oth_16</t>
  </si>
  <si>
    <t>Q_MTep_sec_22_16</t>
  </si>
  <si>
    <t>Q_MTep_sec_23_16</t>
  </si>
  <si>
    <t>Q_MTep_sec_24_16</t>
  </si>
  <si>
    <t>Phi_LUV_22_16</t>
  </si>
  <si>
    <t>Phi_LUV_23_16</t>
  </si>
  <si>
    <t>Phi_LUV_24_16</t>
  </si>
  <si>
    <t>Phi_Trucks_22_16</t>
  </si>
  <si>
    <t>Phi_Trucks_23_16</t>
  </si>
  <si>
    <t>Phi_Trucks_24_16</t>
  </si>
  <si>
    <t>K_n_03_16</t>
  </si>
  <si>
    <t>AME Nombre de véhicules  (I4CE)</t>
  </si>
  <si>
    <t>AMS Nombre de véhicules (I4CE)</t>
  </si>
  <si>
    <t>K_15</t>
  </si>
  <si>
    <t>K_16</t>
  </si>
  <si>
    <t>K_15_0</t>
  </si>
  <si>
    <t>K_15_2</t>
  </si>
  <si>
    <t>K_16_2</t>
  </si>
  <si>
    <t>Y_15_0</t>
  </si>
  <si>
    <t>Y_16_0</t>
  </si>
  <si>
    <t>Y_15_2</t>
  </si>
  <si>
    <t>Y_16_2</t>
  </si>
  <si>
    <t>Y_16</t>
  </si>
  <si>
    <t>E_OTH_15_0</t>
  </si>
  <si>
    <t>E_OTH_16_0</t>
  </si>
  <si>
    <t>E_OTH_15_2</t>
  </si>
  <si>
    <t>IA_16</t>
  </si>
  <si>
    <t>IA_03_16</t>
  </si>
  <si>
    <t>IA_03_16_0</t>
  </si>
  <si>
    <t>E_oth_22_16</t>
  </si>
  <si>
    <t>E_oth_23_16</t>
  </si>
  <si>
    <t>E_oth_24_16</t>
  </si>
  <si>
    <t>Q_Mtep_trucks_22_16</t>
  </si>
  <si>
    <t>Q_Mtep_trucks_23_16</t>
  </si>
  <si>
    <t>Q_Mtep_trucks_24_16</t>
  </si>
  <si>
    <t>Q_Mtep_LUV_22_16</t>
  </si>
  <si>
    <t>Q_Mtep_LUV_23_16</t>
  </si>
  <si>
    <t>Q_Mtep_LUV_24_16</t>
  </si>
  <si>
    <t>Y_15</t>
  </si>
  <si>
    <t>TRUCKS_15</t>
  </si>
  <si>
    <t>TRUCKS_22_15</t>
  </si>
  <si>
    <t>TRUCKS_23_15</t>
  </si>
  <si>
    <t>TRUCKS_24_15</t>
  </si>
  <si>
    <t>MTEP_PER_TRUCKS_22_15</t>
  </si>
  <si>
    <t>MTEP_PER_TRUCKS_23_15</t>
  </si>
  <si>
    <t>MTEP_PER_TRUCKS_24_15</t>
  </si>
  <si>
    <t>E_SPE_22_15</t>
  </si>
  <si>
    <t>E_SPE_23_15</t>
  </si>
  <si>
    <t>E_SPE_24_15</t>
  </si>
  <si>
    <t>Q_MTEP_SPE_22_15</t>
  </si>
  <si>
    <t>Q_MTEP_SPE_23_15</t>
  </si>
  <si>
    <t>Q_MTEP_SPE_24_15</t>
  </si>
  <si>
    <t>Q_MTEP_TRUCKS_22_15</t>
  </si>
  <si>
    <t>Q_MTEP_TRUCKS_23_15</t>
  </si>
  <si>
    <t>Q_MTEP_TRUCKS_24_15</t>
  </si>
  <si>
    <t>E_TRUCKS_N_22_15</t>
  </si>
  <si>
    <t>E_TRUCKS_N_23_15</t>
  </si>
  <si>
    <t>E_TRUCKS_N_24_15</t>
  </si>
  <si>
    <t>PTRUCKS_22_15</t>
  </si>
  <si>
    <t>PTRUCKS_23_15</t>
  </si>
  <si>
    <t>PTRUCKS_24_15</t>
  </si>
  <si>
    <t>E_OTH_15</t>
  </si>
  <si>
    <t>E_OTH_N_22_15</t>
  </si>
  <si>
    <t>E_OTH_N_23_15</t>
  </si>
  <si>
    <t>E_OTH_N_24_15</t>
  </si>
  <si>
    <t>PHI_TRUCKS_22_15</t>
  </si>
  <si>
    <t>PHI_TRUCKS_23_15</t>
  </si>
  <si>
    <t>PHI_TRUCKS_24_15</t>
  </si>
  <si>
    <t>Q_MTEP_SEC_22_15</t>
  </si>
  <si>
    <t>Q_MTEP_SEC_23_15</t>
  </si>
  <si>
    <t>Q_MTEP_SEC_24_15</t>
  </si>
  <si>
    <t>TRUCKS_16</t>
  </si>
  <si>
    <t>TRUCKS_22_16</t>
  </si>
  <si>
    <t>TRUCKS_23_16</t>
  </si>
  <si>
    <t>TRUCKS_24_16</t>
  </si>
  <si>
    <t>MTEP_PER_TRUCKS_22_16</t>
  </si>
  <si>
    <t>MTEP_PER_TRUCKS_23_16</t>
  </si>
  <si>
    <t>MTEP_PER_TRUCKS_24_16</t>
  </si>
  <si>
    <t>MTEP_PER_LUV_22_16</t>
  </si>
  <si>
    <t>MTEP_PER_LUV_23_16</t>
  </si>
  <si>
    <t>MTEP_PER_LUV_24_16</t>
  </si>
  <si>
    <t>E_SPE_22_16</t>
  </si>
  <si>
    <t>E_SPE_23_16</t>
  </si>
  <si>
    <t>E_SPE_24_16</t>
  </si>
  <si>
    <t>Q_MTEP_SPE_22_16</t>
  </si>
  <si>
    <t>Q_MTEP_SPE_23_16</t>
  </si>
  <si>
    <t>Q_MTEP_SPE_24_16</t>
  </si>
  <si>
    <t>Q_MTEP_TRUCKS_22_16</t>
  </si>
  <si>
    <t>Q_MTEP_TRUCKS_23_16</t>
  </si>
  <si>
    <t>Q_MTEP_TRUCKS_24_16</t>
  </si>
  <si>
    <t>E_TRUCKS_N_22_16</t>
  </si>
  <si>
    <t>E_TRUCKS_N_23_16</t>
  </si>
  <si>
    <t>E_TRUCKS_N_24_16</t>
  </si>
  <si>
    <t>PTRUCKS_22_16</t>
  </si>
  <si>
    <t>PTRUCKS_23_16</t>
  </si>
  <si>
    <t>PTRUCKS_24_16</t>
  </si>
  <si>
    <t>Q_MTEP_LUV_22_16</t>
  </si>
  <si>
    <t>Q_MTEP_LUV_23_16</t>
  </si>
  <si>
    <t>Q_MTEP_LUV_24_16</t>
  </si>
  <si>
    <t>E_LUV_N_22_16</t>
  </si>
  <si>
    <t>E_LUV_N_23_16</t>
  </si>
  <si>
    <t>E_LUV_N_24_16</t>
  </si>
  <si>
    <t>E_OTH_16</t>
  </si>
  <si>
    <t>E_OTH_22_16</t>
  </si>
  <si>
    <t>E_OTH_23_16</t>
  </si>
  <si>
    <t>E_OTH_24_16</t>
  </si>
  <si>
    <t>Q_MTEP_SEC_22_16</t>
  </si>
  <si>
    <t>Q_MTEP_SEC_23_16</t>
  </si>
  <si>
    <t>Q_MTEP_SEC_24_16</t>
  </si>
  <si>
    <t>PHI_LUV_22_16</t>
  </si>
  <si>
    <t>PHI_LUV_23_16</t>
  </si>
  <si>
    <t>PHI_LUV_24_16</t>
  </si>
  <si>
    <t>PHI_TRUCKS_22_16</t>
  </si>
  <si>
    <t>PHI_TRUCKS_23_16</t>
  </si>
  <si>
    <t>PHI_TRUCKS_24_16</t>
  </si>
  <si>
    <t>_0</t>
  </si>
  <si>
    <t>LUV_16_0</t>
  </si>
  <si>
    <t>TRUCKS_16_0</t>
  </si>
  <si>
    <t>LUV_22_16_0</t>
  </si>
  <si>
    <t>LUV_23_16_0</t>
  </si>
  <si>
    <t>LUV_24_16_0</t>
  </si>
  <si>
    <t>TRUCKS_22_16_0</t>
  </si>
  <si>
    <t>TRUCKS_23_16_0</t>
  </si>
  <si>
    <t>TRUCKS_24_16_0</t>
  </si>
  <si>
    <t>E_SPE_22_16_0</t>
  </si>
  <si>
    <t>E_SPE_23_16_0</t>
  </si>
  <si>
    <t>E_SPE_24_16_0</t>
  </si>
  <si>
    <t>Q_MTEP_SPE_22_16_0</t>
  </si>
  <si>
    <t>Q_MTEP_SPE_23_16_0</t>
  </si>
  <si>
    <t>Q_MTEP_SPE_24_16_0</t>
  </si>
  <si>
    <t>Q_MTEP_TRUCKS_22_16_0</t>
  </si>
  <si>
    <t>Q_MTEP_TRUCKS_23_16_0</t>
  </si>
  <si>
    <t>Q_MTEP_TRUCKS_24_16_0</t>
  </si>
  <si>
    <t>E_TRUCKS_N_22_16_0</t>
  </si>
  <si>
    <t>E_TRUCKS_N_23_16_0</t>
  </si>
  <si>
    <t>E_TRUCKS_N_24_16_0</t>
  </si>
  <si>
    <t>Q_MTEP_LUV_22_16_0</t>
  </si>
  <si>
    <t>Q_MTEP_LUV_23_16_0</t>
  </si>
  <si>
    <t>Q_MTEP_LUV_24_16_0</t>
  </si>
  <si>
    <t>E_LUV_N_22_16_0</t>
  </si>
  <si>
    <t>E_LUV_N_23_16_0</t>
  </si>
  <si>
    <t>E_LUV_N_24_16_0</t>
  </si>
  <si>
    <t>PLUV_16</t>
  </si>
  <si>
    <t>Ptrucks_16</t>
  </si>
  <si>
    <t>Tdec_16</t>
  </si>
  <si>
    <t>IA_12_16</t>
  </si>
  <si>
    <t>IA_19_16</t>
  </si>
  <si>
    <t>IA_13_16</t>
  </si>
  <si>
    <t>IA_15</t>
  </si>
  <si>
    <t>TDEC_15</t>
  </si>
  <si>
    <t>TRUCKS_15_0</t>
  </si>
  <si>
    <t>TRUCKS_22_15_0</t>
  </si>
  <si>
    <t>TRUCKS_23_15_0</t>
  </si>
  <si>
    <t>TRUCKS_24_15_0</t>
  </si>
  <si>
    <t>E_SPE_22_15_0</t>
  </si>
  <si>
    <t>E_SPE_23_15_0</t>
  </si>
  <si>
    <t>E_SPE_24_15_0</t>
  </si>
  <si>
    <t>Q_MTEP_SPE_22_15_0</t>
  </si>
  <si>
    <t>Q_MTEP_SPE_23_15_0</t>
  </si>
  <si>
    <t>Q_MTEP_SPE_24_15_0</t>
  </si>
  <si>
    <t>Q_MTEP_TRUCKS_22_15_0</t>
  </si>
  <si>
    <t>Q_MTEP_TRUCKS_23_15_0</t>
  </si>
  <si>
    <t>Q_MTEP_TRUCKS_24_15_0</t>
  </si>
  <si>
    <t>E_TRUCKS_N_22_15_0</t>
  </si>
  <si>
    <t>E_TRUCKS_N_23_15_0</t>
  </si>
  <si>
    <t>E_TRUCKS_N_24_15_0</t>
  </si>
  <si>
    <t>E_OTH_N_22_15_0</t>
  </si>
  <si>
    <t>E_OTH_N_23_15_0</t>
  </si>
  <si>
    <t>E_OTH_N_24_15_0</t>
  </si>
  <si>
    <t>PTRUCKS_15</t>
  </si>
  <si>
    <t>PHI_TRUCKS_21_15</t>
  </si>
  <si>
    <t>PHI_TRUCKS_21_16</t>
  </si>
  <si>
    <t>PHI_LUV_21_16</t>
  </si>
  <si>
    <t>AMS Part de marché des VUL par type de motorisation DGEC AMS</t>
  </si>
  <si>
    <t>TAX_CR_VAL_16_0</t>
  </si>
  <si>
    <t>TAX_CR_VAL_16_2</t>
  </si>
  <si>
    <t>TAX_CR_VAL_15_0</t>
  </si>
  <si>
    <t>TAX_CR_VAL_15_2</t>
  </si>
  <si>
    <t>taux de crédit d'impôt DGEC</t>
  </si>
  <si>
    <t>New_trucks_21_16</t>
  </si>
  <si>
    <t>New_trucks_22_16</t>
  </si>
  <si>
    <t>New_trucks_23_16</t>
  </si>
  <si>
    <t>New_trucks_24_16</t>
  </si>
  <si>
    <t>New_trucks_16</t>
  </si>
  <si>
    <t>IA_05_16</t>
  </si>
  <si>
    <t>IA_03_15</t>
  </si>
  <si>
    <t>IA_05_15</t>
  </si>
  <si>
    <t>IA_12_15</t>
  </si>
  <si>
    <t>IA_19_15</t>
  </si>
  <si>
    <t>IA_13_15</t>
  </si>
  <si>
    <t>New_trucks_22_15</t>
  </si>
  <si>
    <t>New_trucks_23_15</t>
  </si>
  <si>
    <t>New_trucks_24_15</t>
  </si>
  <si>
    <t>VERIF_GDP_GDPBIS_0</t>
  </si>
  <si>
    <t>VERIF_GDP_GDPTER_0</t>
  </si>
  <si>
    <t>VERIF_PGDP_PGDPBIS_0</t>
  </si>
  <si>
    <t>VERIF_GDPBIS_GDPTER_0</t>
  </si>
  <si>
    <t>VERIF_GDPTER_GDPBIS_0</t>
  </si>
  <si>
    <t>VERIF_PGDP_PGDPTER_0</t>
  </si>
  <si>
    <t>VERIF_VALGDP_VALGDPTER_0</t>
  </si>
  <si>
    <t>VERIF_CH_0</t>
  </si>
  <si>
    <t>VERIF_G_0</t>
  </si>
  <si>
    <t>VERIF_I_0</t>
  </si>
  <si>
    <t>VERIF_X_0</t>
  </si>
  <si>
    <t>VERIF_DS_0</t>
  </si>
  <si>
    <t>VERIF_M_0</t>
  </si>
  <si>
    <t>prix des PL gazole en k€ 2022</t>
  </si>
  <si>
    <t>Prix d'un grand PL élec en k€ 2022</t>
  </si>
  <si>
    <t>Prix d'un PL élec en k€ 2022</t>
  </si>
  <si>
    <t>prix des PL gazole en k€ 2006</t>
  </si>
  <si>
    <t>Prix d'un grand PL élec en k€ 2006</t>
  </si>
  <si>
    <t>Prix d'un PL élec en k€ 2006</t>
  </si>
  <si>
    <t>Prix moyen d'un PL électrique en k€ 2006</t>
  </si>
  <si>
    <t>prix des PL GNV en k€ 2006  HT</t>
  </si>
  <si>
    <t>Prix d'un VUL PP  en k€ 2006</t>
  </si>
  <si>
    <t>Prix d'un VUL élec  en k€ 2006</t>
  </si>
  <si>
    <t>prix d'un VUL GNV enk€ 2006</t>
  </si>
  <si>
    <t>prix moyen des bus et cars gazole en k€ 2006 (I4CE AME)</t>
  </si>
  <si>
    <t>prix moyen des bus et cars électriques en k€ 2006 (I4CE AME)</t>
  </si>
  <si>
    <t>prix moyen des bus et cars gaz en k€ 2006 (I4CE AME)</t>
  </si>
  <si>
    <t>Faire tourner le solver. Ce chiffre doît être égal à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</si>
</sst>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2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00"/>
    <numFmt numFmtId="165" formatCode="#,##0.000"/>
    <numFmt numFmtId="166" formatCode="#,##0.0"/>
    <numFmt numFmtId="167" formatCode="0.0%"/>
    <numFmt numFmtId="168" formatCode="0.0"/>
    <numFmt numFmtId="169" formatCode="_-* #,##0.00\ _€_-;\-* #,##0.00\ _€_-;_-* &quot;-&quot;??\ _€_-;_-@_-"/>
    <numFmt numFmtId="170" formatCode="\ * #,##0.00&quot;    &quot;;\-* #,##0.00&quot;    &quot;;\ * \-#&quot;    &quot;;\ @\ "/>
    <numFmt numFmtId="171" formatCode="0\ %"/>
    <numFmt numFmtId="172" formatCode="\ * #,##0.00&quot; € &quot;;\-* #,##0.00&quot; € &quot;;\ * \-#&quot; € &quot;;\ @\ "/>
    <numFmt numFmtId="173" formatCode="0&quot; &quot;%"/>
    <numFmt numFmtId="174" formatCode="#,##0.00&quot; &quot;;&quot;-&quot;#,##0.00&quot; &quot;;&quot;-&quot;#&quot; &quot;;@&quot; &quot;"/>
    <numFmt numFmtId="175" formatCode="mmmm&quot; &quot;d&quot;, &quot;yyyy"/>
    <numFmt numFmtId="176" formatCode="#,##0.00&quot; € &quot;;#,##0.00&quot; € &quot;;&quot;-&quot;#&quot; € &quot;;@&quot; &quot;"/>
    <numFmt numFmtId="177" formatCode="#,##0.00&quot; &quot;[$€-40C]&quot; &quot;;#,##0.00&quot; &quot;[$€-40C]&quot; &quot;;&quot;-&quot;#&quot; &quot;[$€-40C]&quot; &quot;;&quot; &quot;@&quot; &quot;"/>
    <numFmt numFmtId="178" formatCode="#,##0.00&quot; &quot;[$€-401]&quot; &quot;;#,##0.00&quot; &quot;[$€-401]&quot; &quot;;&quot;-&quot;#&quot; &quot;[$€-401]&quot; &quot;"/>
    <numFmt numFmtId="179" formatCode="#,##0.00&quot; &quot;[$€-40C];&quot;-&quot;#,##0.00&quot; &quot;[$€-40C]"/>
    <numFmt numFmtId="180" formatCode="#,##0.00&quot; &quot;[$€-40C]&quot; &quot;;#,##0.00&quot; &quot;[$€-40C]&quot; &quot;;&quot;-&quot;#&quot; &quot;[$€-40C]&quot; &quot;;@&quot; &quot;"/>
    <numFmt numFmtId="181" formatCode="&quot; &quot;#,##0.00&quot; &quot;;&quot;-&quot;#,##0.00&quot; &quot;;&quot; -&quot;00&quot; &quot;;&quot; &quot;@&quot; &quot;"/>
    <numFmt numFmtId="182" formatCode="#,##0.00&quot;    &quot;;#,##0.00&quot;    &quot;;&quot;-&quot;#&quot;    &quot;;&quot; &quot;@&quot; &quot;"/>
    <numFmt numFmtId="183" formatCode="#,##0.00&quot;    &quot;;#,##0.00&quot;    &quot;;&quot;-&quot;#&quot;    &quot;;@&quot; &quot;"/>
    <numFmt numFmtId="184" formatCode="#,##0&quot; F&quot;;&quot;-&quot;#,##0&quot; F&quot;"/>
    <numFmt numFmtId="185" formatCode="0.00&quot; &quot;"/>
    <numFmt numFmtId="186" formatCode="&quot;(&quot;#&quot;)&quot;;&quot;(&quot;#&quot;)&quot;"/>
    <numFmt numFmtId="187" formatCode="#,##0.00&quot; &quot;[$€-40C];[Red]&quot;-&quot;#,##0.00&quot; &quot;[$€-40C]"/>
    <numFmt numFmtId="188" formatCode="[$€-40C]&quot; &quot;#,##0.0"/>
    <numFmt numFmtId="189" formatCode="[$€-40C]&quot; &quot;#,##0.00"/>
    <numFmt numFmtId="190" formatCode="[$€-40C]&quot; &quot;#,##0"/>
    <numFmt numFmtId="191" formatCode="#,##0.0&quot; F&quot;"/>
    <numFmt numFmtId="192" formatCode="#,##0.00&quot; F&quot;"/>
    <numFmt numFmtId="193" formatCode="#,##0&quot; F&quot;"/>
    <numFmt numFmtId="194" formatCode="0.00&quot; &quot;%"/>
    <numFmt numFmtId="195" formatCode="#,##0&quot; F &quot;;#,##0&quot; F &quot;;&quot;- F &quot;;&quot; &quot;@&quot; &quot;"/>
    <numFmt numFmtId="196" formatCode="#,##0.00&quot; F &quot;;#,##0.00&quot; F &quot;;&quot;-&quot;#&quot; F &quot;;&quot; &quot;@&quot; &quot;"/>
    <numFmt numFmtId="197" formatCode="#,##0.00&quot; &quot;[$€]&quot; &quot;;#,##0.00&quot; &quot;[$€]&quot; &quot;;&quot;-&quot;#&quot; &quot;[$€]&quot; &quot;;&quot; &quot;@&quot; &quot;"/>
    <numFmt numFmtId="198" formatCode="#,##0.00&quot; &quot;[$€];&quot;-&quot;#,##0.00&quot; &quot;[$€]"/>
    <numFmt numFmtId="199" formatCode="#,##0.00&quot; &quot;[$€]&quot; &quot;;#,##0.00&quot; &quot;[$€]&quot; &quot;;&quot;-&quot;#&quot; &quot;[$€]&quot; &quot;;@&quot; &quot;"/>
    <numFmt numFmtId="200" formatCode="[$€]&quot; &quot;#,##0.0"/>
    <numFmt numFmtId="201" formatCode="[$€]&quot; &quot;#,##0.00"/>
    <numFmt numFmtId="202" formatCode="[$€]&quot; &quot;#,##0"/>
    <numFmt numFmtId="203" formatCode="#,##0.00&quot; &quot;;#,##0.00&quot; &quot;;&quot;-&quot;#&quot; &quot;;&quot; &quot;@&quot; &quot;"/>
    <numFmt numFmtId="204" formatCode="_-* #,##0.00\ _F_-;\-* #,##0.00\ _F_-;_-* &quot;-&quot;??\ _F_-;_-@_-"/>
    <numFmt numFmtId="205" formatCode="[$-40C]mmm\-yy;@"/>
    <numFmt numFmtId="206" formatCode="0.000000"/>
    <numFmt numFmtId="207" formatCode="0.000"/>
    <numFmt numFmtId="208" formatCode="0.0000"/>
    <numFmt numFmtId="209" formatCode="_-* #,##0_-;\-* #,##0_-;_-* &quot;-&quot;??_-;_-@_-"/>
    <numFmt numFmtId="210" formatCode="_-* #,##0\ _€_-;\-* #,##0\ _€_-;_-* &quot;-&quot;??\ _€_-;_-@_-"/>
    <numFmt numFmtId="211" formatCode="0.00000"/>
    <numFmt numFmtId="212" formatCode="0.000000000"/>
    <numFmt numFmtId="213" formatCode="_-* #,##0.000000_-;\-* #,##0.000000_-;_-* &quot;-&quot;??_-;_-@_-"/>
  </numFmts>
  <fonts count="2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name val="Verdana"/>
      <family val="2"/>
    </font>
    <font>
      <b/>
      <sz val="9"/>
      <name val="Verdana"/>
      <family val="2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</font>
    <font>
      <sz val="9"/>
      <name val="Parisine Office"/>
      <family val="2"/>
    </font>
    <font>
      <b/>
      <sz val="9"/>
      <name val="Parisine Office"/>
      <family val="2"/>
    </font>
    <font>
      <b/>
      <sz val="11"/>
      <name val="Parisine Office"/>
      <family val="2"/>
    </font>
    <font>
      <sz val="10"/>
      <name val="Parisine Office"/>
    </font>
    <font>
      <sz val="10"/>
      <color theme="1"/>
      <name val="Tahoma"/>
      <family val="2"/>
    </font>
    <font>
      <b/>
      <sz val="18"/>
      <color theme="3"/>
      <name val="Calibri Light"/>
      <family val="2"/>
      <scheme val="major"/>
    </font>
    <font>
      <sz val="8"/>
      <color theme="1"/>
      <name val="Calibri"/>
      <family val="2"/>
    </font>
    <font>
      <b/>
      <sz val="9"/>
      <name val="Parisine Office"/>
    </font>
    <font>
      <b/>
      <sz val="11"/>
      <name val="Parisine Office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1"/>
      <color rgb="FFFFFFFF"/>
      <name val="Calibri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A7D00"/>
      <name val="Calibri"/>
      <family val="2"/>
      <charset val="1"/>
    </font>
    <font>
      <i/>
      <sz val="11"/>
      <name val="Calibri"/>
      <family val="2"/>
      <scheme val="minor"/>
    </font>
    <font>
      <sz val="9"/>
      <color rgb="FF000000"/>
      <name val="Times New Roman"/>
      <family val="1"/>
    </font>
    <font>
      <sz val="8"/>
      <color rgb="FF000000"/>
      <name val="Arial1"/>
    </font>
    <font>
      <sz val="12"/>
      <color rgb="FF000000"/>
      <name val="Calibri"/>
      <family val="2"/>
    </font>
    <font>
      <sz val="8"/>
      <color rgb="FFFFFFFF"/>
      <name val="Arial1"/>
    </font>
    <font>
      <sz val="12"/>
      <color rgb="FFFFFFFF"/>
      <name val="Calibri"/>
      <family val="2"/>
    </font>
    <font>
      <sz val="10"/>
      <color rgb="FF000000"/>
      <name val="Arial1"/>
    </font>
    <font>
      <sz val="10"/>
      <color rgb="FF000000"/>
      <name val="Times New Roman1"/>
      <family val="1"/>
    </font>
    <font>
      <sz val="8"/>
      <color rgb="FFFF0000"/>
      <name val="Arial1"/>
    </font>
    <font>
      <sz val="11"/>
      <color rgb="FF800080"/>
      <name val="Calibri"/>
      <family val="2"/>
    </font>
    <font>
      <b/>
      <sz val="9"/>
      <color rgb="FF000000"/>
      <name val="Times New Roman1"/>
      <family val="1"/>
    </font>
    <font>
      <sz val="12"/>
      <color rgb="FF008000"/>
      <name val="Calibri"/>
      <family val="2"/>
    </font>
    <font>
      <sz val="11"/>
      <color rgb="FF008000"/>
      <name val="Calibri"/>
      <family val="2"/>
    </font>
    <font>
      <b/>
      <sz val="11"/>
      <color rgb="FF993300"/>
      <name val="Calibri"/>
      <family val="2"/>
    </font>
    <font>
      <b/>
      <sz val="8"/>
      <color rgb="FFFF9900"/>
      <name val="Arial1"/>
    </font>
    <font>
      <sz val="11"/>
      <color rgb="FF993300"/>
      <name val="Calibri"/>
      <family val="2"/>
    </font>
    <font>
      <sz val="8"/>
      <color rgb="FFFF9900"/>
      <name val="Arial1"/>
    </font>
    <font>
      <sz val="10"/>
      <color rgb="FF808080"/>
      <name val="Courier New"/>
      <family val="3"/>
    </font>
    <font>
      <sz val="10"/>
      <color rgb="FF000000"/>
      <name val="Courier New"/>
      <family val="3"/>
    </font>
    <font>
      <b/>
      <sz val="10"/>
      <color rgb="FFFFFFFF"/>
      <name val="Arial1"/>
    </font>
    <font>
      <b/>
      <sz val="10"/>
      <color rgb="FF000000"/>
      <name val="Courier New"/>
      <family val="3"/>
    </font>
    <font>
      <sz val="8"/>
      <color rgb="FF000000"/>
      <name val="Courier New"/>
      <family val="3"/>
    </font>
    <font>
      <b/>
      <i/>
      <sz val="10"/>
      <color rgb="FF333300"/>
      <name val="Courier New"/>
      <family val="3"/>
    </font>
    <font>
      <b/>
      <i/>
      <sz val="10"/>
      <color rgb="FF008080"/>
      <name val="Courier New"/>
      <family val="3"/>
    </font>
    <font>
      <b/>
      <i/>
      <sz val="10"/>
      <color rgb="FF993300"/>
      <name val="Courier New"/>
      <family val="3"/>
    </font>
    <font>
      <b/>
      <i/>
      <sz val="10"/>
      <color rgb="FF808000"/>
      <name val="Courier New"/>
      <family val="3"/>
    </font>
    <font>
      <i/>
      <sz val="10"/>
      <color rgb="FF0000FF"/>
      <name val="Courier New"/>
      <family val="3"/>
    </font>
    <font>
      <b/>
      <sz val="11"/>
      <color rgb="FF000000"/>
      <name val="Times New Roman1"/>
      <family val="1"/>
    </font>
    <font>
      <b/>
      <sz val="10"/>
      <color rgb="FF000000"/>
      <name val="Times New Roman1"/>
      <family val="1"/>
    </font>
    <font>
      <b/>
      <i/>
      <sz val="10"/>
      <color rgb="FF000000"/>
      <name val="Arial1"/>
    </font>
    <font>
      <sz val="10"/>
      <color rgb="FF3366FF"/>
      <name val="Arial1"/>
    </font>
    <font>
      <sz val="10"/>
      <color rgb="FF333399"/>
      <name val="Arial1"/>
    </font>
    <font>
      <b/>
      <sz val="10"/>
      <color rgb="FF333399"/>
      <name val="Arial1"/>
    </font>
    <font>
      <b/>
      <sz val="10"/>
      <color rgb="FF3366FF"/>
      <name val="Arial1"/>
    </font>
    <font>
      <b/>
      <sz val="11"/>
      <color rgb="FF3366FF"/>
      <name val="Calibri"/>
      <family val="2"/>
    </font>
    <font>
      <b/>
      <sz val="18"/>
      <color rgb="FF000000"/>
      <name val="Arial1"/>
    </font>
    <font>
      <b/>
      <sz val="12"/>
      <color rgb="FF000000"/>
      <name val="Arial1"/>
    </font>
    <font>
      <b/>
      <sz val="10"/>
      <color rgb="FF000000"/>
      <name val="Arial1"/>
    </font>
    <font>
      <i/>
      <sz val="8"/>
      <color rgb="FF666699"/>
      <name val="Arial1"/>
    </font>
    <font>
      <sz val="8"/>
      <color rgb="FF333399"/>
      <name val="Arial1"/>
    </font>
    <font>
      <sz val="11"/>
      <color rgb="FF333399"/>
      <name val="Calibri"/>
      <family val="2"/>
    </font>
    <font>
      <sz val="11"/>
      <color rgb="FF000000"/>
      <name val="Calibri1"/>
    </font>
    <font>
      <i/>
      <sz val="11"/>
      <color rgb="FF808080"/>
      <name val="Calibri"/>
      <family val="2"/>
    </font>
    <font>
      <b/>
      <i/>
      <sz val="16"/>
      <color rgb="FF000000"/>
      <name val="Calibri"/>
      <family val="2"/>
    </font>
    <font>
      <b/>
      <i/>
      <sz val="16"/>
      <color rgb="FF000000"/>
      <name val="Liberation Sans"/>
      <family val="2"/>
    </font>
    <font>
      <b/>
      <sz val="15"/>
      <color rgb="FF3366FF"/>
      <name val="Calibri"/>
      <family val="2"/>
    </font>
    <font>
      <b/>
      <sz val="13"/>
      <color rgb="FF3366FF"/>
      <name val="Calibri"/>
      <family val="2"/>
    </font>
    <font>
      <sz val="8"/>
      <color rgb="FF0066CC"/>
      <name val="Arial1"/>
    </font>
    <font>
      <u/>
      <sz val="10"/>
      <color rgb="FF0000FF"/>
      <name val="Arial1"/>
    </font>
    <font>
      <u/>
      <sz val="10"/>
      <color rgb="FF0066CC"/>
      <name val="Arial1"/>
    </font>
    <font>
      <u/>
      <sz val="10"/>
      <color rgb="FF0000FF"/>
      <name val="Times New Roman1"/>
      <family val="1"/>
    </font>
    <font>
      <b/>
      <sz val="12"/>
      <color rgb="FF000000"/>
      <name val="Times New Roman1"/>
      <family val="1"/>
    </font>
    <font>
      <b/>
      <sz val="8"/>
      <color rgb="FF000000"/>
      <name val="Arial1"/>
    </font>
    <font>
      <b/>
      <u/>
      <sz val="8"/>
      <color rgb="FF000000"/>
      <name val="Arial1"/>
    </font>
    <font>
      <i/>
      <u/>
      <sz val="8"/>
      <color rgb="FF000000"/>
      <name val="Arial1"/>
    </font>
    <font>
      <sz val="8"/>
      <color rgb="FF000000"/>
      <name val="Comic Sans MS"/>
      <family val="4"/>
    </font>
    <font>
      <sz val="10"/>
      <color rgb="FF000000"/>
      <name val="Arial"/>
      <family val="2"/>
    </font>
    <font>
      <sz val="10"/>
      <color rgb="FFFF0000"/>
      <name val="Arial1"/>
    </font>
    <font>
      <sz val="11"/>
      <color rgb="FF333300"/>
      <name val="Calibri"/>
      <family val="2"/>
    </font>
    <font>
      <sz val="8"/>
      <color rgb="FF008080"/>
      <name val="Arial1"/>
    </font>
    <font>
      <b/>
      <i/>
      <sz val="16"/>
      <color rgb="FF000000"/>
      <name val="Arial1"/>
    </font>
    <font>
      <sz val="11"/>
      <color rgb="FF000000"/>
      <name val="Liberation Sans"/>
      <family val="2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Times New Roman1"/>
      <family val="1"/>
    </font>
    <font>
      <sz val="10"/>
      <color rgb="FF666699"/>
      <name val="Arial1"/>
    </font>
    <font>
      <b/>
      <sz val="12"/>
      <color rgb="FF808080"/>
      <name val="Arial1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i/>
      <u/>
      <sz val="11"/>
      <color rgb="FF000000"/>
      <name val="Liberation Sans"/>
      <family val="2"/>
    </font>
    <font>
      <sz val="8"/>
      <color rgb="FF008000"/>
      <name val="Arial1"/>
    </font>
    <font>
      <b/>
      <sz val="8"/>
      <color rgb="FFFF6600"/>
      <name val="Arial1"/>
    </font>
    <font>
      <i/>
      <sz val="8"/>
      <color rgb="FF008080"/>
      <name val="Arial1"/>
    </font>
    <font>
      <b/>
      <sz val="18"/>
      <color rgb="FF3366FF"/>
      <name val="Cambria"/>
      <family val="1"/>
    </font>
    <font>
      <sz val="9"/>
      <color rgb="FF000000"/>
      <name val="Verdana"/>
      <family val="2"/>
    </font>
    <font>
      <sz val="10"/>
      <color rgb="FF008080"/>
      <name val="Courier New"/>
      <family val="3"/>
    </font>
    <font>
      <sz val="10"/>
      <color rgb="FF0066CC"/>
      <name val="Courier New"/>
      <family val="3"/>
    </font>
    <font>
      <sz val="10"/>
      <color rgb="FF008000"/>
      <name val="Courier New"/>
      <family val="3"/>
    </font>
    <font>
      <i/>
      <sz val="9"/>
      <color rgb="FF333300"/>
      <name val="Verdana"/>
      <family val="2"/>
    </font>
    <font>
      <i/>
      <sz val="9"/>
      <color rgb="FF008080"/>
      <name val="Verdana"/>
      <family val="2"/>
    </font>
    <font>
      <i/>
      <sz val="9"/>
      <color rgb="FF993300"/>
      <name val="Verdana"/>
      <family val="2"/>
    </font>
    <font>
      <i/>
      <sz val="9"/>
      <color rgb="FF808000"/>
      <name val="Verdana"/>
      <family val="2"/>
    </font>
    <font>
      <sz val="9"/>
      <color rgb="FF0000FF"/>
      <name val="Verdana"/>
      <family val="2"/>
    </font>
    <font>
      <sz val="9"/>
      <color rgb="FF000080"/>
      <name val="Verdana"/>
      <family val="2"/>
    </font>
    <font>
      <b/>
      <sz val="9"/>
      <color rgb="FF000000"/>
      <name val="Verdana"/>
      <family val="2"/>
    </font>
    <font>
      <b/>
      <sz val="10"/>
      <color rgb="FF008080"/>
      <name val="Courier New"/>
      <family val="3"/>
    </font>
    <font>
      <b/>
      <sz val="10"/>
      <color rgb="FF0066CC"/>
      <name val="Courier New"/>
      <family val="3"/>
    </font>
    <font>
      <b/>
      <sz val="10"/>
      <color rgb="FF008000"/>
      <name val="Courier New"/>
      <family val="3"/>
    </font>
    <font>
      <b/>
      <i/>
      <sz val="9"/>
      <color rgb="FF333300"/>
      <name val="Verdana"/>
      <family val="2"/>
    </font>
    <font>
      <b/>
      <i/>
      <sz val="9"/>
      <color rgb="FF008080"/>
      <name val="Verdana"/>
      <family val="2"/>
    </font>
    <font>
      <b/>
      <i/>
      <sz val="9"/>
      <color rgb="FF808000"/>
      <name val="Verdana"/>
      <family val="2"/>
    </font>
    <font>
      <b/>
      <i/>
      <sz val="9"/>
      <color rgb="FF993300"/>
      <name val="Verdana"/>
      <family val="2"/>
    </font>
    <font>
      <b/>
      <sz val="9"/>
      <color rgb="FF0000FF"/>
      <name val="Verdana"/>
      <family val="2"/>
    </font>
    <font>
      <b/>
      <sz val="9"/>
      <color rgb="FF000080"/>
      <name val="Verdana"/>
      <family val="2"/>
    </font>
    <font>
      <b/>
      <sz val="9"/>
      <color rgb="FF000000"/>
      <name val="Arial1"/>
    </font>
    <font>
      <sz val="10"/>
      <color rgb="FF003366"/>
      <name val="Arial1"/>
    </font>
    <font>
      <sz val="10"/>
      <color rgb="FFCCFFFF"/>
      <name val="Arial1"/>
    </font>
    <font>
      <sz val="10"/>
      <color rgb="FF99CCFF"/>
      <name val="Arial1"/>
    </font>
    <font>
      <i/>
      <sz val="10"/>
      <color rgb="FF000000"/>
      <name val="Arial1"/>
    </font>
    <font>
      <sz val="10"/>
      <color rgb="FFCCFFCC"/>
      <name val="Arial1"/>
    </font>
    <font>
      <sz val="11"/>
      <color rgb="FFFF0000"/>
      <name val="Calibri"/>
      <family val="2"/>
    </font>
    <font>
      <i/>
      <sz val="8"/>
      <color rgb="FF808080"/>
      <name val="Arial1"/>
    </font>
    <font>
      <b/>
      <sz val="18"/>
      <color rgb="FF333399"/>
      <name val="Cambria"/>
      <family val="1"/>
    </font>
    <font>
      <b/>
      <sz val="18"/>
      <color rgb="FF33CCCC"/>
      <name val="Cambria"/>
      <family val="1"/>
    </font>
    <font>
      <b/>
      <sz val="15"/>
      <color rgb="FF000080"/>
      <name val="Arial1"/>
    </font>
    <font>
      <b/>
      <sz val="13"/>
      <color rgb="FF000080"/>
      <name val="Arial1"/>
    </font>
    <font>
      <b/>
      <sz val="11"/>
      <color rgb="FF000080"/>
      <name val="Arial1"/>
    </font>
    <font>
      <b/>
      <sz val="15"/>
      <color rgb="FF333399"/>
      <name val="Calibri"/>
      <family val="2"/>
    </font>
    <font>
      <sz val="18"/>
      <color rgb="FF666699"/>
      <name val="Calibri Light"/>
      <family val="2"/>
    </font>
    <font>
      <b/>
      <sz val="13"/>
      <color rgb="FF333399"/>
      <name val="Calibri"/>
      <family val="2"/>
    </font>
    <font>
      <b/>
      <sz val="18"/>
      <color rgb="FF000080"/>
      <name val="Cambria"/>
      <family val="1"/>
    </font>
    <font>
      <b/>
      <sz val="13"/>
      <color rgb="FF33CCCC"/>
      <name val="Calibri"/>
      <family val="2"/>
    </font>
    <font>
      <b/>
      <sz val="11"/>
      <color rgb="FF333399"/>
      <name val="Calibri"/>
      <family val="2"/>
    </font>
    <font>
      <b/>
      <sz val="11"/>
      <color rgb="FF33CCCC"/>
      <name val="Calibri"/>
      <family val="2"/>
    </font>
    <font>
      <b/>
      <i/>
      <sz val="12"/>
      <color rgb="FF000000"/>
      <name val="Times New Roman1"/>
      <family val="1"/>
    </font>
    <font>
      <sz val="12"/>
      <color rgb="FF000000"/>
      <name val="Times New Roman1"/>
      <family val="1"/>
    </font>
    <font>
      <b/>
      <i/>
      <sz val="12"/>
      <color rgb="FF000000"/>
      <name val="Arial1"/>
    </font>
    <font>
      <b/>
      <sz val="8"/>
      <color rgb="FFFFFFFF"/>
      <name val="Arial1"/>
    </font>
    <font>
      <b/>
      <sz val="12"/>
      <color rgb="FFFFFFFF"/>
      <name val="Calibri"/>
      <family val="2"/>
    </font>
    <font>
      <sz val="10"/>
      <color rgb="FF000000"/>
      <name val="Arial1"/>
      <family val="2"/>
    </font>
    <font>
      <sz val="8"/>
      <color rgb="FF000000"/>
      <name val="Arial1"/>
      <family val="2"/>
    </font>
    <font>
      <sz val="8"/>
      <color rgb="FFFFFFFF"/>
      <name val="Arial1"/>
      <family val="2"/>
    </font>
    <font>
      <sz val="8"/>
      <color rgb="FFFF0000"/>
      <name val="Arial1"/>
      <family val="2"/>
    </font>
    <font>
      <b/>
      <sz val="8"/>
      <color rgb="FFFF9900"/>
      <name val="Arial1"/>
      <family val="2"/>
    </font>
    <font>
      <sz val="8"/>
      <color rgb="FFFF9900"/>
      <name val="Arial1"/>
      <family val="2"/>
    </font>
    <font>
      <b/>
      <sz val="10"/>
      <color rgb="FFFFFFFF"/>
      <name val="Arial1"/>
      <family val="2"/>
    </font>
    <font>
      <b/>
      <i/>
      <sz val="10"/>
      <color rgb="FF000000"/>
      <name val="Arial1"/>
      <family val="2"/>
    </font>
    <font>
      <sz val="10"/>
      <color rgb="FF3366FF"/>
      <name val="Arial1"/>
      <family val="2"/>
    </font>
    <font>
      <sz val="10"/>
      <color rgb="FF333399"/>
      <name val="Arial1"/>
      <family val="2"/>
    </font>
    <font>
      <b/>
      <sz val="10"/>
      <color rgb="FF333399"/>
      <name val="Arial1"/>
      <family val="2"/>
    </font>
    <font>
      <b/>
      <sz val="10"/>
      <color rgb="FF3366FF"/>
      <name val="Arial1"/>
      <family val="2"/>
    </font>
    <font>
      <b/>
      <sz val="10"/>
      <color rgb="FF000000"/>
      <name val="Arial1"/>
      <family val="2"/>
    </font>
    <font>
      <b/>
      <sz val="18"/>
      <color rgb="FF000000"/>
      <name val="Arial1"/>
      <family val="2"/>
    </font>
    <font>
      <b/>
      <sz val="12"/>
      <color rgb="FF000000"/>
      <name val="Arial1"/>
      <family val="2"/>
    </font>
    <font>
      <sz val="8"/>
      <color rgb="FF333399"/>
      <name val="Arial1"/>
      <family val="2"/>
    </font>
    <font>
      <sz val="8"/>
      <color rgb="FF0066CC"/>
      <name val="Arial1"/>
      <family val="2"/>
    </font>
    <font>
      <u/>
      <sz val="10"/>
      <color rgb="FF0000FF"/>
      <name val="Arial1"/>
      <family val="2"/>
    </font>
    <font>
      <u/>
      <sz val="10"/>
      <color rgb="FF0066CC"/>
      <name val="Arial1"/>
      <family val="2"/>
    </font>
    <font>
      <b/>
      <sz val="8"/>
      <color rgb="FF000000"/>
      <name val="Arial1"/>
      <family val="2"/>
    </font>
    <font>
      <b/>
      <u/>
      <sz val="8"/>
      <color rgb="FF000000"/>
      <name val="Arial1"/>
      <family val="2"/>
    </font>
    <font>
      <i/>
      <u/>
      <sz val="8"/>
      <color rgb="FF000000"/>
      <name val="Arial1"/>
      <family val="2"/>
    </font>
    <font>
      <sz val="8"/>
      <color rgb="FF008080"/>
      <name val="Arial1"/>
      <family val="2"/>
    </font>
    <font>
      <b/>
      <i/>
      <sz val="16"/>
      <color rgb="FF000000"/>
      <name val="Arial1"/>
      <family val="2"/>
    </font>
    <font>
      <sz val="10"/>
      <color rgb="FF666699"/>
      <name val="Arial1"/>
      <family val="2"/>
    </font>
    <font>
      <sz val="8"/>
      <color rgb="FF008000"/>
      <name val="Arial1"/>
      <family val="2"/>
    </font>
    <font>
      <b/>
      <sz val="8"/>
      <color rgb="FFFF6600"/>
      <name val="Arial1"/>
      <family val="2"/>
    </font>
    <font>
      <i/>
      <sz val="8"/>
      <color rgb="FF008080"/>
      <name val="Arial1"/>
      <family val="2"/>
    </font>
    <font>
      <b/>
      <sz val="9"/>
      <color rgb="FF000000"/>
      <name val="Arial1"/>
      <family val="2"/>
    </font>
    <font>
      <sz val="10"/>
      <color rgb="FF003366"/>
      <name val="Arial1"/>
      <family val="2"/>
    </font>
    <font>
      <sz val="10"/>
      <color rgb="FFCCFFFF"/>
      <name val="Arial1"/>
      <family val="2"/>
    </font>
    <font>
      <sz val="10"/>
      <color rgb="FF99CCFF"/>
      <name val="Arial1"/>
      <family val="2"/>
    </font>
    <font>
      <i/>
      <sz val="10"/>
      <color rgb="FF000000"/>
      <name val="Arial1"/>
      <family val="2"/>
    </font>
    <font>
      <sz val="10"/>
      <color rgb="FFCCFFCC"/>
      <name val="Arial1"/>
      <family val="2"/>
    </font>
    <font>
      <i/>
      <sz val="8"/>
      <color rgb="FF808080"/>
      <name val="Arial1"/>
      <family val="2"/>
    </font>
    <font>
      <b/>
      <i/>
      <sz val="12"/>
      <color rgb="FF000000"/>
      <name val="Arial1"/>
      <family val="2"/>
    </font>
    <font>
      <b/>
      <sz val="15"/>
      <color rgb="FF000080"/>
      <name val="Arial1"/>
      <family val="2"/>
    </font>
    <font>
      <b/>
      <sz val="13"/>
      <color rgb="FF000080"/>
      <name val="Arial1"/>
      <family val="2"/>
    </font>
    <font>
      <b/>
      <sz val="11"/>
      <color rgb="FF000080"/>
      <name val="Arial1"/>
      <family val="2"/>
    </font>
    <font>
      <b/>
      <sz val="8"/>
      <color rgb="FFFFFFFF"/>
      <name val="Arial1"/>
      <family val="2"/>
    </font>
    <font>
      <sz val="10"/>
      <name val="Times New Roman"/>
      <family val="1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i/>
      <sz val="16"/>
      <color rgb="FF000000"/>
      <name val="Liberation Sans1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1"/>
      <color rgb="FF000000"/>
      <name val="Liberation Sans1"/>
    </font>
    <font>
      <sz val="10"/>
      <color rgb="FF333333"/>
      <name val="Calibri"/>
      <family val="2"/>
    </font>
    <font>
      <b/>
      <i/>
      <u/>
      <sz val="11"/>
      <color rgb="FF000000"/>
      <name val="Liberation Sans1"/>
    </font>
    <font>
      <sz val="10"/>
      <color theme="1"/>
      <name val="Trebuchet MS"/>
      <family val="2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0" tint="-0.14999847407452621"/>
      <name val="Calibri"/>
      <family val="2"/>
      <scheme val="minor"/>
    </font>
    <font>
      <b/>
      <i/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mediumGray">
        <fgColor indexed="9"/>
        <bgColor indexed="29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666699"/>
        <bgColor rgb="FF666699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800000"/>
        <bgColor rgb="FF800000"/>
      </patternFill>
    </fill>
    <fill>
      <patternFill patternType="solid">
        <fgColor rgb="FF003366"/>
        <bgColor rgb="FF003366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808000"/>
        <bgColor rgb="FF808000"/>
      </patternFill>
    </fill>
    <fill>
      <patternFill patternType="solid">
        <fgColor rgb="FF008080"/>
        <bgColor rgb="FF008080"/>
      </patternFill>
    </fill>
    <fill>
      <patternFill patternType="solid">
        <fgColor rgb="FFFF9900"/>
        <bgColor rgb="FFFF9900"/>
      </patternFill>
    </fill>
    <fill>
      <patternFill patternType="solid">
        <fgColor rgb="FF0066CC"/>
        <bgColor rgb="FF0066CC"/>
      </patternFill>
    </fill>
    <fill>
      <patternFill patternType="solid">
        <fgColor rgb="FF993300"/>
        <bgColor rgb="FF993300"/>
      </patternFill>
    </fill>
    <fill>
      <patternFill patternType="solid">
        <fgColor rgb="FF339966"/>
        <bgColor rgb="FF339966"/>
      </patternFill>
    </fill>
    <fill>
      <patternFill patternType="solid">
        <fgColor rgb="FF3366FF"/>
        <bgColor rgb="FF3366FF"/>
      </patternFill>
    </fill>
    <fill>
      <patternFill patternType="solid">
        <fgColor rgb="FF969696"/>
        <bgColor rgb="FF969696"/>
      </patternFill>
    </fill>
    <fill>
      <patternFill patternType="solid">
        <fgColor rgb="FFFF00FF"/>
        <bgColor rgb="FFFF00FF"/>
      </patternFill>
    </fill>
    <fill>
      <patternFill patternType="solid">
        <fgColor rgb="FFCFAA90"/>
        <bgColor rgb="FFCFAA90"/>
      </patternFill>
    </fill>
    <fill>
      <patternFill patternType="solid">
        <fgColor rgb="FF660066"/>
        <bgColor rgb="FF660066"/>
      </patternFill>
    </fill>
    <fill>
      <patternFill patternType="solid">
        <fgColor rgb="FFFFFFCC"/>
        <bgColor rgb="FFFFFFCC"/>
      </patternFill>
    </fill>
    <fill>
      <patternFill patternType="solid">
        <fgColor rgb="FF99CC00"/>
        <bgColor rgb="FF99CC00"/>
      </patternFill>
    </fill>
    <fill>
      <patternFill patternType="solid">
        <fgColor rgb="FF008000"/>
        <bgColor rgb="FF008000"/>
      </patternFill>
    </fill>
    <fill>
      <patternFill patternType="solid">
        <fgColor rgb="FF000080"/>
        <bgColor rgb="FF000080"/>
      </patternFill>
    </fill>
    <fill>
      <patternFill patternType="solid">
        <fgColor rgb="FF003300"/>
        <bgColor rgb="FF003300"/>
      </patternFill>
    </fill>
    <fill>
      <patternFill patternType="solid">
        <fgColor rgb="FF0000FF"/>
        <bgColor rgb="FF0000FF"/>
      </patternFill>
    </fill>
    <fill>
      <patternFill patternType="solid">
        <fgColor rgb="FF333333"/>
        <bgColor rgb="FF333333"/>
      </patternFill>
    </fill>
    <fill>
      <patternFill patternType="solid">
        <fgColor rgb="FF008020"/>
        <bgColor rgb="FF008020"/>
      </patternFill>
    </fill>
    <fill>
      <patternFill patternType="solid">
        <fgColor rgb="FF99BF25"/>
        <bgColor rgb="FF99BF25"/>
      </patternFill>
    </fill>
    <fill>
      <patternFill patternType="solid">
        <fgColor rgb="FF4CA640"/>
        <bgColor rgb="FF4CA640"/>
      </patternFill>
    </fill>
    <fill>
      <patternFill patternType="solid">
        <fgColor rgb="FF00FFFF"/>
        <bgColor rgb="FF00FFFF"/>
      </patternFill>
    </fill>
    <fill>
      <patternFill patternType="solid">
        <fgColor rgb="FF00CCFF"/>
        <bgColor rgb="FF00CCFF"/>
      </patternFill>
    </fill>
    <fill>
      <patternFill patternType="solid">
        <fgColor rgb="FF333300"/>
        <bgColor rgb="FF333300"/>
      </patternFill>
    </fill>
    <fill>
      <patternFill patternType="solid">
        <fgColor rgb="FF808020"/>
        <bgColor rgb="FF808020"/>
      </patternFill>
    </fill>
    <fill>
      <patternFill patternType="solid">
        <fgColor rgb="FFE6E6FF"/>
        <bgColor rgb="FFE6E6FF"/>
      </patternFill>
    </fill>
    <fill>
      <patternFill patternType="solid">
        <fgColor rgb="FFCCE6FF"/>
        <bgColor rgb="FFCCE6FF"/>
      </patternFill>
    </fill>
    <fill>
      <patternFill patternType="solid">
        <fgColor rgb="FFFFC0C0"/>
        <bgColor rgb="FFFFC0C0"/>
      </patternFill>
    </fill>
    <fill>
      <patternFill patternType="solid">
        <fgColor rgb="FFC6C6E0"/>
        <bgColor rgb="FFC6C6E0"/>
      </patternFill>
    </fill>
    <fill>
      <patternFill patternType="solid">
        <fgColor rgb="FF309090"/>
        <bgColor rgb="FF30909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96404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ashed">
        <color rgb="FFFF8080"/>
      </left>
      <right style="dashed">
        <color rgb="FFFF8080"/>
      </right>
      <top style="dashed">
        <color rgb="FFFF8080"/>
      </top>
      <bottom style="dashed">
        <color rgb="FFFF8080"/>
      </bottom>
      <diagonal/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FF8080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339966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008080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666699"/>
      </diagonal>
    </border>
    <border>
      <left style="dashed">
        <color rgb="FF339966"/>
      </left>
      <right style="dashed">
        <color rgb="FF339966"/>
      </right>
      <top style="dashed">
        <color rgb="FF339966"/>
      </top>
      <bottom style="dashed">
        <color rgb="FF339966"/>
      </bottom>
      <diagonal/>
    </border>
    <border>
      <left style="dashed">
        <color rgb="FF008080"/>
      </left>
      <right style="dashed">
        <color rgb="FF008080"/>
      </right>
      <top style="dashed">
        <color rgb="FF008080"/>
      </top>
      <bottom style="dashed">
        <color rgb="FF008080"/>
      </bottom>
      <diagonal/>
    </border>
    <border>
      <left style="dashed">
        <color rgb="FF666699"/>
      </left>
      <right style="dashed">
        <color rgb="FF666699"/>
      </right>
      <top style="dashed">
        <color rgb="FF666699"/>
      </top>
      <bottom style="dashed">
        <color rgb="FF666699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medium">
        <color rgb="FF000000"/>
      </diagonal>
    </border>
    <border diagonalUp="1" diagonalDown="1">
      <left/>
      <right/>
      <top/>
      <bottom/>
      <diagonal style="medium">
        <color rgb="FF000000"/>
      </diagonal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8080"/>
      </bottom>
      <diagonal/>
    </border>
    <border>
      <left/>
      <right/>
      <top/>
      <bottom style="medium">
        <color rgb="FF33CCCC"/>
      </bottom>
      <diagonal/>
    </border>
    <border>
      <left/>
      <right/>
      <top/>
      <bottom style="thin">
        <color rgb="FF33CCCC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333399"/>
      </top>
      <bottom style="double">
        <color rgb="FF00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thin">
        <color rgb="FF000000"/>
      </top>
      <bottom style="thin">
        <color rgb="FF000000"/>
      </bottom>
      <diagonal/>
    </border>
    <border diagonalUp="1" diagonalDown="1"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 style="medium">
        <color rgb="FF000000"/>
      </diagonal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rgb="FF333399"/>
      </top>
      <bottom style="double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/>
      <top/>
      <bottom/>
      <diagonal/>
    </border>
  </borders>
  <cellStyleXfs count="365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0" fontId="21" fillId="0" borderId="0"/>
    <xf numFmtId="0" fontId="22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/>
    <xf numFmtId="166" fontId="27" fillId="33" borderId="11">
      <alignment vertical="center"/>
    </xf>
    <xf numFmtId="166" fontId="28" fillId="34" borderId="11">
      <alignment vertical="center"/>
    </xf>
    <xf numFmtId="49" fontId="22" fillId="35" borderId="10">
      <alignment vertical="center" wrapText="1"/>
    </xf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169" fontId="1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32" fillId="0" borderId="12" applyNumberFormat="0" applyFill="0">
      <alignment vertical="top"/>
    </xf>
    <xf numFmtId="0" fontId="33" fillId="0" borderId="13" applyNumberFormat="0">
      <alignment horizontal="right" wrapText="1"/>
    </xf>
    <xf numFmtId="0" fontId="34" fillId="0" borderId="0">
      <alignment vertical="top"/>
    </xf>
    <xf numFmtId="0" fontId="35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" fillId="0" borderId="0"/>
    <xf numFmtId="0" fontId="1" fillId="0" borderId="0"/>
    <xf numFmtId="0" fontId="35" fillId="0" borderId="0"/>
    <xf numFmtId="169" fontId="1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/>
    <xf numFmtId="44" fontId="1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" fillId="8" borderId="8" applyNumberFormat="0" applyFont="0" applyAlignment="0" applyProtection="0"/>
    <xf numFmtId="0" fontId="30" fillId="4" borderId="0" applyNumberFormat="0" applyBorder="0" applyAlignment="0" applyProtection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36" fillId="0" borderId="0"/>
    <xf numFmtId="0" fontId="37" fillId="0" borderId="0" applyNumberForma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/>
    <xf numFmtId="169" fontId="22" fillId="0" borderId="0" applyFont="0" applyFill="0" applyBorder="0" applyAlignment="0" applyProtection="0"/>
    <xf numFmtId="0" fontId="39" fillId="0" borderId="13" applyNumberFormat="0">
      <alignment horizontal="right" wrapText="1"/>
    </xf>
    <xf numFmtId="0" fontId="40" fillId="0" borderId="0">
      <alignment vertical="top"/>
    </xf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/>
    <xf numFmtId="169" fontId="3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3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35" fillId="0" borderId="0"/>
    <xf numFmtId="0" fontId="35" fillId="0" borderId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>
      <alignment vertical="top"/>
    </xf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38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3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5" fillId="0" borderId="0"/>
    <xf numFmtId="43" fontId="1" fillId="0" borderId="0" applyFont="0" applyFill="0" applyBorder="0" applyAlignment="0" applyProtection="0"/>
    <xf numFmtId="0" fontId="25" fillId="0" borderId="0"/>
    <xf numFmtId="43" fontId="1" fillId="0" borderId="0" applyFont="0" applyFill="0" applyBorder="0" applyAlignment="0" applyProtection="0"/>
    <xf numFmtId="0" fontId="44" fillId="0" borderId="0"/>
    <xf numFmtId="43" fontId="1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6" fillId="0" borderId="0"/>
    <xf numFmtId="170" fontId="46" fillId="0" borderId="0" applyBorder="0" applyProtection="0"/>
    <xf numFmtId="172" fontId="46" fillId="0" borderId="0" applyBorder="0" applyProtection="0"/>
    <xf numFmtId="171" fontId="46" fillId="0" borderId="0" applyBorder="0" applyProtection="0"/>
    <xf numFmtId="0" fontId="47" fillId="0" borderId="0" applyBorder="0" applyProtection="0"/>
    <xf numFmtId="0" fontId="48" fillId="0" borderId="16" applyProtection="0"/>
    <xf numFmtId="0" fontId="18" fillId="0" borderId="0" applyNumberFormat="0" applyFill="0" applyBorder="0" applyAlignment="0" applyProtection="0"/>
    <xf numFmtId="0" fontId="25" fillId="0" borderId="0"/>
    <xf numFmtId="181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50" fillId="0" borderId="0" applyNumberFormat="0" applyBorder="0" applyProtection="0"/>
    <xf numFmtId="0" fontId="43" fillId="39" borderId="0" applyNumberFormat="0" applyBorder="0" applyProtection="0"/>
    <xf numFmtId="0" fontId="43" fillId="40" borderId="0" applyNumberFormat="0" applyBorder="0" applyProtection="0"/>
    <xf numFmtId="0" fontId="43" fillId="41" borderId="0" applyNumberFormat="0" applyBorder="0" applyProtection="0"/>
    <xf numFmtId="0" fontId="43" fillId="42" borderId="0" applyNumberFormat="0" applyBorder="0" applyProtection="0"/>
    <xf numFmtId="0" fontId="43" fillId="43" borderId="0" applyNumberFormat="0" applyBorder="0" applyProtection="0"/>
    <xf numFmtId="0" fontId="43" fillId="44" borderId="0" applyNumberFormat="0" applyBorder="0" applyProtection="0"/>
    <xf numFmtId="0" fontId="51" fillId="45" borderId="0" applyNumberFormat="0" applyBorder="0" applyProtection="0"/>
    <xf numFmtId="0" fontId="51" fillId="46" borderId="0" applyNumberFormat="0" applyBorder="0" applyProtection="0"/>
    <xf numFmtId="0" fontId="51" fillId="47" borderId="0" applyNumberFormat="0" applyBorder="0" applyProtection="0"/>
    <xf numFmtId="0" fontId="51" fillId="48" borderId="0" applyNumberFormat="0" applyBorder="0" applyProtection="0"/>
    <xf numFmtId="0" fontId="51" fillId="49" borderId="0" applyNumberFormat="0" applyBorder="0" applyProtection="0"/>
    <xf numFmtId="0" fontId="51" fillId="50" borderId="0" applyNumberFormat="0" applyBorder="0" applyProtection="0"/>
    <xf numFmtId="0" fontId="52" fillId="37" borderId="0" applyNumberFormat="0" applyBorder="0" applyProtection="0"/>
    <xf numFmtId="0" fontId="52" fillId="51" borderId="0" applyNumberFormat="0" applyBorder="0" applyProtection="0"/>
    <xf numFmtId="0" fontId="52" fillId="38" borderId="0" applyNumberFormat="0" applyBorder="0" applyProtection="0"/>
    <xf numFmtId="0" fontId="52" fillId="37" borderId="0" applyNumberFormat="0" applyBorder="0" applyProtection="0"/>
    <xf numFmtId="0" fontId="52" fillId="52" borderId="0" applyNumberFormat="0" applyBorder="0" applyProtection="0"/>
    <xf numFmtId="0" fontId="52" fillId="51" borderId="0" applyNumberFormat="0" applyBorder="0" applyProtection="0"/>
    <xf numFmtId="0" fontId="25" fillId="45" borderId="0" applyNumberFormat="0" applyFont="0" applyBorder="0" applyProtection="0"/>
    <xf numFmtId="0" fontId="25" fillId="53" borderId="0" applyNumberFormat="0" applyFont="0" applyBorder="0" applyProtection="0"/>
    <xf numFmtId="0" fontId="25" fillId="47" borderId="0" applyNumberFormat="0" applyFont="0" applyBorder="0" applyProtection="0"/>
    <xf numFmtId="0" fontId="25" fillId="48" borderId="0" applyNumberFormat="0" applyFont="0" applyBorder="0" applyProtection="0"/>
    <xf numFmtId="0" fontId="25" fillId="52" borderId="0" applyNumberFormat="0" applyFont="0" applyBorder="0" applyProtection="0"/>
    <xf numFmtId="0" fontId="25" fillId="51" borderId="0" applyNumberFormat="0" applyFont="0" applyBorder="0" applyProtection="0"/>
    <xf numFmtId="0" fontId="25" fillId="45" borderId="0" applyNumberFormat="0" applyFont="0" applyBorder="0" applyProtection="0"/>
    <xf numFmtId="0" fontId="25" fillId="53" borderId="0" applyNumberFormat="0" applyFont="0" applyBorder="0" applyProtection="0"/>
    <xf numFmtId="0" fontId="25" fillId="47" borderId="0" applyNumberFormat="0" applyFont="0" applyBorder="0" applyProtection="0"/>
    <xf numFmtId="0" fontId="25" fillId="48" borderId="0" applyNumberFormat="0" applyFont="0" applyBorder="0" applyProtection="0"/>
    <xf numFmtId="0" fontId="25" fillId="52" borderId="0" applyNumberFormat="0" applyFont="0" applyBorder="0" applyProtection="0"/>
    <xf numFmtId="0" fontId="25" fillId="51" borderId="0" applyNumberFormat="0" applyFont="0" applyBorder="0" applyProtection="0"/>
    <xf numFmtId="0" fontId="25" fillId="45" borderId="0" applyNumberFormat="0" applyFont="0" applyBorder="0" applyProtection="0"/>
    <xf numFmtId="0" fontId="25" fillId="53" borderId="0" applyNumberFormat="0" applyFont="0" applyBorder="0" applyProtection="0"/>
    <xf numFmtId="0" fontId="25" fillId="47" borderId="0" applyNumberFormat="0" applyFont="0" applyBorder="0" applyProtection="0"/>
    <xf numFmtId="0" fontId="25" fillId="48" borderId="0" applyNumberFormat="0" applyFont="0" applyBorder="0" applyProtection="0"/>
    <xf numFmtId="0" fontId="25" fillId="52" borderId="0" applyNumberFormat="0" applyFont="0" applyBorder="0" applyProtection="0"/>
    <xf numFmtId="0" fontId="25" fillId="51" borderId="0" applyNumberFormat="0" applyFont="0" applyBorder="0" applyProtection="0"/>
    <xf numFmtId="0" fontId="51" fillId="54" borderId="0" applyNumberFormat="0" applyBorder="0" applyProtection="0"/>
    <xf numFmtId="0" fontId="51" fillId="55" borderId="0" applyNumberFormat="0" applyBorder="0" applyProtection="0"/>
    <xf numFmtId="0" fontId="51" fillId="56" borderId="0" applyNumberFormat="0" applyBorder="0" applyProtection="0"/>
    <xf numFmtId="0" fontId="51" fillId="48" borderId="0" applyNumberFormat="0" applyBorder="0" applyProtection="0"/>
    <xf numFmtId="0" fontId="51" fillId="54" borderId="0" applyNumberFormat="0" applyBorder="0" applyProtection="0"/>
    <xf numFmtId="0" fontId="51" fillId="57" borderId="0" applyNumberFormat="0" applyBorder="0" applyProtection="0"/>
    <xf numFmtId="0" fontId="52" fillId="58" borderId="0" applyNumberFormat="0" applyBorder="0" applyProtection="0"/>
    <xf numFmtId="0" fontId="52" fillId="55" borderId="0" applyNumberFormat="0" applyBorder="0" applyProtection="0"/>
    <xf numFmtId="0" fontId="52" fillId="59" borderId="0" applyNumberFormat="0" applyBorder="0" applyProtection="0"/>
    <xf numFmtId="0" fontId="52" fillId="58" borderId="0" applyNumberFormat="0" applyBorder="0" applyProtection="0"/>
    <xf numFmtId="0" fontId="52" fillId="54" borderId="0" applyNumberFormat="0" applyBorder="0" applyProtection="0"/>
    <xf numFmtId="0" fontId="52" fillId="51" borderId="0" applyNumberFormat="0" applyBorder="0" applyProtection="0"/>
    <xf numFmtId="0" fontId="25" fillId="54" borderId="0" applyNumberFormat="0" applyFont="0" applyBorder="0" applyProtection="0"/>
    <xf numFmtId="0" fontId="25" fillId="55" borderId="0" applyNumberFormat="0" applyFont="0" applyBorder="0" applyProtection="0"/>
    <xf numFmtId="0" fontId="25" fillId="56" borderId="0" applyNumberFormat="0" applyFont="0" applyBorder="0" applyProtection="0"/>
    <xf numFmtId="0" fontId="25" fillId="48" borderId="0" applyNumberFormat="0" applyFont="0" applyBorder="0" applyProtection="0"/>
    <xf numFmtId="0" fontId="25" fillId="54" borderId="0" applyNumberFormat="0" applyFont="0" applyBorder="0" applyProtection="0"/>
    <xf numFmtId="0" fontId="25" fillId="60" borderId="0" applyNumberFormat="0" applyFont="0" applyBorder="0" applyProtection="0"/>
    <xf numFmtId="0" fontId="25" fillId="54" borderId="0" applyNumberFormat="0" applyFont="0" applyBorder="0" applyProtection="0"/>
    <xf numFmtId="0" fontId="25" fillId="55" borderId="0" applyNumberFormat="0" applyFont="0" applyBorder="0" applyProtection="0"/>
    <xf numFmtId="0" fontId="25" fillId="61" borderId="0" applyNumberFormat="0" applyFont="0" applyBorder="0" applyProtection="0"/>
    <xf numFmtId="0" fontId="25" fillId="48" borderId="0" applyNumberFormat="0" applyFont="0" applyBorder="0" applyProtection="0"/>
    <xf numFmtId="0" fontId="25" fillId="54" borderId="0" applyNumberFormat="0" applyFont="0" applyBorder="0" applyProtection="0"/>
    <xf numFmtId="0" fontId="25" fillId="60" borderId="0" applyNumberFormat="0" applyFont="0" applyBorder="0" applyProtection="0"/>
    <xf numFmtId="0" fontId="25" fillId="54" borderId="0" applyNumberFormat="0" applyFont="0" applyBorder="0" applyProtection="0"/>
    <xf numFmtId="0" fontId="25" fillId="55" borderId="0" applyNumberFormat="0" applyFont="0" applyBorder="0" applyProtection="0"/>
    <xf numFmtId="0" fontId="25" fillId="61" borderId="0" applyNumberFormat="0" applyFont="0" applyBorder="0" applyProtection="0"/>
    <xf numFmtId="0" fontId="25" fillId="48" borderId="0" applyNumberFormat="0" applyFont="0" applyBorder="0" applyProtection="0"/>
    <xf numFmtId="0" fontId="25" fillId="54" borderId="0" applyNumberFormat="0" applyFont="0" applyBorder="0" applyProtection="0"/>
    <xf numFmtId="0" fontId="25" fillId="60" borderId="0" applyNumberFormat="0" applyFont="0" applyBorder="0" applyProtection="0"/>
    <xf numFmtId="0" fontId="25" fillId="0" borderId="0" applyNumberFormat="0" applyFont="0" applyBorder="0" applyProtection="0">
      <alignment horizontal="left" vertical="center" indent="7"/>
    </xf>
    <xf numFmtId="0" fontId="53" fillId="61" borderId="0" applyNumberFormat="0" applyBorder="0" applyProtection="0"/>
    <xf numFmtId="0" fontId="53" fillId="55" borderId="0" applyNumberFormat="0" applyBorder="0" applyProtection="0"/>
    <xf numFmtId="0" fontId="53" fillId="56" borderId="0" applyNumberFormat="0" applyBorder="0" applyProtection="0"/>
    <xf numFmtId="0" fontId="53" fillId="42" borderId="0" applyNumberFormat="0" applyBorder="0" applyProtection="0"/>
    <xf numFmtId="0" fontId="53" fillId="43" borderId="0" applyNumberFormat="0" applyBorder="0" applyProtection="0"/>
    <xf numFmtId="0" fontId="53" fillId="62" borderId="0" applyNumberFormat="0" applyBorder="0" applyProtection="0"/>
    <xf numFmtId="0" fontId="54" fillId="43" borderId="0" applyNumberFormat="0" applyBorder="0" applyProtection="0"/>
    <xf numFmtId="0" fontId="54" fillId="55" borderId="0" applyNumberFormat="0" applyBorder="0" applyProtection="0"/>
    <xf numFmtId="0" fontId="54" fillId="59" borderId="0" applyNumberFormat="0" applyBorder="0" applyProtection="0"/>
    <xf numFmtId="0" fontId="54" fillId="58" borderId="0" applyNumberFormat="0" applyBorder="0" applyProtection="0"/>
    <xf numFmtId="0" fontId="54" fillId="43" borderId="0" applyNumberFormat="0" applyBorder="0" applyProtection="0"/>
    <xf numFmtId="0" fontId="54" fillId="51" borderId="0" applyNumberFormat="0" applyBorder="0" applyProtection="0"/>
    <xf numFmtId="0" fontId="43" fillId="63" borderId="0" applyNumberFormat="0" applyBorder="0" applyProtection="0"/>
    <xf numFmtId="0" fontId="43" fillId="55" borderId="0" applyNumberFormat="0" applyBorder="0" applyProtection="0"/>
    <xf numFmtId="0" fontId="43" fillId="56" borderId="0" applyNumberFormat="0" applyBorder="0" applyProtection="0"/>
    <xf numFmtId="0" fontId="43" fillId="42" borderId="0" applyNumberFormat="0" applyBorder="0" applyProtection="0"/>
    <xf numFmtId="0" fontId="43" fillId="43" borderId="0" applyNumberFormat="0" applyBorder="0" applyProtection="0"/>
    <xf numFmtId="0" fontId="43" fillId="64" borderId="0" applyNumberFormat="0" applyBorder="0" applyProtection="0"/>
    <xf numFmtId="0" fontId="43" fillId="63" borderId="0" applyNumberFormat="0" applyBorder="0" applyProtection="0"/>
    <xf numFmtId="0" fontId="43" fillId="55" borderId="0" applyNumberFormat="0" applyBorder="0" applyProtection="0"/>
    <xf numFmtId="0" fontId="43" fillId="61" borderId="0" applyNumberFormat="0" applyBorder="0" applyProtection="0"/>
    <xf numFmtId="0" fontId="43" fillId="42" borderId="0" applyNumberFormat="0" applyBorder="0" applyProtection="0"/>
    <xf numFmtId="0" fontId="43" fillId="43" borderId="0" applyNumberFormat="0" applyBorder="0" applyProtection="0"/>
    <xf numFmtId="0" fontId="43" fillId="64" borderId="0" applyNumberFormat="0" applyBorder="0" applyProtection="0"/>
    <xf numFmtId="0" fontId="43" fillId="63" borderId="0" applyNumberFormat="0" applyBorder="0" applyProtection="0"/>
    <xf numFmtId="0" fontId="43" fillId="55" borderId="0" applyNumberFormat="0" applyBorder="0" applyProtection="0"/>
    <xf numFmtId="0" fontId="43" fillId="61" borderId="0" applyNumberFormat="0" applyBorder="0" applyProtection="0"/>
    <xf numFmtId="0" fontId="43" fillId="42" borderId="0" applyNumberFormat="0" applyBorder="0" applyProtection="0"/>
    <xf numFmtId="0" fontId="43" fillId="43" borderId="0" applyNumberFormat="0" applyBorder="0" applyProtection="0"/>
    <xf numFmtId="0" fontId="43" fillId="64" borderId="0" applyNumberFormat="0" applyBorder="0" applyProtection="0"/>
    <xf numFmtId="0" fontId="55" fillId="47" borderId="0" applyNumberFormat="0" applyBorder="0" applyProtection="0"/>
    <xf numFmtId="0" fontId="55" fillId="47" borderId="0" applyNumberFormat="0" applyBorder="0" applyProtection="0"/>
    <xf numFmtId="0" fontId="55" fillId="47" borderId="0" applyNumberFormat="0" applyBorder="0" applyProtection="0"/>
    <xf numFmtId="0" fontId="55" fillId="47" borderId="0" applyNumberFormat="0" applyBorder="0" applyProtection="0"/>
    <xf numFmtId="0" fontId="55" fillId="56" borderId="0" applyNumberFormat="0" applyBorder="0" applyProtection="0"/>
    <xf numFmtId="0" fontId="55" fillId="56" borderId="0" applyNumberFormat="0" applyBorder="0" applyProtection="0"/>
    <xf numFmtId="0" fontId="55" fillId="40" borderId="0" applyNumberFormat="0" applyBorder="0" applyProtection="0"/>
    <xf numFmtId="0" fontId="55" fillId="40" borderId="0" applyNumberFormat="0" applyBorder="0" applyProtection="0"/>
    <xf numFmtId="0" fontId="55" fillId="40" borderId="0" applyNumberFormat="0" applyBorder="0" applyProtection="0"/>
    <xf numFmtId="0" fontId="55" fillId="40" borderId="0" applyNumberFormat="0" applyBorder="0" applyProtection="0"/>
    <xf numFmtId="0" fontId="55" fillId="58" borderId="0" applyNumberFormat="0" applyBorder="0" applyProtection="0"/>
    <xf numFmtId="0" fontId="55" fillId="50" borderId="0" applyNumberFormat="0" applyBorder="0" applyProtection="0"/>
    <xf numFmtId="0" fontId="55" fillId="51" borderId="0" applyNumberFormat="0" applyBorder="0" applyProtection="0"/>
    <xf numFmtId="0" fontId="56" fillId="45" borderId="0" applyNumberFormat="0" applyBorder="0" applyProtection="0"/>
    <xf numFmtId="0" fontId="53" fillId="39" borderId="0" applyNumberFormat="0" applyBorder="0" applyProtection="0"/>
    <xf numFmtId="0" fontId="53" fillId="40" borderId="0" applyNumberFormat="0" applyBorder="0" applyProtection="0"/>
    <xf numFmtId="0" fontId="53" fillId="65" borderId="0" applyNumberFormat="0" applyBorder="0" applyProtection="0"/>
    <xf numFmtId="0" fontId="53" fillId="42" borderId="0" applyNumberFormat="0" applyBorder="0" applyProtection="0"/>
    <xf numFmtId="0" fontId="53" fillId="43" borderId="0" applyNumberFormat="0" applyBorder="0" applyProtection="0"/>
    <xf numFmtId="0" fontId="53" fillId="66" borderId="0" applyNumberFormat="0" applyBorder="0" applyProtection="0"/>
    <xf numFmtId="0" fontId="57" fillId="0" borderId="0" applyNumberFormat="0" applyBorder="0" applyProtection="0"/>
    <xf numFmtId="0" fontId="58" fillId="53" borderId="0" applyNumberFormat="0" applyBorder="0" applyProtection="0"/>
    <xf numFmtId="4" fontId="59" fillId="0" borderId="0" applyBorder="0" applyProtection="0">
      <alignment horizontal="right" vertical="center"/>
    </xf>
    <xf numFmtId="0" fontId="60" fillId="47" borderId="0" applyNumberFormat="0" applyBorder="0" applyProtection="0"/>
    <xf numFmtId="0" fontId="61" fillId="47" borderId="0" applyNumberFormat="0" applyBorder="0" applyProtection="0"/>
    <xf numFmtId="0" fontId="62" fillId="58" borderId="15" applyNumberFormat="0" applyProtection="0"/>
    <xf numFmtId="0" fontId="62" fillId="58" borderId="15" applyNumberFormat="0" applyProtection="0"/>
    <xf numFmtId="0" fontId="63" fillId="58" borderId="15" applyNumberFormat="0" applyProtection="0"/>
    <xf numFmtId="0" fontId="62" fillId="58" borderId="15" applyNumberFormat="0" applyProtection="0"/>
    <xf numFmtId="0" fontId="23" fillId="67" borderId="17" applyNumberFormat="0" applyProtection="0"/>
    <xf numFmtId="0" fontId="64" fillId="0" borderId="18" applyNumberFormat="0" applyProtection="0"/>
    <xf numFmtId="0" fontId="64" fillId="0" borderId="18" applyNumberFormat="0" applyProtection="0"/>
    <xf numFmtId="0" fontId="23" fillId="67" borderId="17" applyNumberFormat="0" applyProtection="0"/>
    <xf numFmtId="0" fontId="65" fillId="0" borderId="18" applyNumberFormat="0" applyProtection="0"/>
    <xf numFmtId="0" fontId="23" fillId="67" borderId="17" applyNumberFormat="0" applyProtection="0"/>
    <xf numFmtId="0" fontId="66" fillId="58" borderId="15" applyNumberFormat="0" applyProtection="0">
      <alignment horizontal="center" vertical="center"/>
    </xf>
    <xf numFmtId="0" fontId="66" fillId="58" borderId="15" applyNumberFormat="0" applyProtection="0">
      <alignment horizontal="center" vertical="center"/>
    </xf>
    <xf numFmtId="0" fontId="66" fillId="58" borderId="15" applyNumberFormat="0" applyProtection="0">
      <alignment horizontal="center" vertical="center"/>
    </xf>
    <xf numFmtId="0" fontId="66" fillId="58" borderId="15" applyNumberFormat="0" applyProtection="0">
      <alignment horizontal="center" vertical="center"/>
    </xf>
    <xf numFmtId="0" fontId="66" fillId="58" borderId="15" applyNumberFormat="0" applyProtection="0">
      <alignment horizontal="center" vertical="center"/>
    </xf>
    <xf numFmtId="49" fontId="67" fillId="44" borderId="0" applyBorder="0" applyProtection="0">
      <alignment horizontal="center" vertical="center" wrapText="1"/>
    </xf>
    <xf numFmtId="49" fontId="67" fillId="68" borderId="19" applyProtection="0">
      <alignment horizontal="center" vertical="center" wrapText="1"/>
    </xf>
    <xf numFmtId="49" fontId="67" fillId="44" borderId="19" applyProtection="0">
      <alignment horizontal="center" vertical="center" wrapText="1"/>
    </xf>
    <xf numFmtId="49" fontId="67" fillId="48" borderId="19" applyProtection="0">
      <alignment horizontal="center" vertical="center" wrapText="1"/>
    </xf>
    <xf numFmtId="49" fontId="67" fillId="44" borderId="19" applyProtection="0">
      <alignment horizontal="center" vertical="center" wrapText="1"/>
    </xf>
    <xf numFmtId="49" fontId="67" fillId="65" borderId="0" applyBorder="0" applyProtection="0">
      <alignment horizontal="center" vertical="center" wrapText="1"/>
    </xf>
    <xf numFmtId="49" fontId="67" fillId="69" borderId="20" applyProtection="0">
      <alignment horizontal="center" vertical="center" wrapText="1"/>
    </xf>
    <xf numFmtId="49" fontId="67" fillId="53" borderId="20" applyProtection="0">
      <alignment horizontal="center" vertical="center" wrapText="1"/>
    </xf>
    <xf numFmtId="49" fontId="67" fillId="66" borderId="20" applyProtection="0">
      <alignment horizontal="center" vertical="center" wrapText="1"/>
    </xf>
    <xf numFmtId="49" fontId="67" fillId="48" borderId="20" applyProtection="0">
      <alignment horizontal="center" vertical="center" wrapText="1"/>
    </xf>
    <xf numFmtId="49" fontId="67" fillId="70" borderId="0" applyBorder="0" applyProtection="0">
      <alignment horizontal="center" vertical="center" wrapText="1"/>
    </xf>
    <xf numFmtId="49" fontId="67" fillId="64" borderId="20" applyProtection="0">
      <alignment horizontal="center" vertical="center" wrapText="1"/>
    </xf>
    <xf numFmtId="49" fontId="67" fillId="68" borderId="20" applyProtection="0">
      <alignment horizontal="center" vertical="center" wrapText="1"/>
    </xf>
    <xf numFmtId="49" fontId="67" fillId="68" borderId="20" applyProtection="0">
      <alignment horizontal="center" vertical="center" wrapText="1"/>
    </xf>
    <xf numFmtId="49" fontId="67" fillId="44" borderId="20" applyProtection="0">
      <alignment horizontal="center" vertical="center" wrapText="1"/>
    </xf>
    <xf numFmtId="49" fontId="67" fillId="68" borderId="20" applyProtection="0">
      <alignment horizontal="center" vertical="center" wrapText="1"/>
    </xf>
    <xf numFmtId="49" fontId="67" fillId="70" borderId="0" applyBorder="0" applyProtection="0">
      <alignment horizontal="center" vertical="center" wrapText="1"/>
    </xf>
    <xf numFmtId="49" fontId="67" fillId="64" borderId="21" applyProtection="0">
      <alignment horizontal="center" vertical="center" wrapText="1"/>
    </xf>
    <xf numFmtId="49" fontId="67" fillId="68" borderId="21" applyProtection="0">
      <alignment horizontal="center" vertical="center" wrapText="1"/>
    </xf>
    <xf numFmtId="49" fontId="67" fillId="68" borderId="22" applyProtection="0">
      <alignment horizontal="center" vertical="center" wrapText="1"/>
    </xf>
    <xf numFmtId="49" fontId="67" fillId="44" borderId="23" applyProtection="0">
      <alignment horizontal="center" vertical="center" wrapText="1"/>
    </xf>
    <xf numFmtId="49" fontId="67" fillId="68" borderId="21" applyProtection="0">
      <alignment horizontal="center" vertical="center" wrapText="1"/>
    </xf>
    <xf numFmtId="49" fontId="67" fillId="65" borderId="0" applyBorder="0" applyProtection="0">
      <alignment horizontal="center" vertical="center" wrapText="1"/>
    </xf>
    <xf numFmtId="49" fontId="67" fillId="69" borderId="21" applyProtection="0">
      <alignment horizontal="center" vertical="center" wrapText="1"/>
    </xf>
    <xf numFmtId="49" fontId="67" fillId="53" borderId="22" applyProtection="0">
      <alignment horizontal="center" vertical="center" wrapText="1"/>
    </xf>
    <xf numFmtId="49" fontId="67" fillId="66" borderId="23" applyProtection="0">
      <alignment horizontal="center" vertical="center" wrapText="1"/>
    </xf>
    <xf numFmtId="49" fontId="67" fillId="48" borderId="21" applyProtection="0">
      <alignment horizontal="center" vertical="center" wrapText="1"/>
    </xf>
    <xf numFmtId="49" fontId="67" fillId="44" borderId="0" applyBorder="0" applyProtection="0">
      <alignment horizontal="center" vertical="center" wrapText="1"/>
    </xf>
    <xf numFmtId="49" fontId="67" fillId="68" borderId="24" applyProtection="0">
      <alignment horizontal="center" vertical="center" wrapText="1"/>
    </xf>
    <xf numFmtId="49" fontId="67" fillId="44" borderId="24" applyProtection="0">
      <alignment horizontal="center" vertical="center" wrapText="1"/>
    </xf>
    <xf numFmtId="49" fontId="67" fillId="48" borderId="25" applyProtection="0">
      <alignment horizontal="center" vertical="center" wrapText="1"/>
    </xf>
    <xf numFmtId="49" fontId="67" fillId="48" borderId="26" applyProtection="0">
      <alignment horizontal="center" vertical="center" wrapText="1"/>
    </xf>
    <xf numFmtId="49" fontId="67" fillId="44" borderId="24" applyProtection="0">
      <alignment horizontal="center" vertical="center" wrapText="1"/>
    </xf>
    <xf numFmtId="0" fontId="68" fillId="39" borderId="17" applyNumberFormat="0" applyProtection="0">
      <alignment horizontal="left" vertical="center"/>
    </xf>
    <xf numFmtId="0" fontId="68" fillId="39" borderId="17" applyNumberFormat="0" applyProtection="0">
      <alignment horizontal="left" vertical="center"/>
    </xf>
    <xf numFmtId="0" fontId="68" fillId="39" borderId="17" applyNumberFormat="0" applyProtection="0">
      <alignment horizontal="left" vertical="center"/>
    </xf>
    <xf numFmtId="0" fontId="68" fillId="39" borderId="17" applyNumberFormat="0" applyProtection="0">
      <alignment horizontal="left" vertical="center"/>
    </xf>
    <xf numFmtId="0" fontId="68" fillId="39" borderId="17" applyNumberFormat="0" applyProtection="0">
      <alignment horizontal="left" vertical="center"/>
    </xf>
    <xf numFmtId="0" fontId="69" fillId="71" borderId="27" applyNumberFormat="0" applyProtection="0">
      <alignment horizontal="center" vertical="center"/>
    </xf>
    <xf numFmtId="0" fontId="69" fillId="71" borderId="27" applyNumberFormat="0" applyProtection="0">
      <alignment horizontal="center" vertical="center"/>
    </xf>
    <xf numFmtId="0" fontId="69" fillId="71" borderId="27" applyNumberFormat="0" applyProtection="0">
      <alignment horizontal="center" vertical="center"/>
    </xf>
    <xf numFmtId="0" fontId="69" fillId="71" borderId="27" applyNumberFormat="0" applyProtection="0">
      <alignment horizontal="center" vertical="center"/>
    </xf>
    <xf numFmtId="0" fontId="69" fillId="71" borderId="27" applyNumberFormat="0" applyProtection="0">
      <alignment horizontal="center" vertical="center"/>
    </xf>
    <xf numFmtId="0" fontId="70" fillId="59" borderId="28" applyNumberFormat="0" applyProtection="0">
      <alignment horizontal="left" vertical="top" wrapText="1"/>
    </xf>
    <xf numFmtId="0" fontId="70" fillId="59" borderId="28" applyNumberFormat="0" applyProtection="0">
      <alignment horizontal="left" vertical="top" wrapText="1"/>
    </xf>
    <xf numFmtId="0" fontId="70" fillId="59" borderId="28" applyNumberFormat="0" applyProtection="0">
      <alignment horizontal="left" vertical="top" wrapText="1"/>
    </xf>
    <xf numFmtId="49" fontId="67" fillId="72" borderId="17" applyProtection="0">
      <alignment vertical="center" wrapText="1"/>
    </xf>
    <xf numFmtId="49" fontId="67" fillId="72" borderId="29" applyProtection="0">
      <alignment vertical="center" wrapText="1"/>
    </xf>
    <xf numFmtId="49" fontId="67" fillId="72" borderId="29" applyProtection="0">
      <alignment vertical="center" wrapText="1"/>
    </xf>
    <xf numFmtId="49" fontId="67" fillId="72" borderId="29" applyProtection="0">
      <alignment vertical="center" wrapText="1"/>
    </xf>
    <xf numFmtId="49" fontId="67" fillId="67" borderId="29" applyProtection="0">
      <alignment vertical="center" wrapText="1"/>
    </xf>
    <xf numFmtId="49" fontId="67" fillId="73" borderId="17" applyProtection="0">
      <alignment wrapText="1"/>
    </xf>
    <xf numFmtId="49" fontId="67" fillId="73" borderId="29" applyProtection="0">
      <alignment wrapText="1"/>
    </xf>
    <xf numFmtId="49" fontId="67" fillId="73" borderId="29" applyProtection="0">
      <alignment wrapText="1"/>
    </xf>
    <xf numFmtId="49" fontId="67" fillId="74" borderId="17" applyProtection="0">
      <alignment wrapText="1"/>
    </xf>
    <xf numFmtId="49" fontId="67" fillId="74" borderId="17" applyProtection="0">
      <alignment wrapText="1"/>
    </xf>
    <xf numFmtId="49" fontId="67" fillId="75" borderId="17" applyProtection="0">
      <alignment wrapText="1"/>
    </xf>
    <xf numFmtId="49" fontId="67" fillId="70" borderId="17" applyProtection="0">
      <alignment wrapText="1"/>
    </xf>
    <xf numFmtId="49" fontId="67" fillId="75" borderId="17" applyProtection="0">
      <alignment vertical="center" wrapText="1"/>
    </xf>
    <xf numFmtId="49" fontId="67" fillId="76" borderId="29" applyProtection="0">
      <alignment vertical="center" wrapText="1"/>
    </xf>
    <xf numFmtId="49" fontId="67" fillId="70" borderId="29" applyProtection="0">
      <alignment vertical="center" wrapText="1"/>
    </xf>
    <xf numFmtId="49" fontId="67" fillId="70" borderId="29" applyProtection="0">
      <alignment vertical="center" wrapText="1"/>
    </xf>
    <xf numFmtId="49" fontId="67" fillId="77" borderId="29" applyProtection="0">
      <alignment vertical="center" wrapText="1"/>
    </xf>
    <xf numFmtId="49" fontId="67" fillId="42" borderId="29" applyProtection="0">
      <alignment vertical="center" wrapText="1"/>
    </xf>
    <xf numFmtId="49" fontId="67" fillId="74" borderId="17" applyProtection="0">
      <alignment wrapText="1"/>
    </xf>
    <xf numFmtId="49" fontId="67" fillId="51" borderId="29" applyProtection="0">
      <alignment wrapText="1"/>
    </xf>
    <xf numFmtId="49" fontId="67" fillId="76" borderId="29" applyProtection="0">
      <alignment wrapText="1"/>
    </xf>
    <xf numFmtId="49" fontId="67" fillId="51" borderId="29" applyProtection="0">
      <alignment wrapText="1"/>
    </xf>
    <xf numFmtId="49" fontId="67" fillId="52" borderId="29" applyProtection="0">
      <alignment wrapText="1"/>
    </xf>
    <xf numFmtId="49" fontId="67" fillId="78" borderId="17" applyProtection="0">
      <alignment vertical="center" wrapText="1"/>
    </xf>
    <xf numFmtId="49" fontId="67" fillId="79" borderId="29" applyProtection="0">
      <alignment vertical="center" wrapText="1"/>
    </xf>
    <xf numFmtId="49" fontId="67" fillId="65" borderId="29" applyProtection="0">
      <alignment vertical="center" wrapText="1"/>
    </xf>
    <xf numFmtId="49" fontId="67" fillId="72" borderId="29" applyProtection="0">
      <alignment vertical="center" wrapText="1"/>
    </xf>
    <xf numFmtId="49" fontId="67" fillId="72" borderId="17" applyProtection="0">
      <alignment vertical="center" wrapText="1"/>
    </xf>
    <xf numFmtId="49" fontId="67" fillId="77" borderId="29" applyProtection="0">
      <alignment vertical="center" wrapText="1"/>
    </xf>
    <xf numFmtId="49" fontId="67" fillId="61" borderId="29" applyProtection="0">
      <alignment vertical="center" wrapText="1"/>
    </xf>
    <xf numFmtId="49" fontId="67" fillId="57" borderId="29" applyProtection="0">
      <alignment vertical="center" wrapText="1"/>
    </xf>
    <xf numFmtId="49" fontId="67" fillId="80" borderId="29" applyProtection="0">
      <alignment vertical="center" wrapText="1"/>
    </xf>
    <xf numFmtId="49" fontId="67" fillId="61" borderId="29" applyProtection="0">
      <alignment vertical="center" wrapText="1"/>
    </xf>
    <xf numFmtId="49" fontId="67" fillId="49" borderId="0" applyBorder="0" applyProtection="0">
      <alignment vertical="center" wrapText="1"/>
    </xf>
    <xf numFmtId="49" fontId="67" fillId="76" borderId="30" applyProtection="0">
      <alignment vertical="center" wrapText="1"/>
    </xf>
    <xf numFmtId="49" fontId="67" fillId="49" borderId="30" applyProtection="0">
      <alignment vertical="center" wrapText="1"/>
    </xf>
    <xf numFmtId="49" fontId="67" fillId="49" borderId="30" applyProtection="0">
      <alignment vertical="center" wrapText="1"/>
    </xf>
    <xf numFmtId="49" fontId="67" fillId="49" borderId="30" applyProtection="0">
      <alignment vertical="center" wrapText="1"/>
    </xf>
    <xf numFmtId="49" fontId="67" fillId="49" borderId="30" applyProtection="0">
      <alignment vertical="center" wrapText="1"/>
    </xf>
    <xf numFmtId="49" fontId="71" fillId="46" borderId="0" applyBorder="0" applyProtection="0">
      <alignment vertical="center" wrapText="1"/>
    </xf>
    <xf numFmtId="49" fontId="72" fillId="46" borderId="0" applyBorder="0" applyProtection="0">
      <alignment vertical="center" wrapText="1" shrinkToFit="1"/>
    </xf>
    <xf numFmtId="49" fontId="73" fillId="46" borderId="0" applyBorder="0" applyProtection="0">
      <alignment vertical="center" wrapText="1" shrinkToFit="1"/>
    </xf>
    <xf numFmtId="49" fontId="71" fillId="46" borderId="0" applyBorder="0" applyProtection="0">
      <alignment vertical="center" wrapText="1" shrinkToFit="1"/>
    </xf>
    <xf numFmtId="49" fontId="74" fillId="46" borderId="0" applyBorder="0" applyProtection="0">
      <alignment vertical="center" wrapText="1" shrinkToFit="1"/>
    </xf>
    <xf numFmtId="49" fontId="73" fillId="46" borderId="0" applyBorder="0" applyProtection="0">
      <alignment vertical="center" wrapText="1" shrinkToFit="1"/>
    </xf>
    <xf numFmtId="49" fontId="75" fillId="46" borderId="0" applyBorder="0" applyProtection="0">
      <alignment vertical="center" wrapText="1"/>
    </xf>
    <xf numFmtId="49" fontId="75" fillId="46" borderId="0" applyBorder="0" applyProtection="0">
      <alignment vertical="center" wrapText="1"/>
    </xf>
    <xf numFmtId="49" fontId="75" fillId="46" borderId="0" applyBorder="0" applyProtection="0">
      <alignment vertical="center" wrapText="1"/>
    </xf>
    <xf numFmtId="49" fontId="75" fillId="46" borderId="0" applyBorder="0" applyProtection="0">
      <alignment vertical="center" wrapText="1"/>
    </xf>
    <xf numFmtId="49" fontId="67" fillId="50" borderId="0" applyBorder="0" applyProtection="0">
      <alignment vertical="center" wrapText="1"/>
    </xf>
    <xf numFmtId="49" fontId="67" fillId="50" borderId="0" applyBorder="0" applyProtection="0">
      <alignment vertical="center" wrapText="1"/>
    </xf>
    <xf numFmtId="49" fontId="67" fillId="68" borderId="0" applyBorder="0" applyProtection="0">
      <alignment vertical="center" wrapText="1"/>
    </xf>
    <xf numFmtId="49" fontId="67" fillId="50" borderId="0" applyBorder="0" applyProtection="0">
      <alignment vertical="center" wrapText="1"/>
    </xf>
    <xf numFmtId="49" fontId="67" fillId="50" borderId="0" applyBorder="0" applyProtection="0">
      <alignment vertical="center" wrapText="1"/>
    </xf>
    <xf numFmtId="49" fontId="67" fillId="44" borderId="0" applyBorder="0" applyProtection="0">
      <alignment vertical="center" wrapText="1"/>
    </xf>
    <xf numFmtId="49" fontId="75" fillId="81" borderId="0" applyBorder="0" applyProtection="0">
      <alignment vertical="center" wrapText="1"/>
    </xf>
    <xf numFmtId="49" fontId="75" fillId="81" borderId="0" applyBorder="0" applyProtection="0">
      <alignment vertical="center" wrapText="1" shrinkToFit="1"/>
    </xf>
    <xf numFmtId="49" fontId="75" fillId="82" borderId="0" applyBorder="0" applyProtection="0">
      <alignment vertical="center" wrapText="1" shrinkToFit="1"/>
    </xf>
    <xf numFmtId="49" fontId="75" fillId="81" borderId="0" applyBorder="0" applyProtection="0">
      <alignment vertical="center" wrapText="1" shrinkToFit="1"/>
    </xf>
    <xf numFmtId="49" fontId="67" fillId="82" borderId="0" applyBorder="0" applyProtection="0">
      <alignment vertical="center" wrapText="1"/>
    </xf>
    <xf numFmtId="49" fontId="67" fillId="63" borderId="0" applyBorder="0" applyProtection="0">
      <alignment vertical="center" wrapText="1"/>
    </xf>
    <xf numFmtId="49" fontId="67" fillId="42" borderId="0" applyBorder="0" applyProtection="0">
      <alignment vertical="center" wrapText="1"/>
    </xf>
    <xf numFmtId="49" fontId="67" fillId="63" borderId="0" applyBorder="0" applyProtection="0">
      <alignment vertical="center" wrapText="1"/>
    </xf>
    <xf numFmtId="49" fontId="67" fillId="56" borderId="0" applyBorder="0" applyProtection="0">
      <alignment vertical="center" wrapText="1"/>
    </xf>
    <xf numFmtId="49" fontId="76" fillId="42" borderId="31" applyProtection="0">
      <alignment vertical="center" wrapText="1"/>
    </xf>
    <xf numFmtId="49" fontId="76" fillId="77" borderId="31" applyProtection="0">
      <alignment vertical="center" wrapText="1"/>
    </xf>
    <xf numFmtId="49" fontId="76" fillId="77" borderId="31" applyProtection="0">
      <alignment vertical="center" wrapText="1"/>
    </xf>
    <xf numFmtId="49" fontId="76" fillId="53" borderId="31" applyProtection="0">
      <alignment vertical="center" wrapText="1"/>
    </xf>
    <xf numFmtId="49" fontId="76" fillId="60" borderId="31" applyProtection="0">
      <alignment vertical="center" wrapText="1"/>
    </xf>
    <xf numFmtId="0" fontId="77" fillId="51" borderId="32" applyNumberFormat="0" applyProtection="0">
      <alignment horizontal="left" vertical="center" wrapText="1"/>
    </xf>
    <xf numFmtId="0" fontId="77" fillId="42" borderId="32" applyNumberFormat="0" applyProtection="0">
      <alignment horizontal="left" vertical="center" wrapText="1"/>
    </xf>
    <xf numFmtId="0" fontId="77" fillId="83" borderId="32" applyNumberFormat="0" applyProtection="0">
      <alignment horizontal="left" vertical="center" wrapText="1"/>
    </xf>
    <xf numFmtId="0" fontId="77" fillId="42" borderId="32" applyNumberFormat="0" applyProtection="0">
      <alignment horizontal="left" vertical="center" wrapText="1"/>
    </xf>
    <xf numFmtId="0" fontId="77" fillId="83" borderId="32" applyNumberFormat="0" applyProtection="0">
      <alignment horizontal="left" vertical="center" wrapText="1"/>
    </xf>
    <xf numFmtId="49" fontId="67" fillId="64" borderId="14" applyProtection="0">
      <alignment vertical="center" wrapText="1"/>
    </xf>
    <xf numFmtId="49" fontId="67" fillId="62" borderId="14" applyProtection="0">
      <alignment vertical="center" wrapText="1"/>
    </xf>
    <xf numFmtId="49" fontId="67" fillId="44" borderId="14" applyProtection="0">
      <alignment vertical="center" wrapText="1"/>
    </xf>
    <xf numFmtId="49" fontId="67" fillId="84" borderId="14" applyProtection="0">
      <alignment vertical="center" wrapText="1"/>
    </xf>
    <xf numFmtId="49" fontId="67" fillId="62" borderId="14" applyProtection="0">
      <alignment vertical="center" wrapText="1"/>
    </xf>
    <xf numFmtId="49" fontId="67" fillId="62" borderId="14" applyProtection="0">
      <alignment vertical="center" wrapText="1"/>
    </xf>
    <xf numFmtId="49" fontId="67" fillId="42" borderId="14" applyProtection="0">
      <alignment vertical="center" wrapText="1"/>
    </xf>
    <xf numFmtId="49" fontId="67" fillId="64" borderId="14" applyProtection="0">
      <alignment vertical="center" wrapText="1"/>
    </xf>
    <xf numFmtId="49" fontId="67" fillId="50" borderId="14" applyProtection="0">
      <alignment vertical="center" wrapText="1"/>
    </xf>
    <xf numFmtId="49" fontId="67" fillId="60" borderId="14" applyProtection="0">
      <alignment vertical="center" wrapText="1"/>
    </xf>
    <xf numFmtId="49" fontId="67" fillId="57" borderId="14" applyProtection="0">
      <alignment vertical="center" wrapText="1"/>
    </xf>
    <xf numFmtId="49" fontId="67" fillId="67" borderId="14" applyProtection="0">
      <alignment vertical="center" wrapText="1"/>
    </xf>
    <xf numFmtId="49" fontId="67" fillId="57" borderId="14" applyProtection="0">
      <alignment vertical="center" wrapText="1"/>
    </xf>
    <xf numFmtId="49" fontId="67" fillId="38" borderId="14" applyProtection="0">
      <alignment vertical="center" wrapText="1"/>
    </xf>
    <xf numFmtId="49" fontId="67" fillId="62" borderId="14" applyProtection="0">
      <alignment vertical="center" wrapText="1"/>
    </xf>
    <xf numFmtId="49" fontId="67" fillId="57" borderId="14" applyProtection="0">
      <alignment vertical="center" wrapText="1"/>
    </xf>
    <xf numFmtId="49" fontId="67" fillId="38" borderId="14" applyProtection="0">
      <alignment vertical="center" wrapText="1"/>
    </xf>
    <xf numFmtId="49" fontId="67" fillId="38" borderId="14" applyProtection="0">
      <alignment vertical="center" wrapText="1"/>
    </xf>
    <xf numFmtId="49" fontId="67" fillId="38" borderId="14" applyProtection="0">
      <alignment vertical="center" wrapText="1"/>
    </xf>
    <xf numFmtId="49" fontId="67" fillId="38" borderId="14" applyProtection="0">
      <alignment vertical="center" wrapText="1"/>
    </xf>
    <xf numFmtId="49" fontId="55" fillId="52" borderId="33" applyProtection="0">
      <alignment vertical="top" wrapText="1"/>
    </xf>
    <xf numFmtId="49" fontId="55" fillId="54" borderId="33" applyProtection="0">
      <alignment vertical="top" wrapText="1"/>
    </xf>
    <xf numFmtId="49" fontId="55" fillId="54" borderId="34" applyProtection="0">
      <alignment vertical="top" wrapText="1"/>
    </xf>
    <xf numFmtId="0" fontId="43" fillId="39" borderId="0" applyNumberFormat="0" applyBorder="0" applyProtection="0"/>
    <xf numFmtId="0" fontId="43" fillId="40" borderId="0" applyNumberFormat="0" applyBorder="0" applyProtection="0"/>
    <xf numFmtId="0" fontId="43" fillId="41" borderId="0" applyNumberFormat="0" applyBorder="0" applyProtection="0"/>
    <xf numFmtId="0" fontId="43" fillId="42" borderId="0" applyNumberFormat="0" applyBorder="0" applyProtection="0"/>
    <xf numFmtId="0" fontId="43" fillId="43" borderId="0" applyNumberFormat="0" applyBorder="0" applyProtection="0"/>
    <xf numFmtId="0" fontId="43" fillId="44" borderId="0" applyNumberFormat="0" applyBorder="0" applyProtection="0"/>
    <xf numFmtId="174" fontId="55" fillId="0" borderId="0" applyBorder="0" applyProtection="0"/>
    <xf numFmtId="0" fontId="55" fillId="71" borderId="35" applyNumberFormat="0" applyProtection="0"/>
    <xf numFmtId="175" fontId="55" fillId="0" borderId="0" applyBorder="0" applyProtection="0"/>
    <xf numFmtId="175" fontId="55" fillId="0" borderId="0" applyBorder="0" applyProtection="0"/>
    <xf numFmtId="0" fontId="78" fillId="38" borderId="0" applyNumberFormat="0" applyBorder="0" applyProtection="0">
      <alignment wrapText="1"/>
    </xf>
    <xf numFmtId="0" fontId="78" fillId="53" borderId="0" applyNumberFormat="0" applyBorder="0" applyProtection="0"/>
    <xf numFmtId="3" fontId="79" fillId="0" borderId="33" applyProtection="0">
      <alignment horizontal="right" vertical="top"/>
    </xf>
    <xf numFmtId="166" fontId="80" fillId="0" borderId="36" applyProtection="0"/>
    <xf numFmtId="166" fontId="79" fillId="0" borderId="37" applyProtection="0"/>
    <xf numFmtId="166" fontId="81" fillId="0" borderId="36" applyProtection="0"/>
    <xf numFmtId="166" fontId="82" fillId="0" borderId="37" applyProtection="0"/>
    <xf numFmtId="0" fontId="83" fillId="0" borderId="0" applyNumberFormat="0" applyBorder="0" applyProtection="0"/>
    <xf numFmtId="0" fontId="84" fillId="0" borderId="0" applyNumberFormat="0" applyBorder="0" applyProtection="0"/>
    <xf numFmtId="0" fontId="84" fillId="0" borderId="0" applyNumberFormat="0" applyBorder="0" applyProtection="0"/>
    <xf numFmtId="0" fontId="85" fillId="0" borderId="0" applyNumberFormat="0" applyBorder="0" applyProtection="0"/>
    <xf numFmtId="0" fontId="85" fillId="0" borderId="0" applyNumberFormat="0" applyBorder="0" applyProtection="0"/>
    <xf numFmtId="0" fontId="86" fillId="43" borderId="14" applyNumberFormat="0" applyProtection="0">
      <alignment horizontal="center" vertical="top" wrapText="1"/>
    </xf>
    <xf numFmtId="0" fontId="87" fillId="0" borderId="0" applyNumberFormat="0" applyBorder="0" applyProtection="0">
      <alignment horizontal="left" vertical="top"/>
    </xf>
    <xf numFmtId="0" fontId="88" fillId="50" borderId="15" applyNumberFormat="0" applyProtection="0"/>
    <xf numFmtId="0" fontId="89" fillId="51" borderId="15" applyNumberFormat="0" applyProtection="0"/>
    <xf numFmtId="176" fontId="55" fillId="0" borderId="0" applyBorder="0" applyProtection="0"/>
    <xf numFmtId="177" fontId="25" fillId="0" borderId="0" applyFont="0" applyBorder="0" applyProtection="0"/>
    <xf numFmtId="176" fontId="55" fillId="0" borderId="0" applyBorder="0" applyProtection="0"/>
    <xf numFmtId="176" fontId="55" fillId="0" borderId="0" applyBorder="0" applyProtection="0"/>
    <xf numFmtId="178" fontId="55" fillId="0" borderId="0" applyBorder="0" applyProtection="0"/>
    <xf numFmtId="179" fontId="55" fillId="0" borderId="0" applyBorder="0" applyProtection="0"/>
    <xf numFmtId="176" fontId="55" fillId="0" borderId="0" applyBorder="0" applyProtection="0"/>
    <xf numFmtId="176" fontId="55" fillId="0" borderId="0" applyBorder="0" applyProtection="0"/>
    <xf numFmtId="179" fontId="55" fillId="0" borderId="0" applyBorder="0" applyProtection="0"/>
    <xf numFmtId="176" fontId="55" fillId="0" borderId="0" applyBorder="0" applyProtection="0"/>
    <xf numFmtId="176" fontId="55" fillId="0" borderId="0" applyBorder="0" applyProtection="0"/>
    <xf numFmtId="178" fontId="55" fillId="0" borderId="0" applyBorder="0" applyProtection="0"/>
    <xf numFmtId="176" fontId="55" fillId="0" borderId="0" applyBorder="0" applyProtection="0"/>
    <xf numFmtId="176" fontId="55" fillId="0" borderId="0" applyBorder="0" applyProtection="0"/>
    <xf numFmtId="180" fontId="55" fillId="0" borderId="0" applyBorder="0" applyProtection="0"/>
    <xf numFmtId="177" fontId="56" fillId="0" borderId="0" applyBorder="0" applyProtection="0"/>
    <xf numFmtId="177" fontId="25" fillId="0" borderId="0" applyFont="0" applyBorder="0" applyProtection="0"/>
    <xf numFmtId="177" fontId="25" fillId="0" borderId="0" applyFont="0" applyBorder="0" applyProtection="0"/>
    <xf numFmtId="180" fontId="55" fillId="0" borderId="0" applyBorder="0" applyProtection="0"/>
    <xf numFmtId="0" fontId="55" fillId="0" borderId="0" applyNumberFormat="0" applyBorder="0" applyProtection="0"/>
    <xf numFmtId="0" fontId="90" fillId="0" borderId="0" applyNumberFormat="0" applyBorder="0" applyProtection="0"/>
    <xf numFmtId="0" fontId="91" fillId="0" borderId="0" applyNumberFormat="0" applyBorder="0" applyProtection="0"/>
    <xf numFmtId="2" fontId="56" fillId="0" borderId="0" applyBorder="0" applyProtection="0"/>
    <xf numFmtId="166" fontId="55" fillId="0" borderId="0" applyBorder="0" applyProtection="0"/>
    <xf numFmtId="166" fontId="55" fillId="0" borderId="0" applyBorder="0" applyProtection="0"/>
    <xf numFmtId="3" fontId="55" fillId="0" borderId="0" applyBorder="0" applyProtection="0"/>
    <xf numFmtId="3" fontId="55" fillId="0" borderId="0" applyBorder="0" applyProtection="0"/>
    <xf numFmtId="0" fontId="61" fillId="47" borderId="0" applyNumberFormat="0" applyBorder="0" applyProtection="0"/>
    <xf numFmtId="0" fontId="92" fillId="0" borderId="0" applyNumberFormat="0" applyBorder="0" applyProtection="0">
      <alignment horizontal="center"/>
    </xf>
    <xf numFmtId="0" fontId="93" fillId="0" borderId="0" applyNumberFormat="0" applyBorder="0" applyProtection="0">
      <alignment horizontal="center"/>
    </xf>
    <xf numFmtId="0" fontId="94" fillId="0" borderId="38" applyNumberFormat="0" applyProtection="0"/>
    <xf numFmtId="0" fontId="95" fillId="0" borderId="39" applyNumberFormat="0" applyProtection="0"/>
    <xf numFmtId="0" fontId="83" fillId="0" borderId="40" applyNumberFormat="0" applyProtection="0"/>
    <xf numFmtId="0" fontId="83" fillId="0" borderId="0" applyNumberFormat="0" applyBorder="0" applyProtection="0"/>
    <xf numFmtId="0" fontId="92" fillId="0" borderId="0" applyNumberFormat="0" applyBorder="0" applyProtection="0">
      <alignment horizontal="center" textRotation="90"/>
    </xf>
    <xf numFmtId="0" fontId="93" fillId="0" borderId="0" applyNumberFormat="0" applyBorder="0" applyProtection="0">
      <alignment horizontal="center" textRotation="90"/>
    </xf>
    <xf numFmtId="0" fontId="58" fillId="53" borderId="0" applyNumberFormat="0" applyBorder="0" applyProtection="0"/>
    <xf numFmtId="0" fontId="89" fillId="51" borderId="15" applyNumberFormat="0" applyProtection="0"/>
    <xf numFmtId="0" fontId="96" fillId="46" borderId="0" applyNumberFormat="0" applyBorder="0" applyProtection="0"/>
    <xf numFmtId="0" fontId="97" fillId="0" borderId="0" applyNumberFormat="0" applyBorder="0" applyProtection="0"/>
    <xf numFmtId="0" fontId="98" fillId="0" borderId="0" applyNumberFormat="0" applyBorder="0" applyProtection="0"/>
    <xf numFmtId="0" fontId="97" fillId="0" borderId="0" applyNumberFormat="0" applyBorder="0" applyProtection="0"/>
    <xf numFmtId="0" fontId="99" fillId="0" borderId="0" applyNumberFormat="0" applyBorder="0" applyProtection="0"/>
    <xf numFmtId="0" fontId="56" fillId="37" borderId="0" applyNumberFormat="0" applyBorder="0">
      <alignment horizontal="right"/>
      <protection locked="0"/>
    </xf>
    <xf numFmtId="0" fontId="55" fillId="37" borderId="0" applyNumberFormat="0" applyBorder="0">
      <alignment horizontal="right"/>
      <protection locked="0"/>
    </xf>
    <xf numFmtId="0" fontId="55" fillId="37" borderId="0" applyNumberFormat="0" applyBorder="0">
      <alignment horizontal="right"/>
      <protection locked="0"/>
    </xf>
    <xf numFmtId="0" fontId="55" fillId="37" borderId="0" applyNumberFormat="0" applyBorder="0">
      <alignment horizontal="right"/>
      <protection locked="0"/>
    </xf>
    <xf numFmtId="0" fontId="100" fillId="0" borderId="0" applyNumberFormat="0" applyBorder="0" applyProtection="0"/>
    <xf numFmtId="0" fontId="64" fillId="0" borderId="18" applyNumberFormat="0" applyProtection="0"/>
    <xf numFmtId="0" fontId="101" fillId="37" borderId="0" applyNumberFormat="0" applyBorder="0">
      <alignment horizontal="right"/>
      <protection locked="0"/>
    </xf>
    <xf numFmtId="0" fontId="101" fillId="37" borderId="0" applyNumberFormat="0" applyBorder="0">
      <alignment horizontal="right"/>
      <protection locked="0"/>
    </xf>
    <xf numFmtId="0" fontId="101" fillId="37" borderId="0" applyNumberFormat="0" applyBorder="0">
      <alignment horizontal="right"/>
      <protection locked="0"/>
    </xf>
    <xf numFmtId="0" fontId="102" fillId="37" borderId="0" applyNumberFormat="0" applyBorder="0">
      <alignment horizontal="right"/>
      <protection locked="0"/>
    </xf>
    <xf numFmtId="0" fontId="102" fillId="37" borderId="0" applyNumberFormat="0" applyBorder="0">
      <alignment horizontal="right"/>
      <protection locked="0"/>
    </xf>
    <xf numFmtId="0" fontId="102" fillId="37" borderId="0" applyNumberFormat="0" applyBorder="0">
      <alignment horizontal="right"/>
      <protection locked="0"/>
    </xf>
    <xf numFmtId="0" fontId="103" fillId="37" borderId="0" applyNumberFormat="0" applyBorder="0">
      <alignment horizontal="right"/>
      <protection locked="0"/>
    </xf>
    <xf numFmtId="0" fontId="103" fillId="37" borderId="0" applyNumberFormat="0" applyBorder="0">
      <alignment horizontal="right"/>
      <protection locked="0"/>
    </xf>
    <xf numFmtId="0" fontId="103" fillId="37" borderId="0" applyNumberFormat="0" applyBorder="0">
      <alignment horizontal="right"/>
      <protection locked="0"/>
    </xf>
    <xf numFmtId="0" fontId="104" fillId="59" borderId="0" applyNumberFormat="0" applyBorder="0">
      <alignment horizontal="right" vertical="center"/>
      <protection locked="0"/>
    </xf>
    <xf numFmtId="0" fontId="104" fillId="37" borderId="0" applyNumberFormat="0" applyBorder="0">
      <alignment horizontal="right" vertical="center"/>
      <protection locked="0"/>
    </xf>
    <xf numFmtId="182" fontId="105" fillId="0" borderId="0" applyBorder="0" applyProtection="0"/>
    <xf numFmtId="183" fontId="55" fillId="0" borderId="0" applyBorder="0" applyProtection="0"/>
    <xf numFmtId="183" fontId="55" fillId="0" borderId="0" applyBorder="0" applyProtection="0"/>
    <xf numFmtId="183" fontId="55" fillId="0" borderId="0" applyBorder="0" applyProtection="0"/>
    <xf numFmtId="183" fontId="55" fillId="0" borderId="0" applyBorder="0" applyProtection="0"/>
    <xf numFmtId="183" fontId="55" fillId="0" borderId="0" applyBorder="0" applyProtection="0"/>
    <xf numFmtId="183" fontId="55" fillId="0" borderId="0" applyBorder="0" applyProtection="0"/>
    <xf numFmtId="183" fontId="55" fillId="0" borderId="0" applyBorder="0" applyProtection="0"/>
    <xf numFmtId="183" fontId="55" fillId="0" borderId="0" applyBorder="0" applyProtection="0"/>
    <xf numFmtId="182" fontId="105" fillId="0" borderId="0" applyBorder="0" applyProtection="0"/>
    <xf numFmtId="182" fontId="105" fillId="0" borderId="0" applyBorder="0" applyProtection="0"/>
    <xf numFmtId="182" fontId="105" fillId="0" borderId="0" applyBorder="0" applyProtection="0"/>
    <xf numFmtId="176" fontId="55" fillId="0" borderId="0" applyBorder="0" applyProtection="0"/>
    <xf numFmtId="176" fontId="55" fillId="0" borderId="0" applyBorder="0" applyProtection="0"/>
    <xf numFmtId="184" fontId="55" fillId="0" borderId="0" applyBorder="0" applyProtection="0"/>
    <xf numFmtId="184" fontId="55" fillId="0" borderId="0" applyBorder="0" applyProtection="0"/>
    <xf numFmtId="0" fontId="106" fillId="37" borderId="0" applyNumberFormat="0" applyBorder="0" applyProtection="0"/>
    <xf numFmtId="0" fontId="106" fillId="37" borderId="0" applyNumberFormat="0" applyBorder="0" applyProtection="0"/>
    <xf numFmtId="0" fontId="107" fillId="59" borderId="0" applyNumberFormat="0" applyBorder="0" applyProtection="0"/>
    <xf numFmtId="0" fontId="107" fillId="59" borderId="0" applyNumberFormat="0" applyBorder="0" applyProtection="0"/>
    <xf numFmtId="0" fontId="108" fillId="59" borderId="0" applyNumberFormat="0" applyBorder="0" applyProtection="0"/>
    <xf numFmtId="0" fontId="106" fillId="37" borderId="0" applyNumberFormat="0" applyBorder="0" applyProtection="0"/>
    <xf numFmtId="0" fontId="106" fillId="37" borderId="0" applyNumberFormat="0" applyBorder="0" applyProtection="0"/>
    <xf numFmtId="185" fontId="109" fillId="0" borderId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105" fillId="0" borderId="0" applyNumberFormat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25" fillId="0" borderId="0" applyNumberFormat="0" applyFont="0" applyBorder="0" applyProtection="0"/>
    <xf numFmtId="0" fontId="25" fillId="0" borderId="0" applyNumberFormat="0" applyFont="0" applyBorder="0" applyProtection="0"/>
    <xf numFmtId="0" fontId="25" fillId="0" borderId="0" applyNumberFormat="0" applyFont="0" applyBorder="0" applyProtection="0"/>
    <xf numFmtId="0" fontId="25" fillId="0" borderId="0" applyNumberFormat="0" applyFont="0" applyBorder="0" applyProtection="0"/>
    <xf numFmtId="0" fontId="25" fillId="0" borderId="0" applyNumberFormat="0" applyFont="0" applyBorder="0" applyProtection="0"/>
    <xf numFmtId="0" fontId="25" fillId="0" borderId="0" applyNumberFormat="0" applyFont="0" applyBorder="0" applyProtection="0"/>
    <xf numFmtId="0" fontId="55" fillId="0" borderId="0" applyNumberFormat="0" applyBorder="0" applyProtection="0"/>
    <xf numFmtId="0" fontId="105" fillId="0" borderId="0" applyNumberFormat="0" applyBorder="0" applyProtection="0"/>
    <xf numFmtId="0" fontId="55" fillId="0" borderId="0" applyNumberFormat="0" applyBorder="0" applyProtection="0"/>
    <xf numFmtId="0" fontId="51" fillId="0" borderId="0" applyNumberFormat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25" fillId="0" borderId="0" applyNumberFormat="0" applyFont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56" fillId="0" borderId="0" applyNumberFormat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25" fillId="0" borderId="0" applyNumberFormat="0" applyFont="0" applyBorder="0" applyProtection="0"/>
    <xf numFmtId="0" fontId="55" fillId="0" borderId="0" applyNumberFormat="0" applyBorder="0" applyProtection="0">
      <alignment wrapText="1"/>
    </xf>
    <xf numFmtId="0" fontId="55" fillId="0" borderId="0" applyNumberFormat="0" applyBorder="0" applyProtection="0">
      <alignment wrapText="1"/>
    </xf>
    <xf numFmtId="0" fontId="111" fillId="0" borderId="0" applyNumberFormat="0" applyBorder="0" applyProtection="0"/>
    <xf numFmtId="0" fontId="55" fillId="0" borderId="0" applyNumberFormat="0" applyBorder="0" applyProtection="0"/>
    <xf numFmtId="0" fontId="56" fillId="0" borderId="0" applyNumberFormat="0" applyBorder="0" applyProtection="0"/>
    <xf numFmtId="0" fontId="55" fillId="0" borderId="0" applyNumberFormat="0" applyBorder="0" applyProtection="0">
      <alignment wrapText="1"/>
    </xf>
    <xf numFmtId="0" fontId="55" fillId="0" borderId="0" applyNumberFormat="0" applyBorder="0" applyProtection="0">
      <alignment wrapText="1"/>
    </xf>
    <xf numFmtId="0" fontId="55" fillId="0" borderId="0" applyNumberFormat="0" applyBorder="0" applyProtection="0"/>
    <xf numFmtId="0" fontId="55" fillId="0" borderId="0" applyNumberFormat="0" applyBorder="0" applyProtection="0">
      <alignment wrapText="1"/>
    </xf>
    <xf numFmtId="0" fontId="55" fillId="0" borderId="0" applyNumberFormat="0" applyBorder="0" applyProtection="0"/>
    <xf numFmtId="0" fontId="25" fillId="0" borderId="0" applyNumberFormat="0" applyFont="0" applyBorder="0" applyProtection="0"/>
    <xf numFmtId="0" fontId="55" fillId="0" borderId="0" applyNumberFormat="0" applyBorder="0" applyProtection="0">
      <alignment wrapText="1"/>
    </xf>
    <xf numFmtId="0" fontId="55" fillId="0" borderId="0" applyNumberFormat="0" applyBorder="0" applyProtection="0">
      <alignment wrapText="1"/>
    </xf>
    <xf numFmtId="0" fontId="55" fillId="0" borderId="0" applyNumberFormat="0" applyBorder="0" applyProtection="0">
      <alignment wrapText="1"/>
    </xf>
    <xf numFmtId="0" fontId="25" fillId="0" borderId="0" applyNumberFormat="0" applyFont="0" applyBorder="0" applyProtection="0"/>
    <xf numFmtId="0" fontId="55" fillId="0" borderId="0" applyNumberFormat="0" applyBorder="0" applyProtection="0"/>
    <xf numFmtId="0" fontId="55" fillId="0" borderId="0" applyNumberFormat="0" applyBorder="0" applyProtection="0">
      <alignment wrapText="1"/>
    </xf>
    <xf numFmtId="0" fontId="25" fillId="0" borderId="0" applyNumberFormat="0" applyFont="0" applyBorder="0" applyProtection="0"/>
    <xf numFmtId="0" fontId="112" fillId="0" borderId="0" applyNumberFormat="0" applyBorder="0" applyProtection="0"/>
    <xf numFmtId="0" fontId="25" fillId="0" borderId="0" applyNumberFormat="0" applyFont="0" applyBorder="0" applyProtection="0"/>
    <xf numFmtId="0" fontId="25" fillId="0" borderId="0" applyNumberFormat="0" applyFont="0" applyBorder="0" applyProtection="0"/>
    <xf numFmtId="0" fontId="25" fillId="0" borderId="0" applyNumberFormat="0" applyFont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25" fillId="0" borderId="0" applyNumberFormat="0" applyFont="0" applyBorder="0" applyProtection="0"/>
    <xf numFmtId="4" fontId="113" fillId="0" borderId="0" applyBorder="0" applyProtection="0">
      <alignment horizontal="right" vertical="center"/>
    </xf>
    <xf numFmtId="2" fontId="56" fillId="0" borderId="0" applyBorder="0" applyProtection="0"/>
    <xf numFmtId="0" fontId="55" fillId="38" borderId="35" applyNumberFormat="0" applyProtection="0"/>
    <xf numFmtId="0" fontId="55" fillId="38" borderId="35" applyNumberFormat="0" applyProtection="0"/>
    <xf numFmtId="0" fontId="114" fillId="0" borderId="0" applyNumberFormat="0" applyBorder="0" applyProtection="0">
      <alignment vertical="top"/>
    </xf>
    <xf numFmtId="0" fontId="55" fillId="38" borderId="35" applyNumberFormat="0" applyProtection="0"/>
    <xf numFmtId="0" fontId="114" fillId="0" borderId="0" applyNumberFormat="0" applyBorder="0" applyProtection="0">
      <alignment vertical="top"/>
    </xf>
    <xf numFmtId="186" fontId="115" fillId="0" borderId="0" applyBorder="0" applyProtection="0">
      <alignment horizontal="right"/>
    </xf>
    <xf numFmtId="0" fontId="116" fillId="58" borderId="41" applyNumberFormat="0" applyProtection="0"/>
    <xf numFmtId="173" fontId="56" fillId="0" borderId="0" applyBorder="0" applyProtection="0"/>
    <xf numFmtId="173" fontId="55" fillId="0" borderId="0" applyBorder="0" applyProtection="0"/>
    <xf numFmtId="173" fontId="25" fillId="0" borderId="0" applyFont="0" applyBorder="0" applyProtection="0"/>
    <xf numFmtId="173" fontId="55" fillId="0" borderId="0" applyBorder="0" applyProtection="0"/>
    <xf numFmtId="173" fontId="25" fillId="0" borderId="0" applyFont="0" applyBorder="0" applyProtection="0"/>
    <xf numFmtId="173" fontId="55" fillId="0" borderId="0" applyBorder="0" applyProtection="0"/>
    <xf numFmtId="173" fontId="55" fillId="0" borderId="0" applyBorder="0" applyProtection="0"/>
    <xf numFmtId="173" fontId="55" fillId="0" borderId="0" applyBorder="0" applyProtection="0"/>
    <xf numFmtId="173" fontId="55" fillId="0" borderId="0" applyBorder="0" applyProtection="0"/>
    <xf numFmtId="173" fontId="55" fillId="0" borderId="0" applyBorder="0" applyProtection="0"/>
    <xf numFmtId="173" fontId="55" fillId="0" borderId="0" applyBorder="0" applyProtection="0"/>
    <xf numFmtId="0" fontId="55" fillId="38" borderId="35" applyNumberFormat="0" applyProtection="0"/>
    <xf numFmtId="0" fontId="56" fillId="71" borderId="35" applyNumberFormat="0" applyProtection="0"/>
    <xf numFmtId="0" fontId="117" fillId="0" borderId="0" applyNumberFormat="0" applyBorder="0" applyProtection="0"/>
    <xf numFmtId="0" fontId="118" fillId="0" borderId="0" applyNumberFormat="0" applyBorder="0" applyProtection="0"/>
    <xf numFmtId="187" fontId="117" fillId="0" borderId="0" applyBorder="0" applyProtection="0"/>
    <xf numFmtId="187" fontId="118" fillId="0" borderId="0" applyBorder="0" applyProtection="0"/>
    <xf numFmtId="0" fontId="116" fillId="58" borderId="41" applyNumberFormat="0" applyProtection="0"/>
    <xf numFmtId="0" fontId="119" fillId="47" borderId="0" applyNumberFormat="0" applyBorder="0" applyProtection="0"/>
    <xf numFmtId="0" fontId="120" fillId="58" borderId="42" applyNumberFormat="0" applyProtection="0"/>
    <xf numFmtId="0" fontId="121" fillId="0" borderId="0" applyNumberFormat="0" applyBorder="0" applyProtection="0">
      <alignment vertical="top" wrapText="1"/>
    </xf>
    <xf numFmtId="0" fontId="122" fillId="0" borderId="0" applyNumberFormat="0" applyBorder="0" applyProtection="0"/>
    <xf numFmtId="0" fontId="94" fillId="0" borderId="38" applyNumberFormat="0" applyProtection="0"/>
    <xf numFmtId="0" fontId="95" fillId="0" borderId="39" applyNumberFormat="0" applyProtection="0"/>
    <xf numFmtId="0" fontId="83" fillId="0" borderId="40" applyNumberFormat="0" applyProtection="0"/>
    <xf numFmtId="0" fontId="55" fillId="0" borderId="0" applyNumberFormat="0" applyBorder="0" applyProtection="0">
      <alignment horizontal="left"/>
    </xf>
    <xf numFmtId="0" fontId="55" fillId="0" borderId="0" applyNumberFormat="0" applyBorder="0" applyProtection="0"/>
    <xf numFmtId="0" fontId="55" fillId="0" borderId="0" applyNumberFormat="0" applyBorder="0" applyProtection="0"/>
    <xf numFmtId="0" fontId="86" fillId="0" borderId="0" applyNumberFormat="0" applyBorder="0" applyProtection="0"/>
    <xf numFmtId="0" fontId="86" fillId="0" borderId="0" applyNumberFormat="0" applyBorder="0" applyProtection="0">
      <alignment horizontal="left"/>
    </xf>
    <xf numFmtId="0" fontId="55" fillId="0" borderId="0" applyNumberFormat="0" applyBorder="0" applyProtection="0"/>
    <xf numFmtId="166" fontId="123" fillId="68" borderId="43" applyProtection="0">
      <alignment vertical="center"/>
    </xf>
    <xf numFmtId="166" fontId="123" fillId="44" borderId="43" applyProtection="0">
      <alignment vertical="center"/>
    </xf>
    <xf numFmtId="166" fontId="123" fillId="42" borderId="43" applyProtection="0">
      <alignment vertical="center"/>
    </xf>
    <xf numFmtId="166" fontId="123" fillId="68" borderId="43" applyProtection="0">
      <alignment vertical="center"/>
    </xf>
    <xf numFmtId="166" fontId="123" fillId="68" borderId="43" applyProtection="0">
      <alignment vertical="center"/>
    </xf>
    <xf numFmtId="166" fontId="123" fillId="68" borderId="43" applyProtection="0">
      <alignment vertical="center"/>
    </xf>
    <xf numFmtId="4" fontId="123" fillId="68" borderId="43" applyProtection="0">
      <alignment vertical="center"/>
    </xf>
    <xf numFmtId="4" fontId="123" fillId="44" borderId="43" applyProtection="0">
      <alignment vertical="center"/>
    </xf>
    <xf numFmtId="4" fontId="123" fillId="42" borderId="43" applyProtection="0">
      <alignment vertical="center"/>
    </xf>
    <xf numFmtId="4" fontId="123" fillId="68" borderId="43" applyProtection="0">
      <alignment vertical="center"/>
    </xf>
    <xf numFmtId="4" fontId="123" fillId="68" borderId="43" applyProtection="0">
      <alignment vertical="center"/>
    </xf>
    <xf numFmtId="4" fontId="123" fillId="68" borderId="43" applyProtection="0">
      <alignment vertical="center"/>
    </xf>
    <xf numFmtId="165" fontId="123" fillId="68" borderId="43" applyProtection="0">
      <alignment vertical="center"/>
    </xf>
    <xf numFmtId="165" fontId="123" fillId="44" borderId="43" applyProtection="0">
      <alignment vertical="center"/>
    </xf>
    <xf numFmtId="165" fontId="123" fillId="42" borderId="43" applyProtection="0">
      <alignment vertical="center"/>
    </xf>
    <xf numFmtId="165" fontId="123" fillId="68" borderId="43" applyProtection="0">
      <alignment vertical="center"/>
    </xf>
    <xf numFmtId="165" fontId="123" fillId="68" borderId="43" applyProtection="0">
      <alignment vertical="center"/>
    </xf>
    <xf numFmtId="165" fontId="123" fillId="68" borderId="43" applyProtection="0">
      <alignment vertical="center"/>
    </xf>
    <xf numFmtId="164" fontId="123" fillId="68" borderId="43" applyProtection="0">
      <alignment vertical="center"/>
    </xf>
    <xf numFmtId="164" fontId="123" fillId="44" borderId="43" applyProtection="0">
      <alignment vertical="center"/>
    </xf>
    <xf numFmtId="164" fontId="123" fillId="42" borderId="43" applyProtection="0">
      <alignment vertical="center"/>
    </xf>
    <xf numFmtId="164" fontId="123" fillId="68" borderId="43" applyProtection="0">
      <alignment vertical="center"/>
    </xf>
    <xf numFmtId="164" fontId="123" fillId="68" borderId="43" applyProtection="0">
      <alignment vertical="center"/>
    </xf>
    <xf numFmtId="164" fontId="123" fillId="68" borderId="43" applyProtection="0">
      <alignment vertical="center"/>
    </xf>
    <xf numFmtId="3" fontId="123" fillId="68" borderId="43" applyProtection="0">
      <alignment vertical="center"/>
    </xf>
    <xf numFmtId="3" fontId="123" fillId="44" borderId="43" applyProtection="0">
      <alignment vertical="center"/>
    </xf>
    <xf numFmtId="3" fontId="123" fillId="42" borderId="43" applyProtection="0">
      <alignment vertical="center"/>
    </xf>
    <xf numFmtId="3" fontId="123" fillId="68" borderId="43" applyProtection="0">
      <alignment vertical="center"/>
    </xf>
    <xf numFmtId="3" fontId="123" fillId="68" borderId="43" applyProtection="0">
      <alignment vertical="center"/>
    </xf>
    <xf numFmtId="3" fontId="123" fillId="68" borderId="43" applyProtection="0">
      <alignment vertical="center"/>
    </xf>
    <xf numFmtId="0" fontId="124" fillId="68" borderId="43" applyNumberFormat="0" applyProtection="0">
      <alignment vertical="center"/>
    </xf>
    <xf numFmtId="188" fontId="124" fillId="44" borderId="43" applyProtection="0">
      <alignment vertical="center"/>
    </xf>
    <xf numFmtId="188" fontId="125" fillId="42" borderId="43" applyProtection="0">
      <alignment vertical="center"/>
    </xf>
    <xf numFmtId="188" fontId="124" fillId="68" borderId="43" applyProtection="0">
      <alignment vertical="center"/>
    </xf>
    <xf numFmtId="188" fontId="124" fillId="68" borderId="43" applyProtection="0">
      <alignment vertical="center"/>
    </xf>
    <xf numFmtId="188" fontId="125" fillId="68" borderId="43" applyProtection="0">
      <alignment vertical="center"/>
    </xf>
    <xf numFmtId="0" fontId="124" fillId="68" borderId="43" applyNumberFormat="0" applyProtection="0">
      <alignment vertical="center"/>
    </xf>
    <xf numFmtId="189" fontId="124" fillId="44" borderId="43" applyProtection="0">
      <alignment vertical="center"/>
    </xf>
    <xf numFmtId="189" fontId="125" fillId="42" borderId="43" applyProtection="0">
      <alignment vertical="center"/>
    </xf>
    <xf numFmtId="189" fontId="124" fillId="68" borderId="43" applyProtection="0">
      <alignment vertical="center"/>
    </xf>
    <xf numFmtId="189" fontId="124" fillId="68" borderId="43" applyProtection="0">
      <alignment vertical="center"/>
    </xf>
    <xf numFmtId="189" fontId="125" fillId="68" borderId="43" applyProtection="0">
      <alignment vertical="center"/>
    </xf>
    <xf numFmtId="0" fontId="124" fillId="68" borderId="43" applyNumberFormat="0" applyProtection="0">
      <alignment vertical="center"/>
    </xf>
    <xf numFmtId="190" fontId="124" fillId="44" borderId="43" applyProtection="0">
      <alignment vertical="center"/>
    </xf>
    <xf numFmtId="190" fontId="125" fillId="42" borderId="43" applyProtection="0">
      <alignment vertical="center"/>
    </xf>
    <xf numFmtId="190" fontId="124" fillId="68" borderId="43" applyProtection="0">
      <alignment vertical="center"/>
    </xf>
    <xf numFmtId="190" fontId="124" fillId="68" borderId="43" applyProtection="0">
      <alignment vertical="center"/>
    </xf>
    <xf numFmtId="190" fontId="125" fillId="68" borderId="43" applyProtection="0">
      <alignment vertical="center"/>
    </xf>
    <xf numFmtId="191" fontId="126" fillId="68" borderId="43" applyProtection="0">
      <alignment vertical="center"/>
    </xf>
    <xf numFmtId="191" fontId="126" fillId="44" borderId="43" applyProtection="0">
      <alignment vertical="center"/>
    </xf>
    <xf numFmtId="191" fontId="126" fillId="42" borderId="43" applyProtection="0">
      <alignment vertical="center"/>
    </xf>
    <xf numFmtId="191" fontId="126" fillId="68" borderId="43" applyProtection="0">
      <alignment vertical="center"/>
    </xf>
    <xf numFmtId="191" fontId="126" fillId="68" borderId="43" applyProtection="0">
      <alignment vertical="center"/>
    </xf>
    <xf numFmtId="191" fontId="126" fillId="68" borderId="43" applyProtection="0">
      <alignment vertical="center"/>
    </xf>
    <xf numFmtId="192" fontId="126" fillId="68" borderId="43" applyProtection="0">
      <alignment vertical="center"/>
    </xf>
    <xf numFmtId="192" fontId="126" fillId="44" borderId="43" applyProtection="0">
      <alignment vertical="center"/>
    </xf>
    <xf numFmtId="192" fontId="126" fillId="42" borderId="43" applyProtection="0">
      <alignment vertical="center"/>
    </xf>
    <xf numFmtId="192" fontId="126" fillId="68" borderId="43" applyProtection="0">
      <alignment vertical="center"/>
    </xf>
    <xf numFmtId="192" fontId="126" fillId="68" borderId="43" applyProtection="0">
      <alignment vertical="center"/>
    </xf>
    <xf numFmtId="192" fontId="126" fillId="68" borderId="43" applyProtection="0">
      <alignment vertical="center"/>
    </xf>
    <xf numFmtId="193" fontId="126" fillId="68" borderId="43" applyProtection="0">
      <alignment vertical="center"/>
    </xf>
    <xf numFmtId="193" fontId="126" fillId="44" borderId="43" applyProtection="0">
      <alignment vertical="center"/>
    </xf>
    <xf numFmtId="193" fontId="126" fillId="42" borderId="43" applyProtection="0">
      <alignment vertical="center"/>
    </xf>
    <xf numFmtId="193" fontId="126" fillId="68" borderId="43" applyProtection="0">
      <alignment vertical="center"/>
    </xf>
    <xf numFmtId="193" fontId="126" fillId="68" borderId="43" applyProtection="0">
      <alignment vertical="center"/>
    </xf>
    <xf numFmtId="193" fontId="126" fillId="68" borderId="43" applyProtection="0">
      <alignment vertical="center"/>
    </xf>
    <xf numFmtId="167" fontId="127" fillId="68" borderId="43" applyProtection="0">
      <alignment vertical="center"/>
    </xf>
    <xf numFmtId="167" fontId="128" fillId="44" borderId="43" applyProtection="0">
      <alignment vertical="center"/>
    </xf>
    <xf numFmtId="167" fontId="129" fillId="42" borderId="43" applyProtection="0">
      <alignment vertical="center"/>
    </xf>
    <xf numFmtId="167" fontId="127" fillId="68" borderId="43" applyProtection="0">
      <alignment vertical="center"/>
    </xf>
    <xf numFmtId="167" fontId="130" fillId="68" borderId="43" applyProtection="0">
      <alignment vertical="center"/>
    </xf>
    <xf numFmtId="167" fontId="129" fillId="68" borderId="43" applyProtection="0">
      <alignment vertical="center"/>
    </xf>
    <xf numFmtId="194" fontId="127" fillId="68" borderId="43" applyProtection="0">
      <alignment vertical="center"/>
    </xf>
    <xf numFmtId="194" fontId="128" fillId="44" borderId="43" applyProtection="0">
      <alignment vertical="center"/>
    </xf>
    <xf numFmtId="194" fontId="129" fillId="42" borderId="43" applyProtection="0">
      <alignment vertical="center"/>
    </xf>
    <xf numFmtId="194" fontId="127" fillId="68" borderId="43" applyProtection="0">
      <alignment vertical="center"/>
    </xf>
    <xf numFmtId="194" fontId="130" fillId="68" borderId="43" applyProtection="0">
      <alignment vertical="center"/>
    </xf>
    <xf numFmtId="194" fontId="129" fillId="68" borderId="43" applyProtection="0">
      <alignment vertical="center"/>
    </xf>
    <xf numFmtId="173" fontId="127" fillId="68" borderId="43" applyProtection="0">
      <alignment vertical="center"/>
    </xf>
    <xf numFmtId="173" fontId="128" fillId="44" borderId="43" applyProtection="0">
      <alignment vertical="center"/>
    </xf>
    <xf numFmtId="173" fontId="129" fillId="42" borderId="43" applyProtection="0">
      <alignment vertical="center"/>
    </xf>
    <xf numFmtId="173" fontId="127" fillId="68" borderId="43" applyProtection="0">
      <alignment vertical="center"/>
    </xf>
    <xf numFmtId="173" fontId="130" fillId="68" borderId="43" applyProtection="0">
      <alignment vertical="center"/>
    </xf>
    <xf numFmtId="173" fontId="129" fillId="68" borderId="43" applyProtection="0">
      <alignment vertical="center"/>
    </xf>
    <xf numFmtId="0" fontId="131" fillId="68" borderId="43" applyNumberFormat="0" applyProtection="0">
      <alignment vertical="center"/>
    </xf>
    <xf numFmtId="0" fontId="132" fillId="44" borderId="43" applyNumberFormat="0" applyProtection="0">
      <alignment vertical="center"/>
    </xf>
    <xf numFmtId="0" fontId="132" fillId="42" borderId="43" applyNumberFormat="0" applyProtection="0">
      <alignment vertical="center"/>
    </xf>
    <xf numFmtId="0" fontId="132" fillId="68" borderId="43" applyNumberFormat="0" applyProtection="0">
      <alignment vertical="center"/>
    </xf>
    <xf numFmtId="0" fontId="132" fillId="68" borderId="43" applyNumberFormat="0" applyProtection="0">
      <alignment vertical="center"/>
    </xf>
    <xf numFmtId="0" fontId="132" fillId="68" borderId="43" applyNumberFormat="0" applyProtection="0">
      <alignment vertical="center"/>
    </xf>
    <xf numFmtId="0" fontId="131" fillId="68" borderId="43" applyNumberFormat="0" applyProtection="0">
      <alignment horizontal="left" vertical="center"/>
    </xf>
    <xf numFmtId="0" fontId="131" fillId="44" borderId="43" applyNumberFormat="0" applyProtection="0">
      <alignment horizontal="left" vertical="center"/>
    </xf>
    <xf numFmtId="0" fontId="131" fillId="42" borderId="43" applyNumberFormat="0" applyProtection="0">
      <alignment horizontal="left" vertical="center"/>
    </xf>
    <xf numFmtId="0" fontId="131" fillId="68" borderId="43" applyNumberFormat="0" applyProtection="0">
      <alignment horizontal="left" vertical="center"/>
    </xf>
    <xf numFmtId="0" fontId="131" fillId="68" borderId="43" applyNumberFormat="0" applyProtection="0">
      <alignment horizontal="left" vertical="center"/>
    </xf>
    <xf numFmtId="0" fontId="131" fillId="68" borderId="43" applyNumberFormat="0" applyProtection="0">
      <alignment horizontal="left" vertical="center"/>
    </xf>
    <xf numFmtId="166" fontId="133" fillId="81" borderId="43" applyProtection="0">
      <alignment vertical="center"/>
    </xf>
    <xf numFmtId="166" fontId="133" fillId="52" borderId="43" applyProtection="0">
      <alignment vertical="center"/>
    </xf>
    <xf numFmtId="166" fontId="133" fillId="75" borderId="43" applyProtection="0">
      <alignment vertical="center"/>
    </xf>
    <xf numFmtId="166" fontId="133" fillId="82" borderId="43" applyProtection="0">
      <alignment vertical="center"/>
    </xf>
    <xf numFmtId="166" fontId="133" fillId="81" borderId="43" applyProtection="0">
      <alignment vertical="center"/>
    </xf>
    <xf numFmtId="4" fontId="133" fillId="81" borderId="43" applyProtection="0">
      <alignment vertical="center"/>
    </xf>
    <xf numFmtId="4" fontId="133" fillId="52" borderId="43" applyProtection="0">
      <alignment vertical="center"/>
    </xf>
    <xf numFmtId="4" fontId="133" fillId="75" borderId="43" applyProtection="0">
      <alignment vertical="center"/>
    </xf>
    <xf numFmtId="4" fontId="133" fillId="82" borderId="43" applyProtection="0">
      <alignment vertical="center"/>
    </xf>
    <xf numFmtId="4" fontId="133" fillId="81" borderId="43" applyProtection="0">
      <alignment vertical="center"/>
    </xf>
    <xf numFmtId="165" fontId="133" fillId="81" borderId="43" applyProtection="0">
      <alignment vertical="center"/>
    </xf>
    <xf numFmtId="165" fontId="133" fillId="52" borderId="43" applyProtection="0">
      <alignment vertical="center"/>
    </xf>
    <xf numFmtId="165" fontId="133" fillId="75" borderId="43" applyProtection="0">
      <alignment vertical="center"/>
    </xf>
    <xf numFmtId="165" fontId="133" fillId="82" borderId="43" applyProtection="0">
      <alignment vertical="center"/>
    </xf>
    <xf numFmtId="165" fontId="133" fillId="81" borderId="43" applyProtection="0">
      <alignment vertical="center"/>
    </xf>
    <xf numFmtId="164" fontId="133" fillId="81" borderId="43" applyProtection="0">
      <alignment vertical="center"/>
    </xf>
    <xf numFmtId="164" fontId="133" fillId="52" borderId="43" applyProtection="0">
      <alignment vertical="center"/>
    </xf>
    <xf numFmtId="164" fontId="133" fillId="75" borderId="43" applyProtection="0">
      <alignment vertical="center"/>
    </xf>
    <xf numFmtId="164" fontId="133" fillId="82" borderId="43" applyProtection="0">
      <alignment vertical="center"/>
    </xf>
    <xf numFmtId="164" fontId="133" fillId="81" borderId="43" applyProtection="0">
      <alignment vertical="center"/>
    </xf>
    <xf numFmtId="3" fontId="133" fillId="81" borderId="43" applyProtection="0">
      <alignment vertical="center"/>
    </xf>
    <xf numFmtId="3" fontId="133" fillId="52" borderId="43" applyProtection="0">
      <alignment vertical="center"/>
    </xf>
    <xf numFmtId="3" fontId="133" fillId="75" borderId="43" applyProtection="0">
      <alignment vertical="center"/>
    </xf>
    <xf numFmtId="3" fontId="133" fillId="82" borderId="43" applyProtection="0">
      <alignment vertical="center"/>
    </xf>
    <xf numFmtId="3" fontId="133" fillId="81" borderId="43" applyProtection="0">
      <alignment vertical="center"/>
    </xf>
    <xf numFmtId="0" fontId="134" fillId="81" borderId="43" applyNumberFormat="0" applyProtection="0">
      <alignment vertical="center"/>
    </xf>
    <xf numFmtId="188" fontId="134" fillId="52" borderId="43" applyProtection="0">
      <alignment vertical="center"/>
    </xf>
    <xf numFmtId="188" fontId="134" fillId="75" borderId="43" applyProtection="0">
      <alignment vertical="center"/>
    </xf>
    <xf numFmtId="188" fontId="134" fillId="82" borderId="43" applyProtection="0">
      <alignment vertical="center"/>
    </xf>
    <xf numFmtId="188" fontId="135" fillId="81" borderId="43" applyProtection="0">
      <alignment vertical="center"/>
    </xf>
    <xf numFmtId="0" fontId="134" fillId="81" borderId="43" applyNumberFormat="0" applyProtection="0">
      <alignment vertical="center"/>
    </xf>
    <xf numFmtId="189" fontId="134" fillId="52" borderId="43" applyProtection="0">
      <alignment vertical="center"/>
    </xf>
    <xf numFmtId="189" fontId="134" fillId="75" borderId="43" applyProtection="0">
      <alignment vertical="center"/>
    </xf>
    <xf numFmtId="189" fontId="134" fillId="82" borderId="43" applyProtection="0">
      <alignment vertical="center"/>
    </xf>
    <xf numFmtId="189" fontId="135" fillId="81" borderId="43" applyProtection="0">
      <alignment vertical="center"/>
    </xf>
    <xf numFmtId="0" fontId="134" fillId="81" borderId="43" applyNumberFormat="0" applyProtection="0">
      <alignment vertical="center"/>
    </xf>
    <xf numFmtId="190" fontId="134" fillId="52" borderId="43" applyProtection="0">
      <alignment vertical="center"/>
    </xf>
    <xf numFmtId="190" fontId="134" fillId="75" borderId="43" applyProtection="0">
      <alignment vertical="center"/>
    </xf>
    <xf numFmtId="190" fontId="134" fillId="82" borderId="43" applyProtection="0">
      <alignment vertical="center"/>
    </xf>
    <xf numFmtId="190" fontId="135" fillId="81" borderId="43" applyProtection="0">
      <alignment vertical="center"/>
    </xf>
    <xf numFmtId="191" fontId="136" fillId="81" borderId="43" applyProtection="0">
      <alignment vertical="center"/>
    </xf>
    <xf numFmtId="191" fontId="136" fillId="52" borderId="43" applyProtection="0">
      <alignment vertical="center"/>
    </xf>
    <xf numFmtId="191" fontId="136" fillId="75" borderId="43" applyProtection="0">
      <alignment vertical="center"/>
    </xf>
    <xf numFmtId="191" fontId="136" fillId="82" borderId="43" applyProtection="0">
      <alignment vertical="center"/>
    </xf>
    <xf numFmtId="191" fontId="136" fillId="81" borderId="43" applyProtection="0">
      <alignment vertical="center"/>
    </xf>
    <xf numFmtId="192" fontId="136" fillId="81" borderId="43" applyProtection="0">
      <alignment vertical="center"/>
    </xf>
    <xf numFmtId="192" fontId="136" fillId="52" borderId="43" applyProtection="0">
      <alignment vertical="center"/>
    </xf>
    <xf numFmtId="192" fontId="136" fillId="75" borderId="43" applyProtection="0">
      <alignment vertical="center"/>
    </xf>
    <xf numFmtId="192" fontId="136" fillId="82" borderId="43" applyProtection="0">
      <alignment vertical="center"/>
    </xf>
    <xf numFmtId="192" fontId="136" fillId="81" borderId="43" applyProtection="0">
      <alignment vertical="center"/>
    </xf>
    <xf numFmtId="193" fontId="136" fillId="81" borderId="43" applyProtection="0">
      <alignment vertical="center"/>
    </xf>
    <xf numFmtId="193" fontId="136" fillId="52" borderId="43" applyProtection="0">
      <alignment vertical="center"/>
    </xf>
    <xf numFmtId="193" fontId="136" fillId="75" borderId="43" applyProtection="0">
      <alignment vertical="center"/>
    </xf>
    <xf numFmtId="193" fontId="136" fillId="82" borderId="43" applyProtection="0">
      <alignment vertical="center"/>
    </xf>
    <xf numFmtId="193" fontId="136" fillId="81" borderId="43" applyProtection="0">
      <alignment vertical="center"/>
    </xf>
    <xf numFmtId="167" fontId="137" fillId="81" borderId="43" applyProtection="0">
      <alignment vertical="center"/>
    </xf>
    <xf numFmtId="167" fontId="138" fillId="52" borderId="43" applyProtection="0">
      <alignment vertical="center"/>
    </xf>
    <xf numFmtId="167" fontId="137" fillId="75" borderId="43" applyProtection="0">
      <alignment vertical="center"/>
    </xf>
    <xf numFmtId="167" fontId="139" fillId="82" borderId="43" applyProtection="0">
      <alignment vertical="center"/>
    </xf>
    <xf numFmtId="167" fontId="140" fillId="81" borderId="43" applyProtection="0">
      <alignment vertical="center"/>
    </xf>
    <xf numFmtId="194" fontId="137" fillId="81" borderId="43" applyProtection="0">
      <alignment vertical="center"/>
    </xf>
    <xf numFmtId="194" fontId="138" fillId="52" borderId="43" applyProtection="0">
      <alignment vertical="center"/>
    </xf>
    <xf numFmtId="194" fontId="137" fillId="75" borderId="43" applyProtection="0">
      <alignment vertical="center"/>
    </xf>
    <xf numFmtId="194" fontId="139" fillId="82" borderId="43" applyProtection="0">
      <alignment vertical="center"/>
    </xf>
    <xf numFmtId="194" fontId="140" fillId="81" borderId="43" applyProtection="0">
      <alignment vertical="center"/>
    </xf>
    <xf numFmtId="173" fontId="137" fillId="81" borderId="43" applyProtection="0">
      <alignment vertical="center"/>
    </xf>
    <xf numFmtId="173" fontId="138" fillId="52" borderId="43" applyProtection="0">
      <alignment vertical="center"/>
    </xf>
    <xf numFmtId="173" fontId="137" fillId="75" borderId="43" applyProtection="0">
      <alignment vertical="center"/>
    </xf>
    <xf numFmtId="173" fontId="139" fillId="82" borderId="43" applyProtection="0">
      <alignment vertical="center"/>
    </xf>
    <xf numFmtId="173" fontId="140" fillId="81" borderId="43" applyProtection="0">
      <alignment vertical="center"/>
    </xf>
    <xf numFmtId="0" fontId="141" fillId="81" borderId="43" applyNumberFormat="0" applyProtection="0">
      <alignment vertical="center"/>
    </xf>
    <xf numFmtId="0" fontId="142" fillId="52" borderId="43" applyNumberFormat="0" applyProtection="0">
      <alignment vertical="center"/>
    </xf>
    <xf numFmtId="0" fontId="142" fillId="75" borderId="43" applyNumberFormat="0" applyProtection="0">
      <alignment vertical="center"/>
    </xf>
    <xf numFmtId="0" fontId="142" fillId="82" borderId="43" applyNumberFormat="0" applyProtection="0">
      <alignment vertical="center"/>
    </xf>
    <xf numFmtId="0" fontId="142" fillId="81" borderId="43" applyNumberFormat="0" applyProtection="0">
      <alignment vertical="center"/>
    </xf>
    <xf numFmtId="0" fontId="141" fillId="81" borderId="43" applyNumberFormat="0" applyProtection="0">
      <alignment horizontal="left" vertical="center"/>
    </xf>
    <xf numFmtId="0" fontId="141" fillId="52" borderId="43" applyNumberFormat="0" applyProtection="0">
      <alignment horizontal="left" vertical="center"/>
    </xf>
    <xf numFmtId="0" fontId="141" fillId="75" borderId="43" applyNumberFormat="0" applyProtection="0">
      <alignment horizontal="left" vertical="center"/>
    </xf>
    <xf numFmtId="0" fontId="141" fillId="82" borderId="43" applyNumberFormat="0" applyProtection="0">
      <alignment horizontal="left" vertical="center"/>
    </xf>
    <xf numFmtId="0" fontId="141" fillId="81" borderId="43" applyNumberFormat="0" applyProtection="0">
      <alignment horizontal="left" vertical="center"/>
    </xf>
    <xf numFmtId="166" fontId="123" fillId="85" borderId="44" applyProtection="0">
      <alignment vertical="center"/>
    </xf>
    <xf numFmtId="166" fontId="123" fillId="76" borderId="44" applyProtection="0">
      <alignment vertical="center"/>
    </xf>
    <xf numFmtId="166" fontId="123" fillId="70" borderId="44" applyProtection="0">
      <alignment vertical="center"/>
    </xf>
    <xf numFmtId="166" fontId="123" fillId="42" borderId="44" applyProtection="0">
      <alignment vertical="center"/>
    </xf>
    <xf numFmtId="166" fontId="123" fillId="51" borderId="44" applyProtection="0">
      <alignment vertical="center"/>
    </xf>
    <xf numFmtId="166" fontId="123" fillId="85" borderId="44" applyProtection="0">
      <alignment vertical="center"/>
    </xf>
    <xf numFmtId="166" fontId="123" fillId="70" borderId="44" applyProtection="0">
      <alignment vertical="center"/>
    </xf>
    <xf numFmtId="166" fontId="123" fillId="42" borderId="44" applyProtection="0">
      <alignment vertical="center"/>
    </xf>
    <xf numFmtId="4" fontId="123" fillId="76" borderId="44" applyProtection="0">
      <alignment vertical="center"/>
    </xf>
    <xf numFmtId="4" fontId="123" fillId="70" borderId="44" applyProtection="0">
      <alignment vertical="center"/>
    </xf>
    <xf numFmtId="4" fontId="123" fillId="42" borderId="44" applyProtection="0">
      <alignment vertical="center"/>
    </xf>
    <xf numFmtId="4" fontId="123" fillId="51" borderId="44" applyProtection="0">
      <alignment vertical="center"/>
    </xf>
    <xf numFmtId="4" fontId="123" fillId="70" borderId="44" applyProtection="0">
      <alignment vertical="center"/>
    </xf>
    <xf numFmtId="4" fontId="123" fillId="42" borderId="44" applyProtection="0">
      <alignment vertical="center"/>
    </xf>
    <xf numFmtId="165" fontId="123" fillId="76" borderId="44" applyProtection="0">
      <alignment vertical="center"/>
    </xf>
    <xf numFmtId="165" fontId="123" fillId="70" borderId="44" applyProtection="0">
      <alignment vertical="center"/>
    </xf>
    <xf numFmtId="165" fontId="123" fillId="42" borderId="44" applyProtection="0">
      <alignment vertical="center"/>
    </xf>
    <xf numFmtId="165" fontId="123" fillId="51" borderId="44" applyProtection="0">
      <alignment vertical="center"/>
    </xf>
    <xf numFmtId="165" fontId="123" fillId="70" borderId="44" applyProtection="0">
      <alignment vertical="center"/>
    </xf>
    <xf numFmtId="165" fontId="123" fillId="42" borderId="44" applyProtection="0">
      <alignment vertical="center"/>
    </xf>
    <xf numFmtId="164" fontId="123" fillId="76" borderId="44" applyProtection="0">
      <alignment vertical="center"/>
    </xf>
    <xf numFmtId="164" fontId="123" fillId="70" borderId="44" applyProtection="0">
      <alignment vertical="center"/>
    </xf>
    <xf numFmtId="164" fontId="123" fillId="42" borderId="44" applyProtection="0">
      <alignment vertical="center"/>
    </xf>
    <xf numFmtId="164" fontId="123" fillId="51" borderId="44" applyProtection="0">
      <alignment vertical="center"/>
    </xf>
    <xf numFmtId="164" fontId="123" fillId="70" borderId="44" applyProtection="0">
      <alignment vertical="center"/>
    </xf>
    <xf numFmtId="164" fontId="123" fillId="42" borderId="44" applyProtection="0">
      <alignment vertical="center"/>
    </xf>
    <xf numFmtId="3" fontId="123" fillId="76" borderId="44" applyProtection="0">
      <alignment vertical="center"/>
    </xf>
    <xf numFmtId="3" fontId="123" fillId="70" borderId="44" applyProtection="0">
      <alignment vertical="center"/>
    </xf>
    <xf numFmtId="3" fontId="123" fillId="42" borderId="44" applyProtection="0">
      <alignment vertical="center"/>
    </xf>
    <xf numFmtId="3" fontId="123" fillId="51" borderId="44" applyProtection="0">
      <alignment vertical="center"/>
    </xf>
    <xf numFmtId="3" fontId="123" fillId="70" borderId="44" applyProtection="0">
      <alignment vertical="center"/>
    </xf>
    <xf numFmtId="3" fontId="123" fillId="42" borderId="44" applyProtection="0">
      <alignment vertical="center"/>
    </xf>
    <xf numFmtId="0" fontId="124" fillId="76" borderId="44" applyNumberFormat="0" applyProtection="0">
      <alignment vertical="center"/>
    </xf>
    <xf numFmtId="188" fontId="124" fillId="70" borderId="44" applyProtection="0">
      <alignment vertical="center"/>
    </xf>
    <xf numFmtId="188" fontId="125" fillId="42" borderId="44" applyProtection="0">
      <alignment vertical="center"/>
    </xf>
    <xf numFmtId="188" fontId="124" fillId="51" borderId="44" applyProtection="0">
      <alignment vertical="center"/>
    </xf>
    <xf numFmtId="188" fontId="124" fillId="70" borderId="44" applyProtection="0">
      <alignment vertical="center"/>
    </xf>
    <xf numFmtId="188" fontId="125" fillId="42" borderId="44" applyProtection="0">
      <alignment vertical="center"/>
    </xf>
    <xf numFmtId="0" fontId="124" fillId="76" borderId="44" applyNumberFormat="0" applyProtection="0">
      <alignment vertical="center"/>
    </xf>
    <xf numFmtId="189" fontId="124" fillId="70" borderId="44" applyProtection="0">
      <alignment vertical="center"/>
    </xf>
    <xf numFmtId="189" fontId="125" fillId="42" borderId="44" applyProtection="0">
      <alignment vertical="center"/>
    </xf>
    <xf numFmtId="189" fontId="124" fillId="51" borderId="44" applyProtection="0">
      <alignment vertical="center"/>
    </xf>
    <xf numFmtId="189" fontId="124" fillId="70" borderId="44" applyProtection="0">
      <alignment vertical="center"/>
    </xf>
    <xf numFmtId="189" fontId="125" fillId="42" borderId="44" applyProtection="0">
      <alignment vertical="center"/>
    </xf>
    <xf numFmtId="0" fontId="124" fillId="76" borderId="44" applyNumberFormat="0" applyProtection="0">
      <alignment vertical="center"/>
    </xf>
    <xf numFmtId="190" fontId="124" fillId="70" borderId="44" applyProtection="0">
      <alignment vertical="center"/>
    </xf>
    <xf numFmtId="190" fontId="125" fillId="42" borderId="44" applyProtection="0">
      <alignment vertical="center"/>
    </xf>
    <xf numFmtId="190" fontId="124" fillId="51" borderId="44" applyProtection="0">
      <alignment vertical="center"/>
    </xf>
    <xf numFmtId="190" fontId="124" fillId="70" borderId="44" applyProtection="0">
      <alignment vertical="center"/>
    </xf>
    <xf numFmtId="190" fontId="125" fillId="42" borderId="44" applyProtection="0">
      <alignment vertical="center"/>
    </xf>
    <xf numFmtId="191" fontId="126" fillId="76" borderId="44" applyProtection="0">
      <alignment vertical="center"/>
    </xf>
    <xf numFmtId="191" fontId="126" fillId="70" borderId="44" applyProtection="0">
      <alignment vertical="center"/>
    </xf>
    <xf numFmtId="191" fontId="126" fillId="42" borderId="44" applyProtection="0">
      <alignment vertical="center"/>
    </xf>
    <xf numFmtId="191" fontId="126" fillId="51" borderId="44" applyProtection="0">
      <alignment vertical="center"/>
    </xf>
    <xf numFmtId="191" fontId="126" fillId="70" borderId="44" applyProtection="0">
      <alignment vertical="center"/>
    </xf>
    <xf numFmtId="191" fontId="126" fillId="42" borderId="44" applyProtection="0">
      <alignment vertical="center"/>
    </xf>
    <xf numFmtId="192" fontId="126" fillId="76" borderId="44" applyProtection="0">
      <alignment vertical="center"/>
    </xf>
    <xf numFmtId="192" fontId="126" fillId="70" borderId="44" applyProtection="0">
      <alignment vertical="center"/>
    </xf>
    <xf numFmtId="192" fontId="126" fillId="42" borderId="44" applyProtection="0">
      <alignment vertical="center"/>
    </xf>
    <xf numFmtId="192" fontId="126" fillId="51" borderId="44" applyProtection="0">
      <alignment vertical="center"/>
    </xf>
    <xf numFmtId="192" fontId="126" fillId="70" borderId="44" applyProtection="0">
      <alignment vertical="center"/>
    </xf>
    <xf numFmtId="192" fontId="126" fillId="42" borderId="44" applyProtection="0">
      <alignment vertical="center"/>
    </xf>
    <xf numFmtId="193" fontId="126" fillId="76" borderId="44" applyProtection="0">
      <alignment vertical="center"/>
    </xf>
    <xf numFmtId="193" fontId="126" fillId="70" borderId="44" applyProtection="0">
      <alignment vertical="center"/>
    </xf>
    <xf numFmtId="193" fontId="126" fillId="42" borderId="44" applyProtection="0">
      <alignment vertical="center"/>
    </xf>
    <xf numFmtId="193" fontId="126" fillId="51" borderId="44" applyProtection="0">
      <alignment vertical="center"/>
    </xf>
    <xf numFmtId="193" fontId="126" fillId="70" borderId="44" applyProtection="0">
      <alignment vertical="center"/>
    </xf>
    <xf numFmtId="193" fontId="126" fillId="42" borderId="44" applyProtection="0">
      <alignment vertical="center"/>
    </xf>
    <xf numFmtId="167" fontId="127" fillId="76" borderId="44" applyProtection="0">
      <alignment vertical="center"/>
    </xf>
    <xf numFmtId="167" fontId="128" fillId="70" borderId="44" applyProtection="0">
      <alignment vertical="center"/>
    </xf>
    <xf numFmtId="167" fontId="129" fillId="42" borderId="44" applyProtection="0">
      <alignment vertical="center"/>
    </xf>
    <xf numFmtId="167" fontId="127" fillId="51" borderId="44" applyProtection="0">
      <alignment vertical="center"/>
    </xf>
    <xf numFmtId="167" fontId="130" fillId="70" borderId="44" applyProtection="0">
      <alignment vertical="center"/>
    </xf>
    <xf numFmtId="167" fontId="129" fillId="42" borderId="44" applyProtection="0">
      <alignment vertical="center"/>
    </xf>
    <xf numFmtId="194" fontId="127" fillId="76" borderId="44" applyProtection="0">
      <alignment vertical="center"/>
    </xf>
    <xf numFmtId="194" fontId="128" fillId="70" borderId="44" applyProtection="0">
      <alignment vertical="center"/>
    </xf>
    <xf numFmtId="194" fontId="129" fillId="42" borderId="44" applyProtection="0">
      <alignment vertical="center"/>
    </xf>
    <xf numFmtId="194" fontId="127" fillId="51" borderId="44" applyProtection="0">
      <alignment vertical="center"/>
    </xf>
    <xf numFmtId="194" fontId="130" fillId="70" borderId="44" applyProtection="0">
      <alignment vertical="center"/>
    </xf>
    <xf numFmtId="194" fontId="129" fillId="42" borderId="44" applyProtection="0">
      <alignment vertical="center"/>
    </xf>
    <xf numFmtId="173" fontId="127" fillId="76" borderId="44" applyProtection="0">
      <alignment vertical="center"/>
    </xf>
    <xf numFmtId="173" fontId="128" fillId="70" borderId="44" applyProtection="0">
      <alignment vertical="center"/>
    </xf>
    <xf numFmtId="173" fontId="129" fillId="42" borderId="44" applyProtection="0">
      <alignment vertical="center"/>
    </xf>
    <xf numFmtId="173" fontId="127" fillId="51" borderId="44" applyProtection="0">
      <alignment vertical="center"/>
    </xf>
    <xf numFmtId="173" fontId="130" fillId="70" borderId="44" applyProtection="0">
      <alignment vertical="center"/>
    </xf>
    <xf numFmtId="173" fontId="129" fillId="42" borderId="44" applyProtection="0">
      <alignment vertical="center"/>
    </xf>
    <xf numFmtId="0" fontId="131" fillId="76" borderId="44" applyNumberFormat="0" applyProtection="0">
      <alignment vertical="center"/>
    </xf>
    <xf numFmtId="0" fontId="132" fillId="70" borderId="44" applyNumberFormat="0" applyProtection="0">
      <alignment vertical="center"/>
    </xf>
    <xf numFmtId="0" fontId="132" fillId="42" borderId="44" applyNumberFormat="0" applyProtection="0">
      <alignment vertical="center"/>
    </xf>
    <xf numFmtId="0" fontId="132" fillId="51" borderId="44" applyNumberFormat="0" applyProtection="0">
      <alignment vertical="center"/>
    </xf>
    <xf numFmtId="0" fontId="132" fillId="70" borderId="44" applyNumberFormat="0" applyProtection="0">
      <alignment vertical="center"/>
    </xf>
    <xf numFmtId="0" fontId="132" fillId="42" borderId="44" applyNumberFormat="0" applyProtection="0">
      <alignment vertical="center"/>
    </xf>
    <xf numFmtId="0" fontId="131" fillId="76" borderId="44" applyNumberFormat="0" applyProtection="0">
      <alignment horizontal="left" vertical="center"/>
    </xf>
    <xf numFmtId="0" fontId="131" fillId="70" borderId="44" applyNumberFormat="0" applyProtection="0">
      <alignment horizontal="left" vertical="center"/>
    </xf>
    <xf numFmtId="0" fontId="131" fillId="42" borderId="44" applyNumberFormat="0" applyProtection="0">
      <alignment horizontal="left" vertical="center"/>
    </xf>
    <xf numFmtId="0" fontId="131" fillId="51" borderId="44" applyNumberFormat="0" applyProtection="0">
      <alignment horizontal="left" vertical="center"/>
    </xf>
    <xf numFmtId="0" fontId="131" fillId="70" borderId="44" applyNumberFormat="0" applyProtection="0">
      <alignment horizontal="left" vertical="center"/>
    </xf>
    <xf numFmtId="0" fontId="131" fillId="42" borderId="44" applyNumberFormat="0" applyProtection="0">
      <alignment horizontal="left" vertical="center"/>
    </xf>
    <xf numFmtId="166" fontId="133" fillId="86" borderId="44" applyProtection="0">
      <alignment vertical="center"/>
    </xf>
    <xf numFmtId="166" fontId="133" fillId="49" borderId="44" applyProtection="0">
      <alignment vertical="center"/>
    </xf>
    <xf numFmtId="166" fontId="133" fillId="49" borderId="44" applyProtection="0">
      <alignment vertical="center"/>
    </xf>
    <xf numFmtId="166" fontId="133" fillId="61" borderId="44" applyProtection="0">
      <alignment vertical="center"/>
    </xf>
    <xf numFmtId="166" fontId="133" fillId="49" borderId="44" applyProtection="0">
      <alignment vertical="center"/>
    </xf>
    <xf numFmtId="166" fontId="133" fillId="86" borderId="44" applyProtection="0">
      <alignment vertical="center"/>
    </xf>
    <xf numFmtId="166" fontId="133" fillId="75" borderId="44" applyProtection="0">
      <alignment vertical="center"/>
    </xf>
    <xf numFmtId="166" fontId="133" fillId="61" borderId="44" applyProtection="0">
      <alignment vertical="center"/>
    </xf>
    <xf numFmtId="4" fontId="133" fillId="49" borderId="44" applyProtection="0">
      <alignment vertical="center"/>
    </xf>
    <xf numFmtId="4" fontId="133" fillId="49" borderId="44" applyProtection="0">
      <alignment vertical="center"/>
    </xf>
    <xf numFmtId="4" fontId="133" fillId="61" borderId="44" applyProtection="0">
      <alignment vertical="center"/>
    </xf>
    <xf numFmtId="4" fontId="133" fillId="49" borderId="44" applyProtection="0">
      <alignment vertical="center"/>
    </xf>
    <xf numFmtId="4" fontId="133" fillId="75" borderId="44" applyProtection="0">
      <alignment vertical="center"/>
    </xf>
    <xf numFmtId="4" fontId="133" fillId="61" borderId="44" applyProtection="0">
      <alignment vertical="center"/>
    </xf>
    <xf numFmtId="165" fontId="133" fillId="49" borderId="44" applyProtection="0">
      <alignment vertical="center"/>
    </xf>
    <xf numFmtId="165" fontId="133" fillId="49" borderId="44" applyProtection="0">
      <alignment vertical="center"/>
    </xf>
    <xf numFmtId="165" fontId="133" fillId="61" borderId="44" applyProtection="0">
      <alignment vertical="center"/>
    </xf>
    <xf numFmtId="165" fontId="133" fillId="49" borderId="44" applyProtection="0">
      <alignment vertical="center"/>
    </xf>
    <xf numFmtId="165" fontId="133" fillId="75" borderId="44" applyProtection="0">
      <alignment vertical="center"/>
    </xf>
    <xf numFmtId="165" fontId="133" fillId="61" borderId="44" applyProtection="0">
      <alignment vertical="center"/>
    </xf>
    <xf numFmtId="164" fontId="133" fillId="49" borderId="44" applyProtection="0">
      <alignment vertical="center"/>
    </xf>
    <xf numFmtId="164" fontId="133" fillId="49" borderId="44" applyProtection="0">
      <alignment vertical="center"/>
    </xf>
    <xf numFmtId="164" fontId="133" fillId="61" borderId="44" applyProtection="0">
      <alignment vertical="center"/>
    </xf>
    <xf numFmtId="164" fontId="133" fillId="49" borderId="44" applyProtection="0">
      <alignment vertical="center"/>
    </xf>
    <xf numFmtId="164" fontId="133" fillId="75" borderId="44" applyProtection="0">
      <alignment vertical="center"/>
    </xf>
    <xf numFmtId="164" fontId="133" fillId="61" borderId="44" applyProtection="0">
      <alignment vertical="center"/>
    </xf>
    <xf numFmtId="3" fontId="133" fillId="49" borderId="44" applyProtection="0">
      <alignment vertical="center"/>
    </xf>
    <xf numFmtId="3" fontId="133" fillId="49" borderId="44" applyProtection="0">
      <alignment vertical="center"/>
    </xf>
    <xf numFmtId="3" fontId="133" fillId="61" borderId="44" applyProtection="0">
      <alignment vertical="center"/>
    </xf>
    <xf numFmtId="3" fontId="133" fillId="49" borderId="44" applyProtection="0">
      <alignment vertical="center"/>
    </xf>
    <xf numFmtId="3" fontId="133" fillId="75" borderId="44" applyProtection="0">
      <alignment vertical="center"/>
    </xf>
    <xf numFmtId="3" fontId="133" fillId="61" borderId="44" applyProtection="0">
      <alignment vertical="center"/>
    </xf>
    <xf numFmtId="0" fontId="134" fillId="49" borderId="44" applyNumberFormat="0" applyProtection="0">
      <alignment vertical="center"/>
    </xf>
    <xf numFmtId="188" fontId="134" fillId="49" borderId="44" applyProtection="0">
      <alignment vertical="center"/>
    </xf>
    <xf numFmtId="188" fontId="135" fillId="61" borderId="44" applyProtection="0">
      <alignment vertical="center"/>
    </xf>
    <xf numFmtId="188" fontId="134" fillId="49" borderId="44" applyProtection="0">
      <alignment vertical="center"/>
    </xf>
    <xf numFmtId="188" fontId="134" fillId="75" borderId="44" applyProtection="0">
      <alignment vertical="center"/>
    </xf>
    <xf numFmtId="188" fontId="135" fillId="61" borderId="44" applyProtection="0">
      <alignment vertical="center"/>
    </xf>
    <xf numFmtId="0" fontId="134" fillId="49" borderId="44" applyNumberFormat="0" applyProtection="0">
      <alignment vertical="center"/>
    </xf>
    <xf numFmtId="189" fontId="134" fillId="49" borderId="44" applyProtection="0">
      <alignment vertical="center"/>
    </xf>
    <xf numFmtId="189" fontId="135" fillId="61" borderId="44" applyProtection="0">
      <alignment vertical="center"/>
    </xf>
    <xf numFmtId="189" fontId="134" fillId="49" borderId="44" applyProtection="0">
      <alignment vertical="center"/>
    </xf>
    <xf numFmtId="189" fontId="134" fillId="75" borderId="44" applyProtection="0">
      <alignment vertical="center"/>
    </xf>
    <xf numFmtId="189" fontId="135" fillId="61" borderId="44" applyProtection="0">
      <alignment vertical="center"/>
    </xf>
    <xf numFmtId="0" fontId="134" fillId="49" borderId="44" applyNumberFormat="0" applyProtection="0">
      <alignment vertical="center"/>
    </xf>
    <xf numFmtId="190" fontId="134" fillId="49" borderId="44" applyProtection="0">
      <alignment vertical="center"/>
    </xf>
    <xf numFmtId="190" fontId="135" fillId="61" borderId="44" applyProtection="0">
      <alignment vertical="center"/>
    </xf>
    <xf numFmtId="190" fontId="134" fillId="49" borderId="44" applyProtection="0">
      <alignment vertical="center"/>
    </xf>
    <xf numFmtId="190" fontId="134" fillId="75" borderId="44" applyProtection="0">
      <alignment vertical="center"/>
    </xf>
    <xf numFmtId="190" fontId="135" fillId="61" borderId="44" applyProtection="0">
      <alignment vertical="center"/>
    </xf>
    <xf numFmtId="191" fontId="136" fillId="49" borderId="44" applyProtection="0">
      <alignment vertical="center"/>
    </xf>
    <xf numFmtId="191" fontId="136" fillId="49" borderId="44" applyProtection="0">
      <alignment vertical="center"/>
    </xf>
    <xf numFmtId="191" fontId="136" fillId="61" borderId="44" applyProtection="0">
      <alignment vertical="center"/>
    </xf>
    <xf numFmtId="191" fontId="136" fillId="49" borderId="44" applyProtection="0">
      <alignment vertical="center"/>
    </xf>
    <xf numFmtId="191" fontId="136" fillId="75" borderId="44" applyProtection="0">
      <alignment vertical="center"/>
    </xf>
    <xf numFmtId="191" fontId="136" fillId="61" borderId="44" applyProtection="0">
      <alignment vertical="center"/>
    </xf>
    <xf numFmtId="192" fontId="136" fillId="49" borderId="44" applyProtection="0">
      <alignment vertical="center"/>
    </xf>
    <xf numFmtId="192" fontId="136" fillId="49" borderId="44" applyProtection="0">
      <alignment vertical="center"/>
    </xf>
    <xf numFmtId="192" fontId="136" fillId="61" borderId="44" applyProtection="0">
      <alignment vertical="center"/>
    </xf>
    <xf numFmtId="192" fontId="136" fillId="49" borderId="44" applyProtection="0">
      <alignment vertical="center"/>
    </xf>
    <xf numFmtId="192" fontId="136" fillId="75" borderId="44" applyProtection="0">
      <alignment vertical="center"/>
    </xf>
    <xf numFmtId="192" fontId="136" fillId="61" borderId="44" applyProtection="0">
      <alignment vertical="center"/>
    </xf>
    <xf numFmtId="193" fontId="136" fillId="49" borderId="44" applyProtection="0">
      <alignment vertical="center"/>
    </xf>
    <xf numFmtId="193" fontId="136" fillId="49" borderId="44" applyProtection="0">
      <alignment vertical="center"/>
    </xf>
    <xf numFmtId="193" fontId="136" fillId="61" borderId="44" applyProtection="0">
      <alignment vertical="center"/>
    </xf>
    <xf numFmtId="193" fontId="136" fillId="49" borderId="44" applyProtection="0">
      <alignment vertical="center"/>
    </xf>
    <xf numFmtId="193" fontId="136" fillId="75" borderId="44" applyProtection="0">
      <alignment vertical="center"/>
    </xf>
    <xf numFmtId="193" fontId="136" fillId="61" borderId="44" applyProtection="0">
      <alignment vertical="center"/>
    </xf>
    <xf numFmtId="167" fontId="137" fillId="49" borderId="44" applyProtection="0">
      <alignment vertical="center"/>
    </xf>
    <xf numFmtId="167" fontId="138" fillId="49" borderId="44" applyProtection="0">
      <alignment vertical="center"/>
    </xf>
    <xf numFmtId="167" fontId="140" fillId="61" borderId="44" applyProtection="0">
      <alignment vertical="center"/>
    </xf>
    <xf numFmtId="167" fontId="137" fillId="49" borderId="44" applyProtection="0">
      <alignment vertical="center"/>
    </xf>
    <xf numFmtId="167" fontId="139" fillId="75" borderId="44" applyProtection="0">
      <alignment vertical="center"/>
    </xf>
    <xf numFmtId="167" fontId="140" fillId="61" borderId="44" applyProtection="0">
      <alignment vertical="center"/>
    </xf>
    <xf numFmtId="194" fontId="137" fillId="49" borderId="44" applyProtection="0">
      <alignment vertical="center"/>
    </xf>
    <xf numFmtId="194" fontId="138" fillId="49" borderId="44" applyProtection="0">
      <alignment vertical="center"/>
    </xf>
    <xf numFmtId="194" fontId="140" fillId="61" borderId="44" applyProtection="0">
      <alignment vertical="center"/>
    </xf>
    <xf numFmtId="194" fontId="137" fillId="49" borderId="44" applyProtection="0">
      <alignment vertical="center"/>
    </xf>
    <xf numFmtId="194" fontId="139" fillId="75" borderId="44" applyProtection="0">
      <alignment vertical="center"/>
    </xf>
    <xf numFmtId="194" fontId="140" fillId="61" borderId="44" applyProtection="0">
      <alignment vertical="center"/>
    </xf>
    <xf numFmtId="173" fontId="137" fillId="49" borderId="44" applyProtection="0">
      <alignment vertical="center"/>
    </xf>
    <xf numFmtId="173" fontId="138" fillId="49" borderId="44" applyProtection="0">
      <alignment vertical="center"/>
    </xf>
    <xf numFmtId="173" fontId="140" fillId="61" borderId="44" applyProtection="0">
      <alignment vertical="center"/>
    </xf>
    <xf numFmtId="173" fontId="137" fillId="49" borderId="44" applyProtection="0">
      <alignment vertical="center"/>
    </xf>
    <xf numFmtId="173" fontId="139" fillId="75" borderId="44" applyProtection="0">
      <alignment vertical="center"/>
    </xf>
    <xf numFmtId="173" fontId="140" fillId="61" borderId="44" applyProtection="0">
      <alignment vertical="center"/>
    </xf>
    <xf numFmtId="0" fontId="141" fillId="49" borderId="44" applyNumberFormat="0" applyProtection="0">
      <alignment vertical="center"/>
    </xf>
    <xf numFmtId="0" fontId="142" fillId="49" borderId="44" applyNumberFormat="0" applyProtection="0">
      <alignment vertical="center"/>
    </xf>
    <xf numFmtId="0" fontId="142" fillId="61" borderId="44" applyNumberFormat="0" applyProtection="0">
      <alignment vertical="center"/>
    </xf>
    <xf numFmtId="0" fontId="142" fillId="49" borderId="44" applyNumberFormat="0" applyProtection="0">
      <alignment vertical="center"/>
    </xf>
    <xf numFmtId="0" fontId="142" fillId="75" borderId="44" applyNumberFormat="0" applyProtection="0">
      <alignment vertical="center"/>
    </xf>
    <xf numFmtId="0" fontId="142" fillId="61" borderId="44" applyNumberFormat="0" applyProtection="0">
      <alignment vertical="center"/>
    </xf>
    <xf numFmtId="0" fontId="141" fillId="49" borderId="44" applyNumberFormat="0" applyProtection="0">
      <alignment horizontal="left" vertical="center"/>
    </xf>
    <xf numFmtId="0" fontId="141" fillId="49" borderId="44" applyNumberFormat="0" applyProtection="0">
      <alignment horizontal="left" vertical="center"/>
    </xf>
    <xf numFmtId="0" fontId="141" fillId="61" borderId="44" applyNumberFormat="0" applyProtection="0">
      <alignment horizontal="left" vertical="center"/>
    </xf>
    <xf numFmtId="0" fontId="141" fillId="49" borderId="44" applyNumberFormat="0" applyProtection="0">
      <alignment horizontal="left" vertical="center"/>
    </xf>
    <xf numFmtId="0" fontId="141" fillId="75" borderId="44" applyNumberFormat="0" applyProtection="0">
      <alignment horizontal="left" vertical="center"/>
    </xf>
    <xf numFmtId="0" fontId="141" fillId="61" borderId="44" applyNumberFormat="0" applyProtection="0">
      <alignment horizontal="left" vertical="center"/>
    </xf>
    <xf numFmtId="0" fontId="55" fillId="41" borderId="0" applyNumberFormat="0" applyBorder="0" applyProtection="0">
      <alignment horizontal="left" vertical="center"/>
    </xf>
    <xf numFmtId="0" fontId="55" fillId="65" borderId="0" applyNumberFormat="0" applyBorder="0" applyProtection="0">
      <alignment horizontal="left" vertical="center"/>
    </xf>
    <xf numFmtId="0" fontId="55" fillId="61" borderId="0" applyNumberFormat="0" applyBorder="0" applyProtection="0">
      <alignment horizontal="left" vertical="center"/>
    </xf>
    <xf numFmtId="0" fontId="55" fillId="41" borderId="0" applyNumberFormat="0" applyBorder="0" applyProtection="0">
      <alignment horizontal="left" vertical="center"/>
    </xf>
    <xf numFmtId="0" fontId="55" fillId="65" borderId="0" applyNumberFormat="0" applyBorder="0" applyProtection="0">
      <alignment horizontal="left" vertical="center"/>
    </xf>
    <xf numFmtId="49" fontId="55" fillId="87" borderId="14" applyProtection="0">
      <alignment vertical="center" wrapText="1"/>
    </xf>
    <xf numFmtId="49" fontId="55" fillId="50" borderId="14" applyProtection="0">
      <alignment vertical="center" wrapText="1"/>
    </xf>
    <xf numFmtId="49" fontId="55" fillId="50" borderId="14" applyProtection="0">
      <alignment vertical="center" wrapText="1"/>
    </xf>
    <xf numFmtId="49" fontId="55" fillId="68" borderId="14" applyProtection="0">
      <alignment vertical="center" wrapText="1"/>
    </xf>
    <xf numFmtId="49" fontId="55" fillId="50" borderId="14" applyProtection="0">
      <alignment vertical="center" wrapText="1"/>
    </xf>
    <xf numFmtId="49" fontId="55" fillId="87" borderId="14" applyProtection="0">
      <alignment vertical="center" wrapText="1"/>
    </xf>
    <xf numFmtId="49" fontId="55" fillId="50" borderId="14" applyProtection="0">
      <alignment vertical="center" wrapText="1"/>
    </xf>
    <xf numFmtId="49" fontId="55" fillId="44" borderId="14" applyProtection="0">
      <alignment vertical="center" wrapText="1"/>
    </xf>
    <xf numFmtId="0" fontId="55" fillId="43" borderId="14" applyNumberFormat="0" applyProtection="0">
      <alignment horizontal="left" vertical="center" wrapText="1"/>
    </xf>
    <xf numFmtId="0" fontId="55" fillId="43" borderId="14" applyNumberFormat="0" applyProtection="0">
      <alignment horizontal="left" vertical="center" wrapText="1"/>
    </xf>
    <xf numFmtId="0" fontId="55" fillId="43" borderId="14" applyNumberFormat="0" applyProtection="0">
      <alignment horizontal="left" vertical="center" wrapText="1"/>
    </xf>
    <xf numFmtId="0" fontId="55" fillId="43" borderId="14" applyNumberFormat="0" applyProtection="0">
      <alignment horizontal="left" vertical="center" wrapText="1"/>
    </xf>
    <xf numFmtId="0" fontId="86" fillId="43" borderId="14" applyNumberFormat="0" applyProtection="0">
      <alignment horizontal="left" vertical="center" wrapText="1"/>
    </xf>
    <xf numFmtId="0" fontId="86" fillId="43" borderId="14" applyNumberFormat="0" applyProtection="0">
      <alignment horizontal="left" vertical="center" wrapText="1"/>
    </xf>
    <xf numFmtId="0" fontId="86" fillId="43" borderId="14" applyNumberFormat="0" applyProtection="0">
      <alignment horizontal="left" vertical="center" wrapText="1"/>
    </xf>
    <xf numFmtId="0" fontId="86" fillId="43" borderId="14" applyNumberFormat="0" applyProtection="0">
      <alignment horizontal="left" vertical="center" wrapText="1"/>
    </xf>
    <xf numFmtId="0" fontId="55" fillId="68" borderId="45" applyNumberFormat="0" applyProtection="0">
      <alignment horizontal="left" vertical="center" wrapText="1"/>
    </xf>
    <xf numFmtId="0" fontId="55" fillId="88" borderId="14" applyNumberFormat="0" applyProtection="0">
      <alignment horizontal="left" vertical="center" wrapText="1"/>
    </xf>
    <xf numFmtId="0" fontId="55" fillId="44" borderId="14" applyNumberFormat="0" applyProtection="0">
      <alignment horizontal="left" vertical="center" wrapText="1"/>
    </xf>
    <xf numFmtId="0" fontId="55" fillId="88" borderId="14" applyNumberFormat="0" applyProtection="0">
      <alignment horizontal="left" vertical="center" wrapText="1"/>
    </xf>
    <xf numFmtId="0" fontId="55" fillId="66" borderId="14" applyNumberFormat="0" applyProtection="0">
      <alignment horizontal="left" vertical="center" wrapText="1"/>
    </xf>
    <xf numFmtId="0" fontId="143" fillId="61" borderId="14" applyNumberFormat="0" applyProtection="0">
      <alignment horizontal="left" vertical="center" wrapText="1"/>
    </xf>
    <xf numFmtId="0" fontId="143" fillId="61" borderId="14" applyNumberFormat="0" applyProtection="0">
      <alignment horizontal="left" vertical="center" wrapText="1"/>
    </xf>
    <xf numFmtId="0" fontId="143" fillId="60" borderId="14" applyNumberFormat="0" applyProtection="0">
      <alignment horizontal="left" vertical="center" wrapText="1"/>
    </xf>
    <xf numFmtId="0" fontId="143" fillId="89" borderId="14" applyNumberFormat="0" applyProtection="0">
      <alignment horizontal="left" vertical="center" wrapText="1"/>
    </xf>
    <xf numFmtId="0" fontId="143" fillId="54" borderId="14" applyNumberFormat="0" applyProtection="0">
      <alignment horizontal="left" vertical="center" wrapText="1"/>
    </xf>
    <xf numFmtId="49" fontId="144" fillId="81" borderId="46" applyProtection="0">
      <alignment vertical="center"/>
    </xf>
    <xf numFmtId="49" fontId="145" fillId="81" borderId="30" applyProtection="0">
      <alignment vertical="center"/>
    </xf>
    <xf numFmtId="49" fontId="146" fillId="81" borderId="30" applyProtection="0">
      <alignment vertical="center"/>
    </xf>
    <xf numFmtId="49" fontId="146" fillId="81" borderId="30" applyProtection="0">
      <alignment vertical="center"/>
    </xf>
    <xf numFmtId="49" fontId="145" fillId="81" borderId="30" applyProtection="0">
      <alignment vertical="center"/>
    </xf>
    <xf numFmtId="0" fontId="147" fillId="81" borderId="47" applyNumberFormat="0" applyProtection="0">
      <alignment horizontal="left" vertical="center" wrapText="1"/>
    </xf>
    <xf numFmtId="0" fontId="147" fillId="81" borderId="0" applyNumberFormat="0" applyBorder="0" applyProtection="0">
      <alignment horizontal="left" vertical="center" wrapText="1"/>
    </xf>
    <xf numFmtId="0" fontId="147" fillId="81" borderId="0" applyNumberFormat="0" applyBorder="0" applyProtection="0">
      <alignment horizontal="left" vertical="center" wrapText="1"/>
    </xf>
    <xf numFmtId="0" fontId="147" fillId="81" borderId="0" applyNumberFormat="0" applyBorder="0" applyProtection="0">
      <alignment horizontal="left" vertical="center" wrapText="1"/>
    </xf>
    <xf numFmtId="0" fontId="147" fillId="81" borderId="0" applyNumberFormat="0" applyBorder="0" applyProtection="0">
      <alignment horizontal="left" vertical="center" wrapText="1"/>
    </xf>
    <xf numFmtId="49" fontId="55" fillId="51" borderId="0" applyBorder="0" applyProtection="0">
      <alignment vertical="center" wrapText="1"/>
    </xf>
    <xf numFmtId="49" fontId="55" fillId="42" borderId="30" applyProtection="0">
      <alignment vertical="center" wrapText="1"/>
    </xf>
    <xf numFmtId="49" fontId="55" fillId="83" borderId="30" applyProtection="0">
      <alignment vertical="center" wrapText="1"/>
    </xf>
    <xf numFmtId="49" fontId="55" fillId="42" borderId="30" applyProtection="0">
      <alignment vertical="center" wrapText="1"/>
    </xf>
    <xf numFmtId="49" fontId="55" fillId="83" borderId="30" applyProtection="0">
      <alignment vertical="center" wrapText="1"/>
    </xf>
    <xf numFmtId="0" fontId="55" fillId="64" borderId="14" applyNumberFormat="0" applyProtection="0">
      <alignment horizontal="left" vertical="center" wrapText="1"/>
    </xf>
    <xf numFmtId="0" fontId="55" fillId="62" borderId="14" applyNumberFormat="0" applyProtection="0">
      <alignment horizontal="left" vertical="center" wrapText="1"/>
    </xf>
    <xf numFmtId="0" fontId="55" fillId="44" borderId="14" applyNumberFormat="0" applyProtection="0">
      <alignment horizontal="left" vertical="center" wrapText="1"/>
    </xf>
    <xf numFmtId="0" fontId="55" fillId="84" borderId="14" applyNumberFormat="0" applyProtection="0">
      <alignment horizontal="left" vertical="center" wrapText="1"/>
    </xf>
    <xf numFmtId="0" fontId="55" fillId="62" borderId="14" applyNumberFormat="0" applyProtection="0">
      <alignment horizontal="left" vertical="center" wrapText="1"/>
    </xf>
    <xf numFmtId="0" fontId="55" fillId="62" borderId="14" applyNumberFormat="0" applyProtection="0">
      <alignment horizontal="left" vertical="center" wrapText="1"/>
    </xf>
    <xf numFmtId="0" fontId="55" fillId="42" borderId="14" applyNumberFormat="0" applyProtection="0">
      <alignment horizontal="left" vertical="center" wrapText="1"/>
    </xf>
    <xf numFmtId="0" fontId="55" fillId="64" borderId="14" applyNumberFormat="0" applyProtection="0">
      <alignment horizontal="left" vertical="center" wrapText="1"/>
    </xf>
    <xf numFmtId="0" fontId="55" fillId="50" borderId="14" applyNumberFormat="0" applyProtection="0">
      <alignment horizontal="left" vertical="center" wrapText="1"/>
    </xf>
    <xf numFmtId="0" fontId="55" fillId="60" borderId="14" applyNumberFormat="0" applyProtection="0">
      <alignment horizontal="left" vertical="center" wrapText="1"/>
    </xf>
    <xf numFmtId="0" fontId="55" fillId="57" borderId="14" applyNumberFormat="0" applyProtection="0">
      <alignment horizontal="left" vertical="center" wrapText="1"/>
    </xf>
    <xf numFmtId="0" fontId="55" fillId="67" borderId="14" applyNumberFormat="0" applyProtection="0">
      <alignment horizontal="left" vertical="center" wrapText="1"/>
    </xf>
    <xf numFmtId="0" fontId="55" fillId="57" borderId="14" applyNumberFormat="0" applyProtection="0">
      <alignment horizontal="left" vertical="center" wrapText="1"/>
    </xf>
    <xf numFmtId="0" fontId="55" fillId="38" borderId="14" applyNumberFormat="0" applyProtection="0">
      <alignment horizontal="left" vertical="center" wrapText="1"/>
    </xf>
    <xf numFmtId="0" fontId="55" fillId="62" borderId="14" applyNumberFormat="0" applyProtection="0">
      <alignment horizontal="left" vertical="center" wrapText="1"/>
    </xf>
    <xf numFmtId="0" fontId="55" fillId="57" borderId="14" applyNumberFormat="0" applyProtection="0">
      <alignment horizontal="left" vertical="center" wrapText="1"/>
    </xf>
    <xf numFmtId="0" fontId="55" fillId="38" borderId="14" applyNumberFormat="0" applyProtection="0">
      <alignment horizontal="left" vertical="center" wrapText="1"/>
    </xf>
    <xf numFmtId="0" fontId="55" fillId="38" borderId="14" applyNumberFormat="0" applyProtection="0">
      <alignment horizontal="left" vertical="center" wrapText="1"/>
    </xf>
    <xf numFmtId="0" fontId="55" fillId="38" borderId="14" applyNumberFormat="0" applyProtection="0">
      <alignment horizontal="left" vertical="center" wrapText="1"/>
    </xf>
    <xf numFmtId="0" fontId="55" fillId="38" borderId="14" applyNumberFormat="0" applyProtection="0">
      <alignment horizontal="left" vertical="center" wrapText="1"/>
    </xf>
    <xf numFmtId="49" fontId="145" fillId="47" borderId="46" applyProtection="0">
      <alignment vertical="center"/>
    </xf>
    <xf numFmtId="49" fontId="148" fillId="47" borderId="30" applyProtection="0">
      <alignment vertical="center"/>
    </xf>
    <xf numFmtId="49" fontId="148" fillId="47" borderId="30" applyProtection="0">
      <alignment vertical="center"/>
    </xf>
    <xf numFmtId="49" fontId="148" fillId="47" borderId="30" applyProtection="0">
      <alignment vertical="center"/>
    </xf>
    <xf numFmtId="49" fontId="148" fillId="47" borderId="30" applyProtection="0">
      <alignment vertical="center"/>
    </xf>
    <xf numFmtId="0" fontId="147" fillId="47" borderId="47" applyNumberFormat="0" applyProtection="0">
      <alignment horizontal="left" vertical="center" wrapText="1"/>
    </xf>
    <xf numFmtId="0" fontId="147" fillId="47" borderId="0" applyNumberFormat="0" applyBorder="0" applyProtection="0">
      <alignment horizontal="left" vertical="center" wrapText="1"/>
    </xf>
    <xf numFmtId="0" fontId="147" fillId="47" borderId="0" applyNumberFormat="0" applyBorder="0" applyProtection="0">
      <alignment horizontal="left" vertical="center" wrapText="1"/>
    </xf>
    <xf numFmtId="0" fontId="147" fillId="47" borderId="0" applyNumberFormat="0" applyBorder="0" applyProtection="0">
      <alignment horizontal="left" vertical="center" wrapText="1"/>
    </xf>
    <xf numFmtId="0" fontId="147" fillId="47" borderId="0" applyNumberFormat="0" applyBorder="0" applyProtection="0">
      <alignment horizontal="left" vertical="center" wrapText="1"/>
    </xf>
    <xf numFmtId="49" fontId="144" fillId="52" borderId="46" applyProtection="0">
      <alignment vertical="center"/>
    </xf>
    <xf numFmtId="49" fontId="145" fillId="49" borderId="30" applyProtection="0">
      <alignment vertical="center"/>
    </xf>
    <xf numFmtId="49" fontId="146" fillId="54" borderId="30" applyProtection="0">
      <alignment vertical="center"/>
    </xf>
    <xf numFmtId="49" fontId="146" fillId="54" borderId="30" applyProtection="0">
      <alignment vertical="center"/>
    </xf>
    <xf numFmtId="49" fontId="145" fillId="49" borderId="30" applyProtection="0">
      <alignment vertical="center"/>
    </xf>
    <xf numFmtId="0" fontId="147" fillId="52" borderId="47" applyNumberFormat="0" applyProtection="0">
      <alignment horizontal="left" vertical="center" wrapText="1"/>
    </xf>
    <xf numFmtId="0" fontId="147" fillId="49" borderId="0" applyNumberFormat="0" applyBorder="0" applyProtection="0">
      <alignment horizontal="left" vertical="center" wrapText="1"/>
    </xf>
    <xf numFmtId="0" fontId="147" fillId="54" borderId="0" applyNumberFormat="0" applyBorder="0" applyProtection="0">
      <alignment horizontal="left" vertical="center" wrapText="1"/>
    </xf>
    <xf numFmtId="0" fontId="147" fillId="54" borderId="0" applyNumberFormat="0" applyBorder="0" applyProtection="0">
      <alignment horizontal="left" vertical="center" wrapText="1"/>
    </xf>
    <xf numFmtId="0" fontId="147" fillId="49" borderId="0" applyNumberFormat="0" applyBorder="0" applyProtection="0">
      <alignment horizontal="left" vertical="center" wrapText="1"/>
    </xf>
    <xf numFmtId="0" fontId="55" fillId="59" borderId="0" applyNumberFormat="0" applyBorder="0" applyProtection="0"/>
    <xf numFmtId="0" fontId="149" fillId="0" borderId="0" applyNumberFormat="0" applyBorder="0" applyProtection="0"/>
    <xf numFmtId="0" fontId="91" fillId="0" borderId="0" applyNumberFormat="0" applyBorder="0" applyProtection="0"/>
    <xf numFmtId="0" fontId="150" fillId="0" borderId="0" applyNumberFormat="0" applyBorder="0" applyProtection="0"/>
    <xf numFmtId="0" fontId="149" fillId="0" borderId="0" applyNumberFormat="0" applyBorder="0" applyProtection="0"/>
    <xf numFmtId="0" fontId="91" fillId="0" borderId="0" applyNumberFormat="0" applyBorder="0" applyProtection="0"/>
    <xf numFmtId="0" fontId="122" fillId="0" borderId="0" applyNumberFormat="0" applyBorder="0" applyProtection="0"/>
    <xf numFmtId="0" fontId="122" fillId="0" borderId="0" applyNumberFormat="0" applyBorder="0" applyProtection="0"/>
    <xf numFmtId="0" fontId="94" fillId="0" borderId="38" applyNumberFormat="0" applyProtection="0"/>
    <xf numFmtId="0" fontId="95" fillId="0" borderId="39" applyNumberFormat="0" applyProtection="0"/>
    <xf numFmtId="0" fontId="83" fillId="0" borderId="40" applyNumberFormat="0" applyProtection="0"/>
    <xf numFmtId="0" fontId="83" fillId="0" borderId="0" applyNumberFormat="0" applyBorder="0" applyProtection="0"/>
    <xf numFmtId="0" fontId="122" fillId="0" borderId="0" applyNumberFormat="0" applyBorder="0" applyProtection="0"/>
    <xf numFmtId="0" fontId="151" fillId="0" borderId="0" applyNumberFormat="0" applyBorder="0" applyProtection="0"/>
    <xf numFmtId="0" fontId="152" fillId="0" borderId="0" applyNumberFormat="0" applyBorder="0" applyProtection="0"/>
    <xf numFmtId="0" fontId="153" fillId="0" borderId="38" applyNumberFormat="0" applyProtection="0"/>
    <xf numFmtId="0" fontId="154" fillId="0" borderId="39" applyNumberFormat="0" applyProtection="0"/>
    <xf numFmtId="0" fontId="155" fillId="0" borderId="48" applyNumberFormat="0" applyProtection="0"/>
    <xf numFmtId="0" fontId="155" fillId="0" borderId="0" applyNumberFormat="0" applyBorder="0" applyProtection="0"/>
    <xf numFmtId="0" fontId="156" fillId="0" borderId="49" applyNumberFormat="0" applyProtection="0"/>
    <xf numFmtId="0" fontId="151" fillId="0" borderId="0" applyNumberFormat="0" applyBorder="0" applyProtection="0"/>
    <xf numFmtId="0" fontId="157" fillId="0" borderId="0" applyNumberFormat="0" applyBorder="0" applyProtection="0"/>
    <xf numFmtId="0" fontId="158" fillId="0" borderId="39" applyNumberFormat="0" applyProtection="0"/>
    <xf numFmtId="0" fontId="159" fillId="0" borderId="0" applyNumberFormat="0" applyBorder="0" applyProtection="0"/>
    <xf numFmtId="0" fontId="160" fillId="0" borderId="39" applyNumberFormat="0" applyProtection="0"/>
    <xf numFmtId="0" fontId="161" fillId="0" borderId="50" applyNumberFormat="0" applyProtection="0"/>
    <xf numFmtId="0" fontId="162" fillId="0" borderId="50" applyNumberFormat="0" applyProtection="0"/>
    <xf numFmtId="0" fontId="161" fillId="0" borderId="0" applyNumberFormat="0" applyBorder="0" applyProtection="0"/>
    <xf numFmtId="0" fontId="162" fillId="0" borderId="0" applyNumberFormat="0" applyBorder="0" applyProtection="0"/>
    <xf numFmtId="0" fontId="122" fillId="0" borderId="0" applyNumberFormat="0" applyBorder="0" applyProtection="0"/>
    <xf numFmtId="0" fontId="151" fillId="0" borderId="0" applyNumberFormat="0" applyBorder="0" applyProtection="0"/>
    <xf numFmtId="0" fontId="163" fillId="52" borderId="0" applyNumberFormat="0" applyBorder="0">
      <alignment horizontal="left" vertical="center"/>
      <protection locked="0"/>
    </xf>
    <xf numFmtId="0" fontId="55" fillId="37" borderId="0" applyNumberFormat="0" applyBorder="0">
      <alignment horizontal="center"/>
      <protection locked="0"/>
    </xf>
    <xf numFmtId="0" fontId="55" fillId="37" borderId="0" applyNumberFormat="0" applyBorder="0">
      <alignment horizontal="center"/>
      <protection locked="0"/>
    </xf>
    <xf numFmtId="0" fontId="55" fillId="37" borderId="0" applyNumberFormat="0" applyBorder="0">
      <alignment horizontal="center"/>
      <protection locked="0"/>
    </xf>
    <xf numFmtId="0" fontId="85" fillId="37" borderId="0" applyNumberFormat="0" applyBorder="0">
      <alignment horizontal="center"/>
      <protection locked="0"/>
    </xf>
    <xf numFmtId="0" fontId="85" fillId="37" borderId="0" applyNumberFormat="0" applyBorder="0">
      <alignment horizontal="center"/>
      <protection locked="0"/>
    </xf>
    <xf numFmtId="0" fontId="85" fillId="37" borderId="0" applyNumberFormat="0" applyBorder="0">
      <alignment horizontal="center"/>
      <protection locked="0"/>
    </xf>
    <xf numFmtId="0" fontId="164" fillId="37" borderId="0" applyNumberFormat="0" applyBorder="0">
      <alignment horizontal="left"/>
      <protection locked="0"/>
    </xf>
    <xf numFmtId="0" fontId="55" fillId="37" borderId="0" applyNumberFormat="0" applyBorder="0">
      <alignment horizontal="left"/>
      <protection locked="0"/>
    </xf>
    <xf numFmtId="0" fontId="55" fillId="37" borderId="0" applyNumberFormat="0" applyBorder="0">
      <alignment horizontal="left"/>
      <protection locked="0"/>
    </xf>
    <xf numFmtId="0" fontId="55" fillId="37" borderId="0" applyNumberFormat="0" applyBorder="0">
      <alignment horizontal="left"/>
      <protection locked="0"/>
    </xf>
    <xf numFmtId="0" fontId="55" fillId="37" borderId="0" applyNumberFormat="0" applyBorder="0">
      <alignment horizontal="left"/>
      <protection locked="0"/>
    </xf>
    <xf numFmtId="0" fontId="55" fillId="37" borderId="0" applyNumberFormat="0" applyBorder="0">
      <alignment horizontal="left"/>
      <protection locked="0"/>
    </xf>
    <xf numFmtId="0" fontId="165" fillId="37" borderId="0" applyNumberFormat="0" applyBorder="0">
      <alignment horizontal="left"/>
      <protection locked="0"/>
    </xf>
    <xf numFmtId="0" fontId="165" fillId="37" borderId="0" applyNumberFormat="0" applyBorder="0">
      <alignment horizontal="left"/>
      <protection locked="0"/>
    </xf>
    <xf numFmtId="0" fontId="165" fillId="37" borderId="0" applyNumberFormat="0" applyBorder="0">
      <alignment horizontal="left"/>
      <protection locked="0"/>
    </xf>
    <xf numFmtId="0" fontId="86" fillId="37" borderId="0" applyNumberFormat="0" applyBorder="0">
      <protection locked="0"/>
    </xf>
    <xf numFmtId="0" fontId="55" fillId="0" borderId="51" applyNumberFormat="0" applyProtection="0"/>
    <xf numFmtId="0" fontId="24" fillId="0" borderId="52" applyNumberFormat="0" applyProtection="0"/>
    <xf numFmtId="0" fontId="166" fillId="72" borderId="17" applyNumberFormat="0" applyProtection="0"/>
    <xf numFmtId="0" fontId="167" fillId="67" borderId="17" applyNumberFormat="0" applyProtection="0"/>
    <xf numFmtId="0" fontId="167" fillId="67" borderId="17" applyNumberFormat="0" applyProtection="0"/>
    <xf numFmtId="0" fontId="58" fillId="53" borderId="0" applyNumberFormat="0" applyBorder="0" applyProtection="0"/>
    <xf numFmtId="0" fontId="61" fillId="47" borderId="0" applyNumberFormat="0" applyBorder="0" applyProtection="0"/>
    <xf numFmtId="2" fontId="55" fillId="0" borderId="0" applyBorder="0" applyProtection="0"/>
    <xf numFmtId="2" fontId="55" fillId="0" borderId="0" applyBorder="0" applyProtection="0"/>
    <xf numFmtId="195" fontId="55" fillId="0" borderId="0" applyBorder="0" applyProtection="0"/>
    <xf numFmtId="196" fontId="55" fillId="0" borderId="0" applyBorder="0" applyProtection="0"/>
    <xf numFmtId="0" fontId="149" fillId="0" borderId="0" applyNumberFormat="0" applyBorder="0" applyProtection="0"/>
    <xf numFmtId="0" fontId="168" fillId="47" borderId="0"/>
    <xf numFmtId="0" fontId="168" fillId="47" borderId="0"/>
    <xf numFmtId="0" fontId="168" fillId="47" borderId="0"/>
    <xf numFmtId="0" fontId="168" fillId="47" borderId="0"/>
    <xf numFmtId="0" fontId="168" fillId="56" borderId="0"/>
    <xf numFmtId="0" fontId="168" fillId="56" borderId="0"/>
    <xf numFmtId="0" fontId="168" fillId="40" borderId="0"/>
    <xf numFmtId="0" fontId="168" fillId="40" borderId="0"/>
    <xf numFmtId="0" fontId="168" fillId="40" borderId="0"/>
    <xf numFmtId="0" fontId="168" fillId="40" borderId="0"/>
    <xf numFmtId="0" fontId="168" fillId="58" borderId="0"/>
    <xf numFmtId="0" fontId="168" fillId="50" borderId="0"/>
    <xf numFmtId="0" fontId="168" fillId="51" borderId="0"/>
    <xf numFmtId="0" fontId="56" fillId="45" borderId="0"/>
    <xf numFmtId="0" fontId="52" fillId="37" borderId="0"/>
    <xf numFmtId="0" fontId="52" fillId="51" borderId="0"/>
    <xf numFmtId="0" fontId="52" fillId="38" borderId="0"/>
    <xf numFmtId="0" fontId="52" fillId="37" borderId="0"/>
    <xf numFmtId="0" fontId="52" fillId="52" borderId="0"/>
    <xf numFmtId="0" fontId="52" fillId="51" borderId="0"/>
    <xf numFmtId="0" fontId="25" fillId="45" borderId="0"/>
    <xf numFmtId="0" fontId="25" fillId="53" borderId="0"/>
    <xf numFmtId="0" fontId="25" fillId="47" borderId="0"/>
    <xf numFmtId="0" fontId="25" fillId="48" borderId="0"/>
    <xf numFmtId="0" fontId="25" fillId="52" borderId="0"/>
    <xf numFmtId="0" fontId="25" fillId="51" borderId="0"/>
    <xf numFmtId="0" fontId="25" fillId="45" borderId="0"/>
    <xf numFmtId="0" fontId="25" fillId="53" borderId="0"/>
    <xf numFmtId="0" fontId="25" fillId="47" borderId="0"/>
    <xf numFmtId="0" fontId="25" fillId="48" borderId="0"/>
    <xf numFmtId="0" fontId="25" fillId="52" borderId="0"/>
    <xf numFmtId="0" fontId="25" fillId="51" borderId="0"/>
    <xf numFmtId="0" fontId="25" fillId="45" borderId="0"/>
    <xf numFmtId="0" fontId="25" fillId="53" borderId="0"/>
    <xf numFmtId="0" fontId="25" fillId="47" borderId="0"/>
    <xf numFmtId="0" fontId="25" fillId="48" borderId="0"/>
    <xf numFmtId="0" fontId="25" fillId="52" borderId="0"/>
    <xf numFmtId="0" fontId="25" fillId="51" borderId="0"/>
    <xf numFmtId="0" fontId="169" fillId="45" borderId="0"/>
    <xf numFmtId="0" fontId="169" fillId="46" borderId="0"/>
    <xf numFmtId="0" fontId="169" fillId="47" borderId="0"/>
    <xf numFmtId="0" fontId="169" fillId="48" borderId="0"/>
    <xf numFmtId="0" fontId="169" fillId="49" borderId="0"/>
    <xf numFmtId="0" fontId="169" fillId="50" borderId="0"/>
    <xf numFmtId="0" fontId="52" fillId="58" borderId="0"/>
    <xf numFmtId="0" fontId="52" fillId="55" borderId="0"/>
    <xf numFmtId="0" fontId="52" fillId="59" borderId="0"/>
    <xf numFmtId="0" fontId="52" fillId="58" borderId="0"/>
    <xf numFmtId="0" fontId="52" fillId="54" borderId="0"/>
    <xf numFmtId="0" fontId="52" fillId="51" borderId="0"/>
    <xf numFmtId="0" fontId="25" fillId="54" borderId="0"/>
    <xf numFmtId="0" fontId="25" fillId="55" borderId="0"/>
    <xf numFmtId="0" fontId="25" fillId="61" borderId="0"/>
    <xf numFmtId="0" fontId="25" fillId="48" borderId="0"/>
    <xf numFmtId="0" fontId="25" fillId="54" borderId="0"/>
    <xf numFmtId="0" fontId="25" fillId="60" borderId="0"/>
    <xf numFmtId="0" fontId="25" fillId="54" borderId="0"/>
    <xf numFmtId="0" fontId="25" fillId="55" borderId="0"/>
    <xf numFmtId="0" fontId="25" fillId="61" borderId="0"/>
    <xf numFmtId="0" fontId="25" fillId="48" borderId="0"/>
    <xf numFmtId="0" fontId="25" fillId="54" borderId="0"/>
    <xf numFmtId="0" fontId="25" fillId="60" borderId="0"/>
    <xf numFmtId="0" fontId="25" fillId="54" borderId="0"/>
    <xf numFmtId="0" fontId="25" fillId="55" borderId="0"/>
    <xf numFmtId="0" fontId="25" fillId="56" borderId="0"/>
    <xf numFmtId="0" fontId="25" fillId="48" borderId="0"/>
    <xf numFmtId="0" fontId="25" fillId="54" borderId="0"/>
    <xf numFmtId="0" fontId="25" fillId="60" borderId="0"/>
    <xf numFmtId="0" fontId="169" fillId="54" borderId="0"/>
    <xf numFmtId="0" fontId="169" fillId="55" borderId="0"/>
    <xf numFmtId="0" fontId="169" fillId="56" borderId="0"/>
    <xf numFmtId="0" fontId="169" fillId="48" borderId="0"/>
    <xf numFmtId="0" fontId="169" fillId="54" borderId="0"/>
    <xf numFmtId="0" fontId="169" fillId="57" borderId="0"/>
    <xf numFmtId="0" fontId="25" fillId="0" borderId="0">
      <alignment horizontal="left" vertical="center" indent="7"/>
    </xf>
    <xf numFmtId="0" fontId="54" fillId="43" borderId="0"/>
    <xf numFmtId="0" fontId="54" fillId="55" borderId="0"/>
    <xf numFmtId="0" fontId="54" fillId="59" borderId="0"/>
    <xf numFmtId="0" fontId="54" fillId="58" borderId="0"/>
    <xf numFmtId="0" fontId="54" fillId="43" borderId="0"/>
    <xf numFmtId="0" fontId="54" fillId="51" borderId="0"/>
    <xf numFmtId="0" fontId="43" fillId="63" borderId="0"/>
    <xf numFmtId="0" fontId="43" fillId="55" borderId="0"/>
    <xf numFmtId="0" fontId="43" fillId="61" borderId="0"/>
    <xf numFmtId="0" fontId="43" fillId="42" borderId="0"/>
    <xf numFmtId="0" fontId="43" fillId="43" borderId="0"/>
    <xf numFmtId="0" fontId="43" fillId="64" borderId="0"/>
    <xf numFmtId="0" fontId="43" fillId="63" borderId="0"/>
    <xf numFmtId="0" fontId="43" fillId="55" borderId="0"/>
    <xf numFmtId="0" fontId="43" fillId="61" borderId="0"/>
    <xf numFmtId="0" fontId="43" fillId="42" borderId="0"/>
    <xf numFmtId="0" fontId="43" fillId="43" borderId="0"/>
    <xf numFmtId="0" fontId="43" fillId="64" borderId="0"/>
    <xf numFmtId="0" fontId="43" fillId="63" borderId="0"/>
    <xf numFmtId="0" fontId="43" fillId="55" borderId="0"/>
    <xf numFmtId="0" fontId="43" fillId="56" borderId="0"/>
    <xf numFmtId="0" fontId="43" fillId="42" borderId="0"/>
    <xf numFmtId="0" fontId="43" fillId="43" borderId="0"/>
    <xf numFmtId="0" fontId="43" fillId="64" borderId="0"/>
    <xf numFmtId="0" fontId="170" fillId="61" borderId="0"/>
    <xf numFmtId="0" fontId="170" fillId="55" borderId="0"/>
    <xf numFmtId="0" fontId="170" fillId="56" borderId="0"/>
    <xf numFmtId="0" fontId="170" fillId="42" borderId="0"/>
    <xf numFmtId="0" fontId="170" fillId="43" borderId="0"/>
    <xf numFmtId="0" fontId="170" fillId="62" borderId="0"/>
    <xf numFmtId="0" fontId="170" fillId="39" borderId="0"/>
    <xf numFmtId="0" fontId="170" fillId="40" borderId="0"/>
    <xf numFmtId="0" fontId="170" fillId="65" borderId="0"/>
    <xf numFmtId="0" fontId="170" fillId="42" borderId="0"/>
    <xf numFmtId="0" fontId="170" fillId="43" borderId="0"/>
    <xf numFmtId="0" fontId="170" fillId="66" borderId="0"/>
    <xf numFmtId="0" fontId="171" fillId="0" borderId="0"/>
    <xf numFmtId="0" fontId="58" fillId="53" borderId="0"/>
    <xf numFmtId="4" fontId="59" fillId="0" borderId="0">
      <alignment horizontal="right" vertical="center"/>
    </xf>
    <xf numFmtId="0" fontId="60" fillId="47" borderId="0"/>
    <xf numFmtId="0" fontId="61" fillId="47" borderId="0"/>
    <xf numFmtId="0" fontId="62" fillId="58" borderId="15"/>
    <xf numFmtId="0" fontId="172" fillId="58" borderId="15"/>
    <xf numFmtId="0" fontId="62" fillId="58" borderId="15"/>
    <xf numFmtId="0" fontId="62" fillId="58" borderId="15"/>
    <xf numFmtId="0" fontId="23" fillId="67" borderId="53"/>
    <xf numFmtId="0" fontId="64" fillId="0" borderId="54"/>
    <xf numFmtId="0" fontId="64" fillId="0" borderId="54"/>
    <xf numFmtId="0" fontId="23" fillId="67" borderId="53"/>
    <xf numFmtId="0" fontId="173" fillId="0" borderId="54"/>
    <xf numFmtId="0" fontId="23" fillId="67" borderId="53"/>
    <xf numFmtId="0" fontId="66" fillId="58" borderId="15">
      <alignment horizontal="center" vertical="center"/>
    </xf>
    <xf numFmtId="0" fontId="66" fillId="58" borderId="15">
      <alignment horizontal="center" vertical="center"/>
    </xf>
    <xf numFmtId="0" fontId="66" fillId="58" borderId="15">
      <alignment horizontal="center" vertical="center"/>
    </xf>
    <xf numFmtId="0" fontId="66" fillId="58" borderId="15">
      <alignment horizontal="center" vertical="center"/>
    </xf>
    <xf numFmtId="0" fontId="66" fillId="58" borderId="15">
      <alignment horizontal="center" vertical="center"/>
    </xf>
    <xf numFmtId="49" fontId="67" fillId="44" borderId="0">
      <alignment horizontal="center" vertical="center" wrapText="1"/>
    </xf>
    <xf numFmtId="49" fontId="67" fillId="68" borderId="19">
      <alignment horizontal="center" vertical="center" wrapText="1"/>
    </xf>
    <xf numFmtId="49" fontId="67" fillId="44" borderId="19">
      <alignment horizontal="center" vertical="center" wrapText="1"/>
    </xf>
    <xf numFmtId="49" fontId="67" fillId="48" borderId="19">
      <alignment horizontal="center" vertical="center" wrapText="1"/>
    </xf>
    <xf numFmtId="49" fontId="67" fillId="44" borderId="19">
      <alignment horizontal="center" vertical="center" wrapText="1"/>
    </xf>
    <xf numFmtId="49" fontId="67" fillId="65" borderId="0">
      <alignment horizontal="center" vertical="center" wrapText="1"/>
    </xf>
    <xf numFmtId="49" fontId="67" fillId="69" borderId="20">
      <alignment horizontal="center" vertical="center" wrapText="1"/>
    </xf>
    <xf numFmtId="49" fontId="67" fillId="53" borderId="20">
      <alignment horizontal="center" vertical="center" wrapText="1"/>
    </xf>
    <xf numFmtId="49" fontId="67" fillId="66" borderId="20">
      <alignment horizontal="center" vertical="center" wrapText="1"/>
    </xf>
    <xf numFmtId="49" fontId="67" fillId="48" borderId="20">
      <alignment horizontal="center" vertical="center" wrapText="1"/>
    </xf>
    <xf numFmtId="49" fontId="67" fillId="70" borderId="0">
      <alignment horizontal="center" vertical="center" wrapText="1"/>
    </xf>
    <xf numFmtId="49" fontId="67" fillId="64" borderId="20">
      <alignment horizontal="center" vertical="center" wrapText="1"/>
    </xf>
    <xf numFmtId="49" fontId="67" fillId="68" borderId="20">
      <alignment horizontal="center" vertical="center" wrapText="1"/>
    </xf>
    <xf numFmtId="49" fontId="67" fillId="68" borderId="20">
      <alignment horizontal="center" vertical="center" wrapText="1"/>
    </xf>
    <xf numFmtId="49" fontId="67" fillId="44" borderId="20">
      <alignment horizontal="center" vertical="center" wrapText="1"/>
    </xf>
    <xf numFmtId="49" fontId="67" fillId="68" borderId="20">
      <alignment horizontal="center" vertical="center" wrapText="1"/>
    </xf>
    <xf numFmtId="49" fontId="67" fillId="70" borderId="0">
      <alignment horizontal="center" vertical="center" wrapText="1"/>
    </xf>
    <xf numFmtId="49" fontId="67" fillId="64" borderId="21">
      <alignment horizontal="center" vertical="center" wrapText="1"/>
    </xf>
    <xf numFmtId="49" fontId="67" fillId="68" borderId="21">
      <alignment horizontal="center" vertical="center" wrapText="1"/>
    </xf>
    <xf numFmtId="49" fontId="67" fillId="68" borderId="22">
      <alignment horizontal="center" vertical="center" wrapText="1"/>
    </xf>
    <xf numFmtId="49" fontId="67" fillId="44" borderId="23">
      <alignment horizontal="center" vertical="center" wrapText="1"/>
    </xf>
    <xf numFmtId="49" fontId="67" fillId="68" borderId="21">
      <alignment horizontal="center" vertical="center" wrapText="1"/>
    </xf>
    <xf numFmtId="49" fontId="67" fillId="65" borderId="0">
      <alignment horizontal="center" vertical="center" wrapText="1"/>
    </xf>
    <xf numFmtId="49" fontId="67" fillId="69" borderId="21">
      <alignment horizontal="center" vertical="center" wrapText="1"/>
    </xf>
    <xf numFmtId="49" fontId="67" fillId="53" borderId="22">
      <alignment horizontal="center" vertical="center" wrapText="1"/>
    </xf>
    <xf numFmtId="49" fontId="67" fillId="66" borderId="23">
      <alignment horizontal="center" vertical="center" wrapText="1"/>
    </xf>
    <xf numFmtId="49" fontId="67" fillId="48" borderId="21">
      <alignment horizontal="center" vertical="center" wrapText="1"/>
    </xf>
    <xf numFmtId="49" fontId="67" fillId="44" borderId="0">
      <alignment horizontal="center" vertical="center" wrapText="1"/>
    </xf>
    <xf numFmtId="49" fontId="67" fillId="68" borderId="24">
      <alignment horizontal="center" vertical="center" wrapText="1"/>
    </xf>
    <xf numFmtId="49" fontId="67" fillId="44" borderId="24">
      <alignment horizontal="center" vertical="center" wrapText="1"/>
    </xf>
    <xf numFmtId="49" fontId="67" fillId="48" borderId="25">
      <alignment horizontal="center" vertical="center" wrapText="1"/>
    </xf>
    <xf numFmtId="49" fontId="67" fillId="48" borderId="26">
      <alignment horizontal="center" vertical="center" wrapText="1"/>
    </xf>
    <xf numFmtId="49" fontId="67" fillId="44" borderId="24">
      <alignment horizontal="center" vertical="center" wrapText="1"/>
    </xf>
    <xf numFmtId="0" fontId="174" fillId="39" borderId="53">
      <alignment horizontal="left" vertical="center"/>
    </xf>
    <xf numFmtId="0" fontId="174" fillId="39" borderId="53">
      <alignment horizontal="left" vertical="center"/>
    </xf>
    <xf numFmtId="0" fontId="174" fillId="39" borderId="53">
      <alignment horizontal="left" vertical="center"/>
    </xf>
    <xf numFmtId="0" fontId="174" fillId="39" borderId="53">
      <alignment horizontal="left" vertical="center"/>
    </xf>
    <xf numFmtId="0" fontId="174" fillId="39" borderId="53">
      <alignment horizontal="left" vertical="center"/>
    </xf>
    <xf numFmtId="0" fontId="69" fillId="71" borderId="27">
      <alignment horizontal="center" vertical="center"/>
    </xf>
    <xf numFmtId="0" fontId="69" fillId="71" borderId="27">
      <alignment horizontal="center" vertical="center"/>
    </xf>
    <xf numFmtId="0" fontId="69" fillId="71" borderId="27">
      <alignment horizontal="center" vertical="center"/>
    </xf>
    <xf numFmtId="0" fontId="69" fillId="71" borderId="27">
      <alignment horizontal="center" vertical="center"/>
    </xf>
    <xf numFmtId="0" fontId="69" fillId="71" borderId="27">
      <alignment horizontal="center" vertical="center"/>
    </xf>
    <xf numFmtId="0" fontId="70" fillId="59" borderId="55">
      <alignment horizontal="left" vertical="top" wrapText="1"/>
    </xf>
    <xf numFmtId="0" fontId="70" fillId="59" borderId="55">
      <alignment horizontal="left" vertical="top" wrapText="1"/>
    </xf>
    <xf numFmtId="0" fontId="70" fillId="59" borderId="55">
      <alignment horizontal="left" vertical="top" wrapText="1"/>
    </xf>
    <xf numFmtId="49" fontId="67" fillId="72" borderId="53">
      <alignment vertical="center" wrapText="1"/>
    </xf>
    <xf numFmtId="49" fontId="67" fillId="72" borderId="56">
      <alignment vertical="center" wrapText="1"/>
    </xf>
    <xf numFmtId="49" fontId="67" fillId="72" borderId="56">
      <alignment vertical="center" wrapText="1"/>
    </xf>
    <xf numFmtId="49" fontId="67" fillId="72" borderId="56">
      <alignment vertical="center" wrapText="1"/>
    </xf>
    <xf numFmtId="49" fontId="67" fillId="67" borderId="56">
      <alignment vertical="center" wrapText="1"/>
    </xf>
    <xf numFmtId="49" fontId="67" fillId="73" borderId="53">
      <alignment wrapText="1"/>
    </xf>
    <xf numFmtId="49" fontId="67" fillId="73" borderId="56">
      <alignment wrapText="1"/>
    </xf>
    <xf numFmtId="49" fontId="67" fillId="73" borderId="56">
      <alignment wrapText="1"/>
    </xf>
    <xf numFmtId="49" fontId="67" fillId="74" borderId="53">
      <alignment wrapText="1"/>
    </xf>
    <xf numFmtId="49" fontId="67" fillId="74" borderId="53">
      <alignment wrapText="1"/>
    </xf>
    <xf numFmtId="49" fontId="67" fillId="75" borderId="53">
      <alignment wrapText="1"/>
    </xf>
    <xf numFmtId="49" fontId="67" fillId="70" borderId="53">
      <alignment wrapText="1"/>
    </xf>
    <xf numFmtId="49" fontId="67" fillId="75" borderId="53">
      <alignment vertical="center" wrapText="1"/>
    </xf>
    <xf numFmtId="49" fontId="67" fillId="76" borderId="56">
      <alignment vertical="center" wrapText="1"/>
    </xf>
    <xf numFmtId="49" fontId="67" fillId="70" borderId="56">
      <alignment vertical="center" wrapText="1"/>
    </xf>
    <xf numFmtId="49" fontId="67" fillId="70" borderId="56">
      <alignment vertical="center" wrapText="1"/>
    </xf>
    <xf numFmtId="49" fontId="67" fillId="77" borderId="56">
      <alignment vertical="center" wrapText="1"/>
    </xf>
    <xf numFmtId="49" fontId="67" fillId="42" borderId="56">
      <alignment vertical="center" wrapText="1"/>
    </xf>
    <xf numFmtId="49" fontId="67" fillId="74" borderId="53">
      <alignment wrapText="1"/>
    </xf>
    <xf numFmtId="49" fontId="67" fillId="51" borderId="56">
      <alignment wrapText="1"/>
    </xf>
    <xf numFmtId="49" fontId="67" fillId="76" borderId="56">
      <alignment wrapText="1"/>
    </xf>
    <xf numFmtId="49" fontId="67" fillId="51" borderId="56">
      <alignment wrapText="1"/>
    </xf>
    <xf numFmtId="49" fontId="67" fillId="52" borderId="56">
      <alignment wrapText="1"/>
    </xf>
    <xf numFmtId="49" fontId="67" fillId="78" borderId="53">
      <alignment vertical="center" wrapText="1"/>
    </xf>
    <xf numFmtId="49" fontId="67" fillId="79" borderId="56">
      <alignment vertical="center" wrapText="1"/>
    </xf>
    <xf numFmtId="49" fontId="67" fillId="65" borderId="56">
      <alignment vertical="center" wrapText="1"/>
    </xf>
    <xf numFmtId="49" fontId="67" fillId="72" borderId="56">
      <alignment vertical="center" wrapText="1"/>
    </xf>
    <xf numFmtId="49" fontId="67" fillId="72" borderId="53">
      <alignment vertical="center" wrapText="1"/>
    </xf>
    <xf numFmtId="49" fontId="67" fillId="77" borderId="56">
      <alignment vertical="center" wrapText="1"/>
    </xf>
    <xf numFmtId="49" fontId="67" fillId="61" borderId="56">
      <alignment vertical="center" wrapText="1"/>
    </xf>
    <xf numFmtId="49" fontId="67" fillId="57" borderId="56">
      <alignment vertical="center" wrapText="1"/>
    </xf>
    <xf numFmtId="49" fontId="67" fillId="80" borderId="56">
      <alignment vertical="center" wrapText="1"/>
    </xf>
    <xf numFmtId="49" fontId="67" fillId="61" borderId="56">
      <alignment vertical="center" wrapText="1"/>
    </xf>
    <xf numFmtId="49" fontId="67" fillId="49" borderId="0">
      <alignment vertical="center" wrapText="1"/>
    </xf>
    <xf numFmtId="49" fontId="67" fillId="76" borderId="30">
      <alignment vertical="center" wrapText="1"/>
    </xf>
    <xf numFmtId="49" fontId="67" fillId="49" borderId="30">
      <alignment vertical="center" wrapText="1"/>
    </xf>
    <xf numFmtId="49" fontId="67" fillId="49" borderId="30">
      <alignment vertical="center" wrapText="1"/>
    </xf>
    <xf numFmtId="49" fontId="67" fillId="49" borderId="30">
      <alignment vertical="center" wrapText="1"/>
    </xf>
    <xf numFmtId="49" fontId="67" fillId="49" borderId="30">
      <alignment vertical="center" wrapText="1"/>
    </xf>
    <xf numFmtId="49" fontId="71" fillId="46" borderId="0">
      <alignment vertical="center" wrapText="1"/>
    </xf>
    <xf numFmtId="49" fontId="72" fillId="46" borderId="0">
      <alignment vertical="center" wrapText="1" shrinkToFit="1"/>
    </xf>
    <xf numFmtId="49" fontId="73" fillId="46" borderId="0">
      <alignment vertical="center" wrapText="1" shrinkToFit="1"/>
    </xf>
    <xf numFmtId="49" fontId="71" fillId="46" borderId="0">
      <alignment vertical="center" wrapText="1" shrinkToFit="1"/>
    </xf>
    <xf numFmtId="49" fontId="74" fillId="46" borderId="0">
      <alignment vertical="center" wrapText="1" shrinkToFit="1"/>
    </xf>
    <xf numFmtId="49" fontId="73" fillId="46" borderId="0">
      <alignment vertical="center" wrapText="1" shrinkToFit="1"/>
    </xf>
    <xf numFmtId="49" fontId="75" fillId="46" borderId="0">
      <alignment vertical="center" wrapText="1"/>
    </xf>
    <xf numFmtId="49" fontId="75" fillId="46" borderId="0">
      <alignment vertical="center" wrapText="1"/>
    </xf>
    <xf numFmtId="49" fontId="75" fillId="46" borderId="0">
      <alignment vertical="center" wrapText="1"/>
    </xf>
    <xf numFmtId="49" fontId="75" fillId="46" borderId="0">
      <alignment vertical="center" wrapText="1"/>
    </xf>
    <xf numFmtId="49" fontId="67" fillId="50" borderId="0">
      <alignment vertical="center" wrapText="1"/>
    </xf>
    <xf numFmtId="49" fontId="67" fillId="50" borderId="0">
      <alignment vertical="center" wrapText="1"/>
    </xf>
    <xf numFmtId="49" fontId="67" fillId="68" borderId="0">
      <alignment vertical="center" wrapText="1"/>
    </xf>
    <xf numFmtId="49" fontId="67" fillId="50" borderId="0">
      <alignment vertical="center" wrapText="1"/>
    </xf>
    <xf numFmtId="49" fontId="67" fillId="50" borderId="0">
      <alignment vertical="center" wrapText="1"/>
    </xf>
    <xf numFmtId="49" fontId="67" fillId="44" borderId="0">
      <alignment vertical="center" wrapText="1"/>
    </xf>
    <xf numFmtId="49" fontId="75" fillId="81" borderId="0">
      <alignment vertical="center" wrapText="1"/>
    </xf>
    <xf numFmtId="49" fontId="75" fillId="81" borderId="0">
      <alignment vertical="center" wrapText="1" shrinkToFit="1"/>
    </xf>
    <xf numFmtId="49" fontId="75" fillId="82" borderId="0">
      <alignment vertical="center" wrapText="1" shrinkToFit="1"/>
    </xf>
    <xf numFmtId="49" fontId="75" fillId="81" borderId="0">
      <alignment vertical="center" wrapText="1" shrinkToFit="1"/>
    </xf>
    <xf numFmtId="49" fontId="67" fillId="82" borderId="0">
      <alignment vertical="center" wrapText="1"/>
    </xf>
    <xf numFmtId="49" fontId="67" fillId="63" borderId="0">
      <alignment vertical="center" wrapText="1"/>
    </xf>
    <xf numFmtId="49" fontId="67" fillId="42" borderId="0">
      <alignment vertical="center" wrapText="1"/>
    </xf>
    <xf numFmtId="49" fontId="67" fillId="63" borderId="0">
      <alignment vertical="center" wrapText="1"/>
    </xf>
    <xf numFmtId="49" fontId="67" fillId="56" borderId="0">
      <alignment vertical="center" wrapText="1"/>
    </xf>
    <xf numFmtId="49" fontId="76" fillId="42" borderId="57">
      <alignment vertical="center" wrapText="1"/>
    </xf>
    <xf numFmtId="49" fontId="76" fillId="77" borderId="57">
      <alignment vertical="center" wrapText="1"/>
    </xf>
    <xf numFmtId="49" fontId="76" fillId="77" borderId="57">
      <alignment vertical="center" wrapText="1"/>
    </xf>
    <xf numFmtId="49" fontId="76" fillId="53" borderId="57">
      <alignment vertical="center" wrapText="1"/>
    </xf>
    <xf numFmtId="49" fontId="76" fillId="60" borderId="57">
      <alignment vertical="center" wrapText="1"/>
    </xf>
    <xf numFmtId="0" fontId="77" fillId="51" borderId="58">
      <alignment horizontal="left" vertical="center" wrapText="1"/>
    </xf>
    <xf numFmtId="0" fontId="77" fillId="42" borderId="58">
      <alignment horizontal="left" vertical="center" wrapText="1"/>
    </xf>
    <xf numFmtId="0" fontId="77" fillId="83" borderId="58">
      <alignment horizontal="left" vertical="center" wrapText="1"/>
    </xf>
    <xf numFmtId="0" fontId="77" fillId="42" borderId="58">
      <alignment horizontal="left" vertical="center" wrapText="1"/>
    </xf>
    <xf numFmtId="0" fontId="77" fillId="83" borderId="58">
      <alignment horizontal="left" vertical="center" wrapText="1"/>
    </xf>
    <xf numFmtId="49" fontId="67" fillId="64" borderId="14">
      <alignment vertical="center" wrapText="1"/>
    </xf>
    <xf numFmtId="49" fontId="67" fillId="62" borderId="14">
      <alignment vertical="center" wrapText="1"/>
    </xf>
    <xf numFmtId="49" fontId="67" fillId="44" borderId="14">
      <alignment vertical="center" wrapText="1"/>
    </xf>
    <xf numFmtId="49" fontId="67" fillId="84" borderId="14">
      <alignment vertical="center" wrapText="1"/>
    </xf>
    <xf numFmtId="49" fontId="67" fillId="62" borderId="14">
      <alignment vertical="center" wrapText="1"/>
    </xf>
    <xf numFmtId="49" fontId="67" fillId="62" borderId="14">
      <alignment vertical="center" wrapText="1"/>
    </xf>
    <xf numFmtId="49" fontId="67" fillId="42" borderId="14">
      <alignment vertical="center" wrapText="1"/>
    </xf>
    <xf numFmtId="49" fontId="67" fillId="64" borderId="14">
      <alignment vertical="center" wrapText="1"/>
    </xf>
    <xf numFmtId="49" fontId="67" fillId="50" borderId="14">
      <alignment vertical="center" wrapText="1"/>
    </xf>
    <xf numFmtId="49" fontId="67" fillId="60" borderId="14">
      <alignment vertical="center" wrapText="1"/>
    </xf>
    <xf numFmtId="49" fontId="67" fillId="57" borderId="14">
      <alignment vertical="center" wrapText="1"/>
    </xf>
    <xf numFmtId="49" fontId="67" fillId="67" borderId="14">
      <alignment vertical="center" wrapText="1"/>
    </xf>
    <xf numFmtId="49" fontId="67" fillId="57" borderId="14">
      <alignment vertical="center" wrapText="1"/>
    </xf>
    <xf numFmtId="49" fontId="67" fillId="38" borderId="14">
      <alignment vertical="center" wrapText="1"/>
    </xf>
    <xf numFmtId="49" fontId="67" fillId="62" borderId="14">
      <alignment vertical="center" wrapText="1"/>
    </xf>
    <xf numFmtId="49" fontId="67" fillId="57" borderId="14">
      <alignment vertical="center" wrapText="1"/>
    </xf>
    <xf numFmtId="49" fontId="67" fillId="38" borderId="14">
      <alignment vertical="center" wrapText="1"/>
    </xf>
    <xf numFmtId="49" fontId="67" fillId="38" borderId="14">
      <alignment vertical="center" wrapText="1"/>
    </xf>
    <xf numFmtId="49" fontId="67" fillId="38" borderId="14">
      <alignment vertical="center" wrapText="1"/>
    </xf>
    <xf numFmtId="49" fontId="67" fillId="38" borderId="14">
      <alignment vertical="center" wrapText="1"/>
    </xf>
    <xf numFmtId="49" fontId="168" fillId="52" borderId="33">
      <alignment vertical="top" wrapText="1"/>
    </xf>
    <xf numFmtId="49" fontId="168" fillId="54" borderId="33">
      <alignment vertical="top" wrapText="1"/>
    </xf>
    <xf numFmtId="49" fontId="168" fillId="54" borderId="34">
      <alignment vertical="top" wrapText="1"/>
    </xf>
    <xf numFmtId="0" fontId="43" fillId="39" borderId="0"/>
    <xf numFmtId="0" fontId="43" fillId="40" borderId="0"/>
    <xf numFmtId="0" fontId="43" fillId="41" borderId="0"/>
    <xf numFmtId="0" fontId="43" fillId="42" borderId="0"/>
    <xf numFmtId="0" fontId="43" fillId="43" borderId="0"/>
    <xf numFmtId="0" fontId="43" fillId="44" borderId="0"/>
    <xf numFmtId="174" fontId="168" fillId="0" borderId="0"/>
    <xf numFmtId="0" fontId="168" fillId="71" borderId="35"/>
    <xf numFmtId="175" fontId="168" fillId="0" borderId="0"/>
    <xf numFmtId="175" fontId="168" fillId="0" borderId="0"/>
    <xf numFmtId="0" fontId="175" fillId="38" borderId="0">
      <alignment wrapText="1"/>
    </xf>
    <xf numFmtId="0" fontId="175" fillId="53" borderId="0"/>
    <xf numFmtId="166" fontId="177" fillId="0" borderId="36"/>
    <xf numFmtId="166" fontId="176" fillId="0" borderId="37"/>
    <xf numFmtId="166" fontId="178" fillId="0" borderId="36"/>
    <xf numFmtId="166" fontId="179" fillId="0" borderId="37"/>
    <xf numFmtId="0" fontId="83" fillId="0" borderId="0"/>
    <xf numFmtId="0" fontId="43" fillId="39" borderId="0"/>
    <xf numFmtId="0" fontId="43" fillId="40" borderId="0"/>
    <xf numFmtId="0" fontId="43" fillId="41" borderId="0"/>
    <xf numFmtId="0" fontId="43" fillId="42" borderId="0"/>
    <xf numFmtId="0" fontId="43" fillId="43" borderId="0"/>
    <xf numFmtId="0" fontId="43" fillId="44" borderId="0"/>
    <xf numFmtId="0" fontId="181" fillId="0" borderId="0"/>
    <xf numFmtId="0" fontId="181" fillId="0" borderId="0"/>
    <xf numFmtId="0" fontId="182" fillId="0" borderId="0"/>
    <xf numFmtId="0" fontId="182" fillId="0" borderId="0"/>
    <xf numFmtId="0" fontId="89" fillId="51" borderId="15"/>
    <xf numFmtId="0" fontId="183" fillId="50" borderId="15"/>
    <xf numFmtId="176" fontId="168" fillId="0" borderId="0"/>
    <xf numFmtId="197" fontId="25" fillId="0" borderId="0"/>
    <xf numFmtId="176" fontId="168" fillId="0" borderId="0"/>
    <xf numFmtId="176" fontId="168" fillId="0" borderId="0"/>
    <xf numFmtId="178" fontId="168" fillId="0" borderId="0"/>
    <xf numFmtId="198" fontId="168" fillId="0" borderId="0"/>
    <xf numFmtId="176" fontId="168" fillId="0" borderId="0"/>
    <xf numFmtId="198" fontId="168" fillId="0" borderId="0"/>
    <xf numFmtId="176" fontId="168" fillId="0" borderId="0"/>
    <xf numFmtId="176" fontId="168" fillId="0" borderId="0"/>
    <xf numFmtId="178" fontId="168" fillId="0" borderId="0"/>
    <xf numFmtId="176" fontId="168" fillId="0" borderId="0"/>
    <xf numFmtId="199" fontId="168" fillId="0" borderId="0"/>
    <xf numFmtId="197" fontId="56" fillId="0" borderId="0"/>
    <xf numFmtId="197" fontId="25" fillId="0" borderId="0"/>
    <xf numFmtId="197" fontId="25" fillId="0" borderId="0"/>
    <xf numFmtId="0" fontId="168" fillId="0" borderId="0"/>
    <xf numFmtId="0" fontId="90" fillId="0" borderId="0"/>
    <xf numFmtId="0" fontId="91" fillId="0" borderId="0"/>
    <xf numFmtId="2" fontId="56" fillId="0" borderId="0"/>
    <xf numFmtId="166" fontId="168" fillId="0" borderId="0"/>
    <xf numFmtId="166" fontId="168" fillId="0" borderId="0"/>
    <xf numFmtId="3" fontId="168" fillId="0" borderId="0"/>
    <xf numFmtId="3" fontId="168" fillId="0" borderId="0"/>
    <xf numFmtId="0" fontId="61" fillId="47" borderId="0"/>
    <xf numFmtId="0" fontId="92" fillId="0" borderId="0">
      <alignment horizontal="center"/>
    </xf>
    <xf numFmtId="0" fontId="93" fillId="0" borderId="0">
      <alignment horizontal="center"/>
    </xf>
    <xf numFmtId="0" fontId="94" fillId="0" borderId="38"/>
    <xf numFmtId="0" fontId="95" fillId="0" borderId="39"/>
    <xf numFmtId="0" fontId="83" fillId="0" borderId="40"/>
    <xf numFmtId="0" fontId="83" fillId="0" borderId="0"/>
    <xf numFmtId="0" fontId="92" fillId="0" borderId="0">
      <alignment horizontal="center" textRotation="90"/>
    </xf>
    <xf numFmtId="0" fontId="93" fillId="0" borderId="0">
      <alignment horizontal="center" textRotation="90"/>
    </xf>
    <xf numFmtId="0" fontId="58" fillId="53" borderId="0"/>
    <xf numFmtId="0" fontId="89" fillId="51" borderId="15"/>
    <xf numFmtId="0" fontId="184" fillId="46" borderId="0"/>
    <xf numFmtId="0" fontId="185" fillId="0" borderId="0"/>
    <xf numFmtId="0" fontId="186" fillId="0" borderId="0"/>
    <xf numFmtId="0" fontId="185" fillId="0" borderId="0"/>
    <xf numFmtId="0" fontId="99" fillId="0" borderId="0"/>
    <xf numFmtId="0" fontId="56" fillId="37" borderId="0">
      <alignment horizontal="right"/>
      <protection locked="0"/>
    </xf>
    <xf numFmtId="0" fontId="168" fillId="37" borderId="0">
      <alignment horizontal="right"/>
      <protection locked="0"/>
    </xf>
    <xf numFmtId="0" fontId="168" fillId="37" borderId="0">
      <alignment horizontal="right"/>
      <protection locked="0"/>
    </xf>
    <xf numFmtId="0" fontId="168" fillId="37" borderId="0">
      <alignment horizontal="right"/>
      <protection locked="0"/>
    </xf>
    <xf numFmtId="0" fontId="64" fillId="0" borderId="54"/>
    <xf numFmtId="0" fontId="187" fillId="37" borderId="0">
      <alignment horizontal="right"/>
      <protection locked="0"/>
    </xf>
    <xf numFmtId="0" fontId="187" fillId="37" borderId="0">
      <alignment horizontal="right"/>
      <protection locked="0"/>
    </xf>
    <xf numFmtId="0" fontId="187" fillId="37" borderId="0">
      <alignment horizontal="right"/>
      <protection locked="0"/>
    </xf>
    <xf numFmtId="0" fontId="188" fillId="37" borderId="0">
      <alignment horizontal="right"/>
      <protection locked="0"/>
    </xf>
    <xf numFmtId="0" fontId="188" fillId="37" borderId="0">
      <alignment horizontal="right"/>
      <protection locked="0"/>
    </xf>
    <xf numFmtId="0" fontId="188" fillId="37" borderId="0">
      <alignment horizontal="right"/>
      <protection locked="0"/>
    </xf>
    <xf numFmtId="0" fontId="189" fillId="37" borderId="0">
      <alignment horizontal="right"/>
      <protection locked="0"/>
    </xf>
    <xf numFmtId="0" fontId="189" fillId="37" borderId="0">
      <alignment horizontal="right"/>
      <protection locked="0"/>
    </xf>
    <xf numFmtId="0" fontId="189" fillId="37" borderId="0">
      <alignment horizontal="right"/>
      <protection locked="0"/>
    </xf>
    <xf numFmtId="0" fontId="104" fillId="59" borderId="0">
      <alignment horizontal="right" vertical="center"/>
      <protection locked="0"/>
    </xf>
    <xf numFmtId="0" fontId="104" fillId="37" borderId="0">
      <alignment horizontal="right" vertical="center"/>
      <protection locked="0"/>
    </xf>
    <xf numFmtId="182" fontId="105" fillId="0" borderId="0"/>
    <xf numFmtId="183" fontId="168" fillId="0" borderId="0"/>
    <xf numFmtId="183" fontId="168" fillId="0" borderId="0"/>
    <xf numFmtId="183" fontId="168" fillId="0" borderId="0"/>
    <xf numFmtId="183" fontId="168" fillId="0" borderId="0"/>
    <xf numFmtId="183" fontId="168" fillId="0" borderId="0"/>
    <xf numFmtId="183" fontId="168" fillId="0" borderId="0"/>
    <xf numFmtId="183" fontId="168" fillId="0" borderId="0"/>
    <xf numFmtId="182" fontId="105" fillId="0" borderId="0"/>
    <xf numFmtId="182" fontId="105" fillId="0" borderId="0"/>
    <xf numFmtId="182" fontId="105" fillId="0" borderId="0"/>
    <xf numFmtId="176" fontId="168" fillId="0" borderId="0"/>
    <xf numFmtId="176" fontId="168" fillId="0" borderId="0"/>
    <xf numFmtId="184" fontId="168" fillId="0" borderId="0"/>
    <xf numFmtId="184" fontId="168" fillId="0" borderId="0"/>
    <xf numFmtId="0" fontId="107" fillId="59" borderId="0"/>
    <xf numFmtId="0" fontId="107" fillId="59" borderId="0"/>
    <xf numFmtId="0" fontId="190" fillId="59" borderId="0"/>
    <xf numFmtId="185" fontId="191" fillId="0" borderId="0"/>
    <xf numFmtId="0" fontId="168" fillId="0" borderId="0"/>
    <xf numFmtId="0" fontId="168" fillId="0" borderId="0"/>
    <xf numFmtId="0" fontId="105" fillId="0" borderId="0"/>
    <xf numFmtId="0" fontId="168" fillId="0" borderId="0"/>
    <xf numFmtId="0" fontId="16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8" fillId="0" borderId="0"/>
    <xf numFmtId="0" fontId="105" fillId="0" borderId="0"/>
    <xf numFmtId="0" fontId="168" fillId="0" borderId="0"/>
    <xf numFmtId="0" fontId="169" fillId="0" borderId="0"/>
    <xf numFmtId="0" fontId="168" fillId="0" borderId="0"/>
    <xf numFmtId="0" fontId="168" fillId="0" borderId="0"/>
    <xf numFmtId="0" fontId="25" fillId="0" borderId="0"/>
    <xf numFmtId="0" fontId="168" fillId="0" borderId="0"/>
    <xf numFmtId="0" fontId="110" fillId="0" borderId="0"/>
    <xf numFmtId="0" fontId="110" fillId="0" borderId="0"/>
    <xf numFmtId="0" fontId="56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>
      <alignment wrapText="1"/>
    </xf>
    <xf numFmtId="0" fontId="168" fillId="0" borderId="0">
      <alignment wrapText="1"/>
    </xf>
    <xf numFmtId="0" fontId="111" fillId="0" borderId="0"/>
    <xf numFmtId="0" fontId="168" fillId="0" borderId="0"/>
    <xf numFmtId="0" fontId="56" fillId="0" borderId="0"/>
    <xf numFmtId="0" fontId="168" fillId="0" borderId="0">
      <alignment wrapText="1"/>
    </xf>
    <xf numFmtId="0" fontId="168" fillId="0" borderId="0"/>
    <xf numFmtId="0" fontId="168" fillId="0" borderId="0">
      <alignment wrapText="1"/>
    </xf>
    <xf numFmtId="0" fontId="168" fillId="0" borderId="0"/>
    <xf numFmtId="0" fontId="25" fillId="0" borderId="0"/>
    <xf numFmtId="0" fontId="168" fillId="0" borderId="0">
      <alignment wrapText="1"/>
    </xf>
    <xf numFmtId="0" fontId="168" fillId="0" borderId="0">
      <alignment wrapText="1"/>
    </xf>
    <xf numFmtId="0" fontId="25" fillId="0" borderId="0"/>
    <xf numFmtId="0" fontId="168" fillId="0" borderId="0"/>
    <xf numFmtId="0" fontId="25" fillId="0" borderId="0"/>
    <xf numFmtId="0" fontId="112" fillId="0" borderId="0"/>
    <xf numFmtId="0" fontId="25" fillId="0" borderId="0"/>
    <xf numFmtId="0" fontId="25" fillId="0" borderId="0"/>
    <xf numFmtId="0" fontId="168" fillId="0" borderId="0"/>
    <xf numFmtId="0" fontId="168" fillId="0" borderId="0"/>
    <xf numFmtId="0" fontId="25" fillId="0" borderId="0"/>
    <xf numFmtId="4" fontId="113" fillId="0" borderId="0">
      <alignment horizontal="right" vertical="center"/>
    </xf>
    <xf numFmtId="2" fontId="56" fillId="0" borderId="0"/>
    <xf numFmtId="0" fontId="168" fillId="38" borderId="35"/>
    <xf numFmtId="0" fontId="168" fillId="38" borderId="35"/>
    <xf numFmtId="0" fontId="192" fillId="0" borderId="0">
      <alignment vertical="top"/>
    </xf>
    <xf numFmtId="0" fontId="168" fillId="38" borderId="35"/>
    <xf numFmtId="0" fontId="192" fillId="0" borderId="0">
      <alignment vertical="top"/>
    </xf>
    <xf numFmtId="0" fontId="116" fillId="58" borderId="41"/>
    <xf numFmtId="173" fontId="56" fillId="0" borderId="0"/>
    <xf numFmtId="173" fontId="168" fillId="0" borderId="0"/>
    <xf numFmtId="173" fontId="25" fillId="0" borderId="0"/>
    <xf numFmtId="173" fontId="168" fillId="0" borderId="0"/>
    <xf numFmtId="173" fontId="25" fillId="0" borderId="0"/>
    <xf numFmtId="173" fontId="168" fillId="0" borderId="0"/>
    <xf numFmtId="173" fontId="168" fillId="0" borderId="0"/>
    <xf numFmtId="173" fontId="168" fillId="0" borderId="0"/>
    <xf numFmtId="173" fontId="168" fillId="0" borderId="0"/>
    <xf numFmtId="173" fontId="168" fillId="0" borderId="0"/>
    <xf numFmtId="173" fontId="168" fillId="0" borderId="0"/>
    <xf numFmtId="0" fontId="168" fillId="38" borderId="35"/>
    <xf numFmtId="0" fontId="56" fillId="71" borderId="35"/>
    <xf numFmtId="0" fontId="117" fillId="0" borderId="0"/>
    <xf numFmtId="0" fontId="118" fillId="0" borderId="0"/>
    <xf numFmtId="187" fontId="117" fillId="0" borderId="0"/>
    <xf numFmtId="187" fontId="118" fillId="0" borderId="0"/>
    <xf numFmtId="0" fontId="116" fillId="58" borderId="41"/>
    <xf numFmtId="0" fontId="193" fillId="47" borderId="0"/>
    <xf numFmtId="0" fontId="194" fillId="58" borderId="42"/>
    <xf numFmtId="0" fontId="195" fillId="0" borderId="0">
      <alignment vertical="top" wrapText="1"/>
    </xf>
    <xf numFmtId="0" fontId="168" fillId="0" borderId="0">
      <alignment horizontal="left"/>
    </xf>
    <xf numFmtId="0" fontId="168" fillId="0" borderId="0"/>
    <xf numFmtId="0" fontId="168" fillId="0" borderId="0"/>
    <xf numFmtId="0" fontId="180" fillId="0" borderId="0"/>
    <xf numFmtId="0" fontId="180" fillId="0" borderId="0">
      <alignment horizontal="left"/>
    </xf>
    <xf numFmtId="0" fontId="168" fillId="0" borderId="0"/>
    <xf numFmtId="166" fontId="123" fillId="68" borderId="43">
      <alignment vertical="center"/>
    </xf>
    <xf numFmtId="166" fontId="123" fillId="44" borderId="43">
      <alignment vertical="center"/>
    </xf>
    <xf numFmtId="166" fontId="123" fillId="42" borderId="43">
      <alignment vertical="center"/>
    </xf>
    <xf numFmtId="166" fontId="123" fillId="68" borderId="43">
      <alignment vertical="center"/>
    </xf>
    <xf numFmtId="166" fontId="123" fillId="68" borderId="43">
      <alignment vertical="center"/>
    </xf>
    <xf numFmtId="166" fontId="123" fillId="68" borderId="43">
      <alignment vertical="center"/>
    </xf>
    <xf numFmtId="4" fontId="123" fillId="68" borderId="43">
      <alignment vertical="center"/>
    </xf>
    <xf numFmtId="4" fontId="123" fillId="44" borderId="43">
      <alignment vertical="center"/>
    </xf>
    <xf numFmtId="4" fontId="123" fillId="42" borderId="43">
      <alignment vertical="center"/>
    </xf>
    <xf numFmtId="4" fontId="123" fillId="68" borderId="43">
      <alignment vertical="center"/>
    </xf>
    <xf numFmtId="4" fontId="123" fillId="68" borderId="43">
      <alignment vertical="center"/>
    </xf>
    <xf numFmtId="4" fontId="123" fillId="68" borderId="43">
      <alignment vertical="center"/>
    </xf>
    <xf numFmtId="165" fontId="123" fillId="68" borderId="43">
      <alignment vertical="center"/>
    </xf>
    <xf numFmtId="165" fontId="123" fillId="44" borderId="43">
      <alignment vertical="center"/>
    </xf>
    <xf numFmtId="165" fontId="123" fillId="42" borderId="43">
      <alignment vertical="center"/>
    </xf>
    <xf numFmtId="165" fontId="123" fillId="68" borderId="43">
      <alignment vertical="center"/>
    </xf>
    <xf numFmtId="165" fontId="123" fillId="68" borderId="43">
      <alignment vertical="center"/>
    </xf>
    <xf numFmtId="165" fontId="123" fillId="68" borderId="43">
      <alignment vertical="center"/>
    </xf>
    <xf numFmtId="164" fontId="123" fillId="68" borderId="43">
      <alignment vertical="center"/>
    </xf>
    <xf numFmtId="164" fontId="123" fillId="44" borderId="43">
      <alignment vertical="center"/>
    </xf>
    <xf numFmtId="164" fontId="123" fillId="42" borderId="43">
      <alignment vertical="center"/>
    </xf>
    <xf numFmtId="164" fontId="123" fillId="68" borderId="43">
      <alignment vertical="center"/>
    </xf>
    <xf numFmtId="164" fontId="123" fillId="68" borderId="43">
      <alignment vertical="center"/>
    </xf>
    <xf numFmtId="164" fontId="123" fillId="68" borderId="43">
      <alignment vertical="center"/>
    </xf>
    <xf numFmtId="3" fontId="123" fillId="68" borderId="43">
      <alignment vertical="center"/>
    </xf>
    <xf numFmtId="3" fontId="123" fillId="44" borderId="43">
      <alignment vertical="center"/>
    </xf>
    <xf numFmtId="3" fontId="123" fillId="42" borderId="43">
      <alignment vertical="center"/>
    </xf>
    <xf numFmtId="3" fontId="123" fillId="68" borderId="43">
      <alignment vertical="center"/>
    </xf>
    <xf numFmtId="3" fontId="123" fillId="68" borderId="43">
      <alignment vertical="center"/>
    </xf>
    <xf numFmtId="3" fontId="123" fillId="68" borderId="43">
      <alignment vertical="center"/>
    </xf>
    <xf numFmtId="0" fontId="124" fillId="68" borderId="43">
      <alignment vertical="center"/>
    </xf>
    <xf numFmtId="200" fontId="124" fillId="44" borderId="43">
      <alignment vertical="center"/>
    </xf>
    <xf numFmtId="200" fontId="125" fillId="42" borderId="43">
      <alignment vertical="center"/>
    </xf>
    <xf numFmtId="200" fontId="124" fillId="68" borderId="43">
      <alignment vertical="center"/>
    </xf>
    <xf numFmtId="200" fontId="124" fillId="68" borderId="43">
      <alignment vertical="center"/>
    </xf>
    <xf numFmtId="200" fontId="125" fillId="68" borderId="43">
      <alignment vertical="center"/>
    </xf>
    <xf numFmtId="0" fontId="124" fillId="68" borderId="43">
      <alignment vertical="center"/>
    </xf>
    <xf numFmtId="201" fontId="124" fillId="44" borderId="43">
      <alignment vertical="center"/>
    </xf>
    <xf numFmtId="201" fontId="125" fillId="42" borderId="43">
      <alignment vertical="center"/>
    </xf>
    <xf numFmtId="201" fontId="124" fillId="68" borderId="43">
      <alignment vertical="center"/>
    </xf>
    <xf numFmtId="201" fontId="124" fillId="68" borderId="43">
      <alignment vertical="center"/>
    </xf>
    <xf numFmtId="201" fontId="125" fillId="68" borderId="43">
      <alignment vertical="center"/>
    </xf>
    <xf numFmtId="0" fontId="124" fillId="68" borderId="43">
      <alignment vertical="center"/>
    </xf>
    <xf numFmtId="202" fontId="124" fillId="44" borderId="43">
      <alignment vertical="center"/>
    </xf>
    <xf numFmtId="202" fontId="125" fillId="42" borderId="43">
      <alignment vertical="center"/>
    </xf>
    <xf numFmtId="202" fontId="124" fillId="68" borderId="43">
      <alignment vertical="center"/>
    </xf>
    <xf numFmtId="202" fontId="124" fillId="68" borderId="43">
      <alignment vertical="center"/>
    </xf>
    <xf numFmtId="202" fontId="125" fillId="68" borderId="43">
      <alignment vertical="center"/>
    </xf>
    <xf numFmtId="191" fontId="126" fillId="68" borderId="43">
      <alignment vertical="center"/>
    </xf>
    <xf numFmtId="191" fontId="126" fillId="44" borderId="43">
      <alignment vertical="center"/>
    </xf>
    <xf numFmtId="191" fontId="126" fillId="42" borderId="43">
      <alignment vertical="center"/>
    </xf>
    <xf numFmtId="191" fontId="126" fillId="68" borderId="43">
      <alignment vertical="center"/>
    </xf>
    <xf numFmtId="191" fontId="126" fillId="68" borderId="43">
      <alignment vertical="center"/>
    </xf>
    <xf numFmtId="191" fontId="126" fillId="68" borderId="43">
      <alignment vertical="center"/>
    </xf>
    <xf numFmtId="192" fontId="126" fillId="68" borderId="43">
      <alignment vertical="center"/>
    </xf>
    <xf numFmtId="192" fontId="126" fillId="44" borderId="43">
      <alignment vertical="center"/>
    </xf>
    <xf numFmtId="192" fontId="126" fillId="42" borderId="43">
      <alignment vertical="center"/>
    </xf>
    <xf numFmtId="192" fontId="126" fillId="68" borderId="43">
      <alignment vertical="center"/>
    </xf>
    <xf numFmtId="192" fontId="126" fillId="68" borderId="43">
      <alignment vertical="center"/>
    </xf>
    <xf numFmtId="192" fontId="126" fillId="68" borderId="43">
      <alignment vertical="center"/>
    </xf>
    <xf numFmtId="193" fontId="126" fillId="68" borderId="43">
      <alignment vertical="center"/>
    </xf>
    <xf numFmtId="193" fontId="126" fillId="44" borderId="43">
      <alignment vertical="center"/>
    </xf>
    <xf numFmtId="193" fontId="126" fillId="42" borderId="43">
      <alignment vertical="center"/>
    </xf>
    <xf numFmtId="193" fontId="126" fillId="68" borderId="43">
      <alignment vertical="center"/>
    </xf>
    <xf numFmtId="193" fontId="126" fillId="68" borderId="43">
      <alignment vertical="center"/>
    </xf>
    <xf numFmtId="193" fontId="126" fillId="68" borderId="43">
      <alignment vertical="center"/>
    </xf>
    <xf numFmtId="167" fontId="127" fillId="68" borderId="43">
      <alignment vertical="center"/>
    </xf>
    <xf numFmtId="167" fontId="128" fillId="44" borderId="43">
      <alignment vertical="center"/>
    </xf>
    <xf numFmtId="167" fontId="129" fillId="42" borderId="43">
      <alignment vertical="center"/>
    </xf>
    <xf numFmtId="167" fontId="127" fillId="68" borderId="43">
      <alignment vertical="center"/>
    </xf>
    <xf numFmtId="167" fontId="130" fillId="68" borderId="43">
      <alignment vertical="center"/>
    </xf>
    <xf numFmtId="167" fontId="129" fillId="68" borderId="43">
      <alignment vertical="center"/>
    </xf>
    <xf numFmtId="194" fontId="127" fillId="68" borderId="43">
      <alignment vertical="center"/>
    </xf>
    <xf numFmtId="194" fontId="128" fillId="44" borderId="43">
      <alignment vertical="center"/>
    </xf>
    <xf numFmtId="194" fontId="129" fillId="42" borderId="43">
      <alignment vertical="center"/>
    </xf>
    <xf numFmtId="194" fontId="127" fillId="68" borderId="43">
      <alignment vertical="center"/>
    </xf>
    <xf numFmtId="194" fontId="130" fillId="68" borderId="43">
      <alignment vertical="center"/>
    </xf>
    <xf numFmtId="194" fontId="129" fillId="68" borderId="43">
      <alignment vertical="center"/>
    </xf>
    <xf numFmtId="173" fontId="127" fillId="68" borderId="43">
      <alignment vertical="center"/>
    </xf>
    <xf numFmtId="173" fontId="128" fillId="44" borderId="43">
      <alignment vertical="center"/>
    </xf>
    <xf numFmtId="173" fontId="129" fillId="42" borderId="43">
      <alignment vertical="center"/>
    </xf>
    <xf numFmtId="173" fontId="127" fillId="68" borderId="43">
      <alignment vertical="center"/>
    </xf>
    <xf numFmtId="173" fontId="130" fillId="68" borderId="43">
      <alignment vertical="center"/>
    </xf>
    <xf numFmtId="173" fontId="129" fillId="68" borderId="43">
      <alignment vertical="center"/>
    </xf>
    <xf numFmtId="0" fontId="131" fillId="68" borderId="43">
      <alignment vertical="center"/>
    </xf>
    <xf numFmtId="0" fontId="132" fillId="44" borderId="43">
      <alignment vertical="center"/>
    </xf>
    <xf numFmtId="0" fontId="132" fillId="42" borderId="43">
      <alignment vertical="center"/>
    </xf>
    <xf numFmtId="0" fontId="132" fillId="68" borderId="43">
      <alignment vertical="center"/>
    </xf>
    <xf numFmtId="0" fontId="132" fillId="68" borderId="43">
      <alignment vertical="center"/>
    </xf>
    <xf numFmtId="0" fontId="132" fillId="68" borderId="43">
      <alignment vertical="center"/>
    </xf>
    <xf numFmtId="0" fontId="131" fillId="68" borderId="43">
      <alignment horizontal="left" vertical="center"/>
    </xf>
    <xf numFmtId="0" fontId="131" fillId="44" borderId="43">
      <alignment horizontal="left" vertical="center"/>
    </xf>
    <xf numFmtId="0" fontId="131" fillId="42" borderId="43">
      <alignment horizontal="left" vertical="center"/>
    </xf>
    <xf numFmtId="0" fontId="131" fillId="68" borderId="43">
      <alignment horizontal="left" vertical="center"/>
    </xf>
    <xf numFmtId="0" fontId="131" fillId="68" borderId="43">
      <alignment horizontal="left" vertical="center"/>
    </xf>
    <xf numFmtId="0" fontId="131" fillId="68" borderId="43">
      <alignment horizontal="left" vertical="center"/>
    </xf>
    <xf numFmtId="166" fontId="133" fillId="81" borderId="43">
      <alignment vertical="center"/>
    </xf>
    <xf numFmtId="166" fontId="133" fillId="52" borderId="43">
      <alignment vertical="center"/>
    </xf>
    <xf numFmtId="166" fontId="133" fillId="75" borderId="43">
      <alignment vertical="center"/>
    </xf>
    <xf numFmtId="166" fontId="133" fillId="82" borderId="43">
      <alignment vertical="center"/>
    </xf>
    <xf numFmtId="166" fontId="133" fillId="81" borderId="43">
      <alignment vertical="center"/>
    </xf>
    <xf numFmtId="4" fontId="133" fillId="81" borderId="43">
      <alignment vertical="center"/>
    </xf>
    <xf numFmtId="4" fontId="133" fillId="52" borderId="43">
      <alignment vertical="center"/>
    </xf>
    <xf numFmtId="4" fontId="133" fillId="75" borderId="43">
      <alignment vertical="center"/>
    </xf>
    <xf numFmtId="4" fontId="133" fillId="82" borderId="43">
      <alignment vertical="center"/>
    </xf>
    <xf numFmtId="4" fontId="133" fillId="81" borderId="43">
      <alignment vertical="center"/>
    </xf>
    <xf numFmtId="165" fontId="133" fillId="81" borderId="43">
      <alignment vertical="center"/>
    </xf>
    <xf numFmtId="165" fontId="133" fillId="52" borderId="43">
      <alignment vertical="center"/>
    </xf>
    <xf numFmtId="165" fontId="133" fillId="75" borderId="43">
      <alignment vertical="center"/>
    </xf>
    <xf numFmtId="165" fontId="133" fillId="82" borderId="43">
      <alignment vertical="center"/>
    </xf>
    <xf numFmtId="165" fontId="133" fillId="81" borderId="43">
      <alignment vertical="center"/>
    </xf>
    <xf numFmtId="164" fontId="133" fillId="81" borderId="43">
      <alignment vertical="center"/>
    </xf>
    <xf numFmtId="164" fontId="133" fillId="52" borderId="43">
      <alignment vertical="center"/>
    </xf>
    <xf numFmtId="164" fontId="133" fillId="75" borderId="43">
      <alignment vertical="center"/>
    </xf>
    <xf numFmtId="164" fontId="133" fillId="82" borderId="43">
      <alignment vertical="center"/>
    </xf>
    <xf numFmtId="164" fontId="133" fillId="81" borderId="43">
      <alignment vertical="center"/>
    </xf>
    <xf numFmtId="3" fontId="133" fillId="81" borderId="43">
      <alignment vertical="center"/>
    </xf>
    <xf numFmtId="3" fontId="133" fillId="52" borderId="43">
      <alignment vertical="center"/>
    </xf>
    <xf numFmtId="3" fontId="133" fillId="75" borderId="43">
      <alignment vertical="center"/>
    </xf>
    <xf numFmtId="3" fontId="133" fillId="82" borderId="43">
      <alignment vertical="center"/>
    </xf>
    <xf numFmtId="3" fontId="133" fillId="81" borderId="43">
      <alignment vertical="center"/>
    </xf>
    <xf numFmtId="0" fontId="134" fillId="81" borderId="43">
      <alignment vertical="center"/>
    </xf>
    <xf numFmtId="200" fontId="134" fillId="52" borderId="43">
      <alignment vertical="center"/>
    </xf>
    <xf numFmtId="200" fontId="134" fillId="75" borderId="43">
      <alignment vertical="center"/>
    </xf>
    <xf numFmtId="200" fontId="134" fillId="82" borderId="43">
      <alignment vertical="center"/>
    </xf>
    <xf numFmtId="200" fontId="135" fillId="81" borderId="43">
      <alignment vertical="center"/>
    </xf>
    <xf numFmtId="0" fontId="134" fillId="81" borderId="43">
      <alignment vertical="center"/>
    </xf>
    <xf numFmtId="201" fontId="134" fillId="52" borderId="43">
      <alignment vertical="center"/>
    </xf>
    <xf numFmtId="201" fontId="134" fillId="75" borderId="43">
      <alignment vertical="center"/>
    </xf>
    <xf numFmtId="201" fontId="134" fillId="82" borderId="43">
      <alignment vertical="center"/>
    </xf>
    <xf numFmtId="201" fontId="135" fillId="81" borderId="43">
      <alignment vertical="center"/>
    </xf>
    <xf numFmtId="0" fontId="134" fillId="81" borderId="43">
      <alignment vertical="center"/>
    </xf>
    <xf numFmtId="202" fontId="134" fillId="52" borderId="43">
      <alignment vertical="center"/>
    </xf>
    <xf numFmtId="202" fontId="134" fillId="75" borderId="43">
      <alignment vertical="center"/>
    </xf>
    <xf numFmtId="202" fontId="134" fillId="82" borderId="43">
      <alignment vertical="center"/>
    </xf>
    <xf numFmtId="202" fontId="135" fillId="81" borderId="43">
      <alignment vertical="center"/>
    </xf>
    <xf numFmtId="191" fontId="136" fillId="81" borderId="43">
      <alignment vertical="center"/>
    </xf>
    <xf numFmtId="191" fontId="136" fillId="52" borderId="43">
      <alignment vertical="center"/>
    </xf>
    <xf numFmtId="191" fontId="136" fillId="75" borderId="43">
      <alignment vertical="center"/>
    </xf>
    <xf numFmtId="191" fontId="136" fillId="82" borderId="43">
      <alignment vertical="center"/>
    </xf>
    <xf numFmtId="191" fontId="136" fillId="81" borderId="43">
      <alignment vertical="center"/>
    </xf>
    <xf numFmtId="192" fontId="136" fillId="81" borderId="43">
      <alignment vertical="center"/>
    </xf>
    <xf numFmtId="192" fontId="136" fillId="52" borderId="43">
      <alignment vertical="center"/>
    </xf>
    <xf numFmtId="192" fontId="136" fillId="75" borderId="43">
      <alignment vertical="center"/>
    </xf>
    <xf numFmtId="192" fontId="136" fillId="82" borderId="43">
      <alignment vertical="center"/>
    </xf>
    <xf numFmtId="192" fontId="136" fillId="81" borderId="43">
      <alignment vertical="center"/>
    </xf>
    <xf numFmtId="193" fontId="136" fillId="81" borderId="43">
      <alignment vertical="center"/>
    </xf>
    <xf numFmtId="193" fontId="136" fillId="52" borderId="43">
      <alignment vertical="center"/>
    </xf>
    <xf numFmtId="193" fontId="136" fillId="75" borderId="43">
      <alignment vertical="center"/>
    </xf>
    <xf numFmtId="193" fontId="136" fillId="82" borderId="43">
      <alignment vertical="center"/>
    </xf>
    <xf numFmtId="193" fontId="136" fillId="81" borderId="43">
      <alignment vertical="center"/>
    </xf>
    <xf numFmtId="167" fontId="137" fillId="81" borderId="43">
      <alignment vertical="center"/>
    </xf>
    <xf numFmtId="167" fontId="138" fillId="52" borderId="43">
      <alignment vertical="center"/>
    </xf>
    <xf numFmtId="167" fontId="137" fillId="75" borderId="43">
      <alignment vertical="center"/>
    </xf>
    <xf numFmtId="167" fontId="139" fillId="82" borderId="43">
      <alignment vertical="center"/>
    </xf>
    <xf numFmtId="167" fontId="140" fillId="81" borderId="43">
      <alignment vertical="center"/>
    </xf>
    <xf numFmtId="194" fontId="137" fillId="81" borderId="43">
      <alignment vertical="center"/>
    </xf>
    <xf numFmtId="194" fontId="138" fillId="52" borderId="43">
      <alignment vertical="center"/>
    </xf>
    <xf numFmtId="194" fontId="137" fillId="75" borderId="43">
      <alignment vertical="center"/>
    </xf>
    <xf numFmtId="194" fontId="139" fillId="82" borderId="43">
      <alignment vertical="center"/>
    </xf>
    <xf numFmtId="194" fontId="140" fillId="81" borderId="43">
      <alignment vertical="center"/>
    </xf>
    <xf numFmtId="173" fontId="137" fillId="81" borderId="43">
      <alignment vertical="center"/>
    </xf>
    <xf numFmtId="173" fontId="138" fillId="52" borderId="43">
      <alignment vertical="center"/>
    </xf>
    <xf numFmtId="173" fontId="137" fillId="75" borderId="43">
      <alignment vertical="center"/>
    </xf>
    <xf numFmtId="173" fontId="139" fillId="82" borderId="43">
      <alignment vertical="center"/>
    </xf>
    <xf numFmtId="173" fontId="140" fillId="81" borderId="43">
      <alignment vertical="center"/>
    </xf>
    <xf numFmtId="0" fontId="141" fillId="81" borderId="43">
      <alignment vertical="center"/>
    </xf>
    <xf numFmtId="0" fontId="142" fillId="52" borderId="43">
      <alignment vertical="center"/>
    </xf>
    <xf numFmtId="0" fontId="142" fillId="75" borderId="43">
      <alignment vertical="center"/>
    </xf>
    <xf numFmtId="0" fontId="142" fillId="82" borderId="43">
      <alignment vertical="center"/>
    </xf>
    <xf numFmtId="0" fontId="142" fillId="81" borderId="43">
      <alignment vertical="center"/>
    </xf>
    <xf numFmtId="0" fontId="141" fillId="81" borderId="43">
      <alignment horizontal="left" vertical="center"/>
    </xf>
    <xf numFmtId="0" fontId="141" fillId="52" borderId="43">
      <alignment horizontal="left" vertical="center"/>
    </xf>
    <xf numFmtId="0" fontId="141" fillId="75" borderId="43">
      <alignment horizontal="left" vertical="center"/>
    </xf>
    <xf numFmtId="0" fontId="141" fillId="82" borderId="43">
      <alignment horizontal="left" vertical="center"/>
    </xf>
    <xf numFmtId="0" fontId="141" fillId="81" borderId="43">
      <alignment horizontal="left" vertical="center"/>
    </xf>
    <xf numFmtId="166" fontId="123" fillId="85" borderId="44">
      <alignment vertical="center"/>
    </xf>
    <xf numFmtId="166" fontId="123" fillId="76" borderId="44">
      <alignment vertical="center"/>
    </xf>
    <xf numFmtId="166" fontId="123" fillId="70" borderId="44">
      <alignment vertical="center"/>
    </xf>
    <xf numFmtId="166" fontId="123" fillId="42" borderId="44">
      <alignment vertical="center"/>
    </xf>
    <xf numFmtId="166" fontId="123" fillId="51" borderId="44">
      <alignment vertical="center"/>
    </xf>
    <xf numFmtId="166" fontId="123" fillId="85" borderId="44">
      <alignment vertical="center"/>
    </xf>
    <xf numFmtId="166" fontId="123" fillId="70" borderId="44">
      <alignment vertical="center"/>
    </xf>
    <xf numFmtId="166" fontId="123" fillId="42" borderId="44">
      <alignment vertical="center"/>
    </xf>
    <xf numFmtId="4" fontId="123" fillId="76" borderId="44">
      <alignment vertical="center"/>
    </xf>
    <xf numFmtId="4" fontId="123" fillId="70" borderId="44">
      <alignment vertical="center"/>
    </xf>
    <xf numFmtId="4" fontId="123" fillId="42" borderId="44">
      <alignment vertical="center"/>
    </xf>
    <xf numFmtId="4" fontId="123" fillId="51" borderId="44">
      <alignment vertical="center"/>
    </xf>
    <xf numFmtId="4" fontId="123" fillId="70" borderId="44">
      <alignment vertical="center"/>
    </xf>
    <xf numFmtId="4" fontId="123" fillId="42" borderId="44">
      <alignment vertical="center"/>
    </xf>
    <xf numFmtId="165" fontId="123" fillId="76" borderId="44">
      <alignment vertical="center"/>
    </xf>
    <xf numFmtId="165" fontId="123" fillId="70" borderId="44">
      <alignment vertical="center"/>
    </xf>
    <xf numFmtId="165" fontId="123" fillId="42" borderId="44">
      <alignment vertical="center"/>
    </xf>
    <xf numFmtId="165" fontId="123" fillId="51" borderId="44">
      <alignment vertical="center"/>
    </xf>
    <xf numFmtId="165" fontId="123" fillId="70" borderId="44">
      <alignment vertical="center"/>
    </xf>
    <xf numFmtId="165" fontId="123" fillId="42" borderId="44">
      <alignment vertical="center"/>
    </xf>
    <xf numFmtId="164" fontId="123" fillId="76" borderId="44">
      <alignment vertical="center"/>
    </xf>
    <xf numFmtId="164" fontId="123" fillId="70" borderId="44">
      <alignment vertical="center"/>
    </xf>
    <xf numFmtId="164" fontId="123" fillId="42" borderId="44">
      <alignment vertical="center"/>
    </xf>
    <xf numFmtId="164" fontId="123" fillId="51" borderId="44">
      <alignment vertical="center"/>
    </xf>
    <xf numFmtId="164" fontId="123" fillId="70" borderId="44">
      <alignment vertical="center"/>
    </xf>
    <xf numFmtId="164" fontId="123" fillId="42" borderId="44">
      <alignment vertical="center"/>
    </xf>
    <xf numFmtId="3" fontId="123" fillId="76" borderId="44">
      <alignment vertical="center"/>
    </xf>
    <xf numFmtId="3" fontId="123" fillId="70" borderId="44">
      <alignment vertical="center"/>
    </xf>
    <xf numFmtId="3" fontId="123" fillId="42" borderId="44">
      <alignment vertical="center"/>
    </xf>
    <xf numFmtId="3" fontId="123" fillId="51" borderId="44">
      <alignment vertical="center"/>
    </xf>
    <xf numFmtId="3" fontId="123" fillId="70" borderId="44">
      <alignment vertical="center"/>
    </xf>
    <xf numFmtId="3" fontId="123" fillId="42" borderId="44">
      <alignment vertical="center"/>
    </xf>
    <xf numFmtId="0" fontId="124" fillId="76" borderId="44">
      <alignment vertical="center"/>
    </xf>
    <xf numFmtId="200" fontId="124" fillId="70" borderId="44">
      <alignment vertical="center"/>
    </xf>
    <xf numFmtId="200" fontId="125" fillId="42" borderId="44">
      <alignment vertical="center"/>
    </xf>
    <xf numFmtId="200" fontId="124" fillId="51" borderId="44">
      <alignment vertical="center"/>
    </xf>
    <xf numFmtId="200" fontId="124" fillId="70" borderId="44">
      <alignment vertical="center"/>
    </xf>
    <xf numFmtId="200" fontId="125" fillId="42" borderId="44">
      <alignment vertical="center"/>
    </xf>
    <xf numFmtId="0" fontId="124" fillId="76" borderId="44">
      <alignment vertical="center"/>
    </xf>
    <xf numFmtId="201" fontId="124" fillId="70" borderId="44">
      <alignment vertical="center"/>
    </xf>
    <xf numFmtId="201" fontId="125" fillId="42" borderId="44">
      <alignment vertical="center"/>
    </xf>
    <xf numFmtId="201" fontId="124" fillId="51" borderId="44">
      <alignment vertical="center"/>
    </xf>
    <xf numFmtId="201" fontId="124" fillId="70" borderId="44">
      <alignment vertical="center"/>
    </xf>
    <xf numFmtId="201" fontId="125" fillId="42" borderId="44">
      <alignment vertical="center"/>
    </xf>
    <xf numFmtId="0" fontId="124" fillId="76" borderId="44">
      <alignment vertical="center"/>
    </xf>
    <xf numFmtId="202" fontId="124" fillId="70" borderId="44">
      <alignment vertical="center"/>
    </xf>
    <xf numFmtId="202" fontId="125" fillId="42" borderId="44">
      <alignment vertical="center"/>
    </xf>
    <xf numFmtId="202" fontId="124" fillId="51" borderId="44">
      <alignment vertical="center"/>
    </xf>
    <xf numFmtId="202" fontId="124" fillId="70" borderId="44">
      <alignment vertical="center"/>
    </xf>
    <xf numFmtId="202" fontId="125" fillId="42" borderId="44">
      <alignment vertical="center"/>
    </xf>
    <xf numFmtId="191" fontId="126" fillId="76" borderId="44">
      <alignment vertical="center"/>
    </xf>
    <xf numFmtId="191" fontId="126" fillId="70" borderId="44">
      <alignment vertical="center"/>
    </xf>
    <xf numFmtId="191" fontId="126" fillId="42" borderId="44">
      <alignment vertical="center"/>
    </xf>
    <xf numFmtId="191" fontId="126" fillId="51" borderId="44">
      <alignment vertical="center"/>
    </xf>
    <xf numFmtId="191" fontId="126" fillId="70" borderId="44">
      <alignment vertical="center"/>
    </xf>
    <xf numFmtId="191" fontId="126" fillId="42" borderId="44">
      <alignment vertical="center"/>
    </xf>
    <xf numFmtId="192" fontId="126" fillId="76" borderId="44">
      <alignment vertical="center"/>
    </xf>
    <xf numFmtId="192" fontId="126" fillId="70" borderId="44">
      <alignment vertical="center"/>
    </xf>
    <xf numFmtId="192" fontId="126" fillId="42" borderId="44">
      <alignment vertical="center"/>
    </xf>
    <xf numFmtId="192" fontId="126" fillId="51" borderId="44">
      <alignment vertical="center"/>
    </xf>
    <xf numFmtId="192" fontId="126" fillId="70" borderId="44">
      <alignment vertical="center"/>
    </xf>
    <xf numFmtId="192" fontId="126" fillId="42" borderId="44">
      <alignment vertical="center"/>
    </xf>
    <xf numFmtId="193" fontId="126" fillId="76" borderId="44">
      <alignment vertical="center"/>
    </xf>
    <xf numFmtId="193" fontId="126" fillId="70" borderId="44">
      <alignment vertical="center"/>
    </xf>
    <xf numFmtId="193" fontId="126" fillId="42" borderId="44">
      <alignment vertical="center"/>
    </xf>
    <xf numFmtId="193" fontId="126" fillId="51" borderId="44">
      <alignment vertical="center"/>
    </xf>
    <xf numFmtId="193" fontId="126" fillId="70" borderId="44">
      <alignment vertical="center"/>
    </xf>
    <xf numFmtId="193" fontId="126" fillId="42" borderId="44">
      <alignment vertical="center"/>
    </xf>
    <xf numFmtId="167" fontId="127" fillId="76" borderId="44">
      <alignment vertical="center"/>
    </xf>
    <xf numFmtId="167" fontId="128" fillId="70" borderId="44">
      <alignment vertical="center"/>
    </xf>
    <xf numFmtId="167" fontId="129" fillId="42" borderId="44">
      <alignment vertical="center"/>
    </xf>
    <xf numFmtId="167" fontId="127" fillId="51" borderId="44">
      <alignment vertical="center"/>
    </xf>
    <xf numFmtId="167" fontId="130" fillId="70" borderId="44">
      <alignment vertical="center"/>
    </xf>
    <xf numFmtId="167" fontId="129" fillId="42" borderId="44">
      <alignment vertical="center"/>
    </xf>
    <xf numFmtId="194" fontId="127" fillId="76" borderId="44">
      <alignment vertical="center"/>
    </xf>
    <xf numFmtId="194" fontId="128" fillId="70" borderId="44">
      <alignment vertical="center"/>
    </xf>
    <xf numFmtId="194" fontId="129" fillId="42" borderId="44">
      <alignment vertical="center"/>
    </xf>
    <xf numFmtId="194" fontId="127" fillId="51" borderId="44">
      <alignment vertical="center"/>
    </xf>
    <xf numFmtId="194" fontId="130" fillId="70" borderId="44">
      <alignment vertical="center"/>
    </xf>
    <xf numFmtId="194" fontId="129" fillId="42" borderId="44">
      <alignment vertical="center"/>
    </xf>
    <xf numFmtId="173" fontId="127" fillId="76" borderId="44">
      <alignment vertical="center"/>
    </xf>
    <xf numFmtId="173" fontId="128" fillId="70" borderId="44">
      <alignment vertical="center"/>
    </xf>
    <xf numFmtId="173" fontId="129" fillId="42" borderId="44">
      <alignment vertical="center"/>
    </xf>
    <xf numFmtId="173" fontId="127" fillId="51" borderId="44">
      <alignment vertical="center"/>
    </xf>
    <xf numFmtId="173" fontId="130" fillId="70" borderId="44">
      <alignment vertical="center"/>
    </xf>
    <xf numFmtId="173" fontId="129" fillId="42" borderId="44">
      <alignment vertical="center"/>
    </xf>
    <xf numFmtId="0" fontId="131" fillId="76" borderId="44">
      <alignment vertical="center"/>
    </xf>
    <xf numFmtId="0" fontId="132" fillId="70" borderId="44">
      <alignment vertical="center"/>
    </xf>
    <xf numFmtId="0" fontId="132" fillId="42" borderId="44">
      <alignment vertical="center"/>
    </xf>
    <xf numFmtId="0" fontId="132" fillId="51" borderId="44">
      <alignment vertical="center"/>
    </xf>
    <xf numFmtId="0" fontId="132" fillId="70" borderId="44">
      <alignment vertical="center"/>
    </xf>
    <xf numFmtId="0" fontId="132" fillId="42" borderId="44">
      <alignment vertical="center"/>
    </xf>
    <xf numFmtId="0" fontId="131" fillId="76" borderId="44">
      <alignment horizontal="left" vertical="center"/>
    </xf>
    <xf numFmtId="0" fontId="131" fillId="70" borderId="44">
      <alignment horizontal="left" vertical="center"/>
    </xf>
    <xf numFmtId="0" fontId="131" fillId="42" borderId="44">
      <alignment horizontal="left" vertical="center"/>
    </xf>
    <xf numFmtId="0" fontId="131" fillId="51" borderId="44">
      <alignment horizontal="left" vertical="center"/>
    </xf>
    <xf numFmtId="0" fontId="131" fillId="70" borderId="44">
      <alignment horizontal="left" vertical="center"/>
    </xf>
    <xf numFmtId="0" fontId="131" fillId="42" borderId="44">
      <alignment horizontal="left" vertical="center"/>
    </xf>
    <xf numFmtId="166" fontId="133" fillId="86" borderId="44">
      <alignment vertical="center"/>
    </xf>
    <xf numFmtId="166" fontId="133" fillId="49" borderId="44">
      <alignment vertical="center"/>
    </xf>
    <xf numFmtId="166" fontId="133" fillId="49" borderId="44">
      <alignment vertical="center"/>
    </xf>
    <xf numFmtId="166" fontId="133" fillId="61" borderId="44">
      <alignment vertical="center"/>
    </xf>
    <xf numFmtId="166" fontId="133" fillId="49" borderId="44">
      <alignment vertical="center"/>
    </xf>
    <xf numFmtId="166" fontId="133" fillId="86" borderId="44">
      <alignment vertical="center"/>
    </xf>
    <xf numFmtId="166" fontId="133" fillId="75" borderId="44">
      <alignment vertical="center"/>
    </xf>
    <xf numFmtId="166" fontId="133" fillId="61" borderId="44">
      <alignment vertical="center"/>
    </xf>
    <xf numFmtId="4" fontId="133" fillId="49" borderId="44">
      <alignment vertical="center"/>
    </xf>
    <xf numFmtId="4" fontId="133" fillId="49" borderId="44">
      <alignment vertical="center"/>
    </xf>
    <xf numFmtId="4" fontId="133" fillId="61" borderId="44">
      <alignment vertical="center"/>
    </xf>
    <xf numFmtId="4" fontId="133" fillId="49" borderId="44">
      <alignment vertical="center"/>
    </xf>
    <xf numFmtId="4" fontId="133" fillId="75" borderId="44">
      <alignment vertical="center"/>
    </xf>
    <xf numFmtId="4" fontId="133" fillId="61" borderId="44">
      <alignment vertical="center"/>
    </xf>
    <xf numFmtId="165" fontId="133" fillId="49" borderId="44">
      <alignment vertical="center"/>
    </xf>
    <xf numFmtId="165" fontId="133" fillId="49" borderId="44">
      <alignment vertical="center"/>
    </xf>
    <xf numFmtId="165" fontId="133" fillId="61" borderId="44">
      <alignment vertical="center"/>
    </xf>
    <xf numFmtId="165" fontId="133" fillId="49" borderId="44">
      <alignment vertical="center"/>
    </xf>
    <xf numFmtId="165" fontId="133" fillId="75" borderId="44">
      <alignment vertical="center"/>
    </xf>
    <xf numFmtId="165" fontId="133" fillId="61" borderId="44">
      <alignment vertical="center"/>
    </xf>
    <xf numFmtId="164" fontId="133" fillId="49" borderId="44">
      <alignment vertical="center"/>
    </xf>
    <xf numFmtId="164" fontId="133" fillId="49" borderId="44">
      <alignment vertical="center"/>
    </xf>
    <xf numFmtId="164" fontId="133" fillId="61" borderId="44">
      <alignment vertical="center"/>
    </xf>
    <xf numFmtId="164" fontId="133" fillId="49" borderId="44">
      <alignment vertical="center"/>
    </xf>
    <xf numFmtId="164" fontId="133" fillId="75" borderId="44">
      <alignment vertical="center"/>
    </xf>
    <xf numFmtId="164" fontId="133" fillId="61" borderId="44">
      <alignment vertical="center"/>
    </xf>
    <xf numFmtId="3" fontId="133" fillId="49" borderId="44">
      <alignment vertical="center"/>
    </xf>
    <xf numFmtId="3" fontId="133" fillId="49" borderId="44">
      <alignment vertical="center"/>
    </xf>
    <xf numFmtId="3" fontId="133" fillId="61" borderId="44">
      <alignment vertical="center"/>
    </xf>
    <xf numFmtId="3" fontId="133" fillId="49" borderId="44">
      <alignment vertical="center"/>
    </xf>
    <xf numFmtId="3" fontId="133" fillId="75" borderId="44">
      <alignment vertical="center"/>
    </xf>
    <xf numFmtId="3" fontId="133" fillId="61" borderId="44">
      <alignment vertical="center"/>
    </xf>
    <xf numFmtId="0" fontId="134" fillId="49" borderId="44">
      <alignment vertical="center"/>
    </xf>
    <xf numFmtId="200" fontId="134" fillId="49" borderId="44">
      <alignment vertical="center"/>
    </xf>
    <xf numFmtId="200" fontId="135" fillId="61" borderId="44">
      <alignment vertical="center"/>
    </xf>
    <xf numFmtId="200" fontId="134" fillId="49" borderId="44">
      <alignment vertical="center"/>
    </xf>
    <xf numFmtId="200" fontId="134" fillId="75" borderId="44">
      <alignment vertical="center"/>
    </xf>
    <xf numFmtId="200" fontId="135" fillId="61" borderId="44">
      <alignment vertical="center"/>
    </xf>
    <xf numFmtId="0" fontId="134" fillId="49" borderId="44">
      <alignment vertical="center"/>
    </xf>
    <xf numFmtId="201" fontId="134" fillId="49" borderId="44">
      <alignment vertical="center"/>
    </xf>
    <xf numFmtId="201" fontId="135" fillId="61" borderId="44">
      <alignment vertical="center"/>
    </xf>
    <xf numFmtId="201" fontId="134" fillId="49" borderId="44">
      <alignment vertical="center"/>
    </xf>
    <xf numFmtId="201" fontId="134" fillId="75" borderId="44">
      <alignment vertical="center"/>
    </xf>
    <xf numFmtId="201" fontId="135" fillId="61" borderId="44">
      <alignment vertical="center"/>
    </xf>
    <xf numFmtId="0" fontId="134" fillId="49" borderId="44">
      <alignment vertical="center"/>
    </xf>
    <xf numFmtId="202" fontId="134" fillId="49" borderId="44">
      <alignment vertical="center"/>
    </xf>
    <xf numFmtId="202" fontId="135" fillId="61" borderId="44">
      <alignment vertical="center"/>
    </xf>
    <xf numFmtId="202" fontId="134" fillId="49" borderId="44">
      <alignment vertical="center"/>
    </xf>
    <xf numFmtId="202" fontId="134" fillId="75" borderId="44">
      <alignment vertical="center"/>
    </xf>
    <xf numFmtId="202" fontId="135" fillId="61" borderId="44">
      <alignment vertical="center"/>
    </xf>
    <xf numFmtId="191" fontId="136" fillId="49" borderId="44">
      <alignment vertical="center"/>
    </xf>
    <xf numFmtId="191" fontId="136" fillId="49" borderId="44">
      <alignment vertical="center"/>
    </xf>
    <xf numFmtId="191" fontId="136" fillId="61" borderId="44">
      <alignment vertical="center"/>
    </xf>
    <xf numFmtId="191" fontId="136" fillId="49" borderId="44">
      <alignment vertical="center"/>
    </xf>
    <xf numFmtId="191" fontId="136" fillId="75" borderId="44">
      <alignment vertical="center"/>
    </xf>
    <xf numFmtId="191" fontId="136" fillId="61" borderId="44">
      <alignment vertical="center"/>
    </xf>
    <xf numFmtId="192" fontId="136" fillId="49" borderId="44">
      <alignment vertical="center"/>
    </xf>
    <xf numFmtId="192" fontId="136" fillId="49" borderId="44">
      <alignment vertical="center"/>
    </xf>
    <xf numFmtId="192" fontId="136" fillId="61" borderId="44">
      <alignment vertical="center"/>
    </xf>
    <xf numFmtId="192" fontId="136" fillId="49" borderId="44">
      <alignment vertical="center"/>
    </xf>
    <xf numFmtId="192" fontId="136" fillId="75" borderId="44">
      <alignment vertical="center"/>
    </xf>
    <xf numFmtId="192" fontId="136" fillId="61" borderId="44">
      <alignment vertical="center"/>
    </xf>
    <xf numFmtId="193" fontId="136" fillId="49" borderId="44">
      <alignment vertical="center"/>
    </xf>
    <xf numFmtId="193" fontId="136" fillId="49" borderId="44">
      <alignment vertical="center"/>
    </xf>
    <xf numFmtId="193" fontId="136" fillId="61" borderId="44">
      <alignment vertical="center"/>
    </xf>
    <xf numFmtId="193" fontId="136" fillId="49" borderId="44">
      <alignment vertical="center"/>
    </xf>
    <xf numFmtId="193" fontId="136" fillId="75" borderId="44">
      <alignment vertical="center"/>
    </xf>
    <xf numFmtId="193" fontId="136" fillId="61" borderId="44">
      <alignment vertical="center"/>
    </xf>
    <xf numFmtId="167" fontId="137" fillId="49" borderId="44">
      <alignment vertical="center"/>
    </xf>
    <xf numFmtId="167" fontId="138" fillId="49" borderId="44">
      <alignment vertical="center"/>
    </xf>
    <xf numFmtId="167" fontId="140" fillId="61" borderId="44">
      <alignment vertical="center"/>
    </xf>
    <xf numFmtId="167" fontId="137" fillId="49" borderId="44">
      <alignment vertical="center"/>
    </xf>
    <xf numFmtId="167" fontId="139" fillId="75" borderId="44">
      <alignment vertical="center"/>
    </xf>
    <xf numFmtId="167" fontId="140" fillId="61" borderId="44">
      <alignment vertical="center"/>
    </xf>
    <xf numFmtId="194" fontId="137" fillId="49" borderId="44">
      <alignment vertical="center"/>
    </xf>
    <xf numFmtId="194" fontId="138" fillId="49" borderId="44">
      <alignment vertical="center"/>
    </xf>
    <xf numFmtId="194" fontId="140" fillId="61" borderId="44">
      <alignment vertical="center"/>
    </xf>
    <xf numFmtId="194" fontId="137" fillId="49" borderId="44">
      <alignment vertical="center"/>
    </xf>
    <xf numFmtId="194" fontId="139" fillId="75" borderId="44">
      <alignment vertical="center"/>
    </xf>
    <xf numFmtId="194" fontId="140" fillId="61" borderId="44">
      <alignment vertical="center"/>
    </xf>
    <xf numFmtId="173" fontId="137" fillId="49" borderId="44">
      <alignment vertical="center"/>
    </xf>
    <xf numFmtId="173" fontId="138" fillId="49" borderId="44">
      <alignment vertical="center"/>
    </xf>
    <xf numFmtId="173" fontId="140" fillId="61" borderId="44">
      <alignment vertical="center"/>
    </xf>
    <xf numFmtId="173" fontId="137" fillId="49" borderId="44">
      <alignment vertical="center"/>
    </xf>
    <xf numFmtId="173" fontId="139" fillId="75" borderId="44">
      <alignment vertical="center"/>
    </xf>
    <xf numFmtId="173" fontId="140" fillId="61" borderId="44">
      <alignment vertical="center"/>
    </xf>
    <xf numFmtId="0" fontId="141" fillId="49" borderId="44">
      <alignment vertical="center"/>
    </xf>
    <xf numFmtId="0" fontId="142" fillId="49" borderId="44">
      <alignment vertical="center"/>
    </xf>
    <xf numFmtId="0" fontId="142" fillId="61" borderId="44">
      <alignment vertical="center"/>
    </xf>
    <xf numFmtId="0" fontId="142" fillId="49" borderId="44">
      <alignment vertical="center"/>
    </xf>
    <xf numFmtId="0" fontId="142" fillId="75" borderId="44">
      <alignment vertical="center"/>
    </xf>
    <xf numFmtId="0" fontId="142" fillId="61" borderId="44">
      <alignment vertical="center"/>
    </xf>
    <xf numFmtId="0" fontId="141" fillId="49" borderId="44">
      <alignment horizontal="left" vertical="center"/>
    </xf>
    <xf numFmtId="0" fontId="141" fillId="49" borderId="44">
      <alignment horizontal="left" vertical="center"/>
    </xf>
    <xf numFmtId="0" fontId="141" fillId="61" borderId="44">
      <alignment horizontal="left" vertical="center"/>
    </xf>
    <xf numFmtId="0" fontId="141" fillId="49" borderId="44">
      <alignment horizontal="left" vertical="center"/>
    </xf>
    <xf numFmtId="0" fontId="141" fillId="75" borderId="44">
      <alignment horizontal="left" vertical="center"/>
    </xf>
    <xf numFmtId="0" fontId="141" fillId="61" borderId="44">
      <alignment horizontal="left" vertical="center"/>
    </xf>
    <xf numFmtId="0" fontId="168" fillId="41" borderId="0">
      <alignment horizontal="left" vertical="center"/>
    </xf>
    <xf numFmtId="0" fontId="168" fillId="65" borderId="0">
      <alignment horizontal="left" vertical="center"/>
    </xf>
    <xf numFmtId="0" fontId="168" fillId="61" borderId="0">
      <alignment horizontal="left" vertical="center"/>
    </xf>
    <xf numFmtId="0" fontId="168" fillId="41" borderId="0">
      <alignment horizontal="left" vertical="center"/>
    </xf>
    <xf numFmtId="0" fontId="168" fillId="65" borderId="0">
      <alignment horizontal="left" vertical="center"/>
    </xf>
    <xf numFmtId="49" fontId="168" fillId="87" borderId="14">
      <alignment vertical="center" wrapText="1"/>
    </xf>
    <xf numFmtId="49" fontId="168" fillId="50" borderId="14">
      <alignment vertical="center" wrapText="1"/>
    </xf>
    <xf numFmtId="49" fontId="168" fillId="50" borderId="14">
      <alignment vertical="center" wrapText="1"/>
    </xf>
    <xf numFmtId="49" fontId="168" fillId="68" borderId="14">
      <alignment vertical="center" wrapText="1"/>
    </xf>
    <xf numFmtId="49" fontId="168" fillId="50" borderId="14">
      <alignment vertical="center" wrapText="1"/>
    </xf>
    <xf numFmtId="49" fontId="168" fillId="87" borderId="14">
      <alignment vertical="center" wrapText="1"/>
    </xf>
    <xf numFmtId="49" fontId="168" fillId="50" borderId="14">
      <alignment vertical="center" wrapText="1"/>
    </xf>
    <xf numFmtId="49" fontId="168" fillId="44" borderId="14">
      <alignment vertical="center" wrapText="1"/>
    </xf>
    <xf numFmtId="0" fontId="168" fillId="43" borderId="14">
      <alignment horizontal="left" vertical="center" wrapText="1"/>
    </xf>
    <xf numFmtId="0" fontId="168" fillId="43" borderId="14">
      <alignment horizontal="left" vertical="center" wrapText="1"/>
    </xf>
    <xf numFmtId="0" fontId="168" fillId="43" borderId="14">
      <alignment horizontal="left" vertical="center" wrapText="1"/>
    </xf>
    <xf numFmtId="0" fontId="168" fillId="43" borderId="14">
      <alignment horizontal="left" vertical="center" wrapText="1"/>
    </xf>
    <xf numFmtId="0" fontId="180" fillId="43" borderId="14">
      <alignment horizontal="left" vertical="center" wrapText="1"/>
    </xf>
    <xf numFmtId="0" fontId="180" fillId="43" borderId="14">
      <alignment horizontal="left" vertical="center" wrapText="1"/>
    </xf>
    <xf numFmtId="0" fontId="180" fillId="43" borderId="14">
      <alignment horizontal="left" vertical="center" wrapText="1"/>
    </xf>
    <xf numFmtId="0" fontId="180" fillId="43" borderId="14">
      <alignment horizontal="left" vertical="center" wrapText="1"/>
    </xf>
    <xf numFmtId="0" fontId="168" fillId="68" borderId="45">
      <alignment horizontal="left" vertical="center" wrapText="1"/>
    </xf>
    <xf numFmtId="0" fontId="168" fillId="88" borderId="14">
      <alignment horizontal="left" vertical="center" wrapText="1"/>
    </xf>
    <xf numFmtId="0" fontId="168" fillId="44" borderId="14">
      <alignment horizontal="left" vertical="center" wrapText="1"/>
    </xf>
    <xf numFmtId="0" fontId="168" fillId="88" borderId="14">
      <alignment horizontal="left" vertical="center" wrapText="1"/>
    </xf>
    <xf numFmtId="0" fontId="168" fillId="66" borderId="14">
      <alignment horizontal="left" vertical="center" wrapText="1"/>
    </xf>
    <xf numFmtId="0" fontId="196" fillId="61" borderId="14">
      <alignment horizontal="left" vertical="center" wrapText="1"/>
    </xf>
    <xf numFmtId="0" fontId="196" fillId="61" borderId="14">
      <alignment horizontal="left" vertical="center" wrapText="1"/>
    </xf>
    <xf numFmtId="0" fontId="196" fillId="60" borderId="14">
      <alignment horizontal="left" vertical="center" wrapText="1"/>
    </xf>
    <xf numFmtId="0" fontId="196" fillId="89" borderId="14">
      <alignment horizontal="left" vertical="center" wrapText="1"/>
    </xf>
    <xf numFmtId="0" fontId="196" fillId="54" borderId="14">
      <alignment horizontal="left" vertical="center" wrapText="1"/>
    </xf>
    <xf numFmtId="49" fontId="197" fillId="81" borderId="46">
      <alignment vertical="center"/>
    </xf>
    <xf numFmtId="49" fontId="198" fillId="81" borderId="30">
      <alignment vertical="center"/>
    </xf>
    <xf numFmtId="49" fontId="199" fillId="81" borderId="30">
      <alignment vertical="center"/>
    </xf>
    <xf numFmtId="49" fontId="199" fillId="81" borderId="30">
      <alignment vertical="center"/>
    </xf>
    <xf numFmtId="49" fontId="198" fillId="81" borderId="30">
      <alignment vertical="center"/>
    </xf>
    <xf numFmtId="0" fontId="200" fillId="81" borderId="47">
      <alignment horizontal="left" vertical="center" wrapText="1"/>
    </xf>
    <xf numFmtId="0" fontId="200" fillId="81" borderId="0">
      <alignment horizontal="left" vertical="center" wrapText="1"/>
    </xf>
    <xf numFmtId="0" fontId="200" fillId="81" borderId="0">
      <alignment horizontal="left" vertical="center" wrapText="1"/>
    </xf>
    <xf numFmtId="0" fontId="200" fillId="81" borderId="0">
      <alignment horizontal="left" vertical="center" wrapText="1"/>
    </xf>
    <xf numFmtId="0" fontId="200" fillId="81" borderId="0">
      <alignment horizontal="left" vertical="center" wrapText="1"/>
    </xf>
    <xf numFmtId="49" fontId="168" fillId="51" borderId="0">
      <alignment vertical="center" wrapText="1"/>
    </xf>
    <xf numFmtId="49" fontId="168" fillId="42" borderId="30">
      <alignment vertical="center" wrapText="1"/>
    </xf>
    <xf numFmtId="49" fontId="168" fillId="83" borderId="30">
      <alignment vertical="center" wrapText="1"/>
    </xf>
    <xf numFmtId="49" fontId="168" fillId="42" borderId="30">
      <alignment vertical="center" wrapText="1"/>
    </xf>
    <xf numFmtId="49" fontId="168" fillId="83" borderId="30">
      <alignment vertical="center" wrapText="1"/>
    </xf>
    <xf numFmtId="0" fontId="168" fillId="64" borderId="14">
      <alignment horizontal="left" vertical="center" wrapText="1"/>
    </xf>
    <xf numFmtId="0" fontId="168" fillId="62" borderId="14">
      <alignment horizontal="left" vertical="center" wrapText="1"/>
    </xf>
    <xf numFmtId="0" fontId="168" fillId="44" borderId="14">
      <alignment horizontal="left" vertical="center" wrapText="1"/>
    </xf>
    <xf numFmtId="0" fontId="168" fillId="84" borderId="14">
      <alignment horizontal="left" vertical="center" wrapText="1"/>
    </xf>
    <xf numFmtId="0" fontId="168" fillId="62" borderId="14">
      <alignment horizontal="left" vertical="center" wrapText="1"/>
    </xf>
    <xf numFmtId="0" fontId="168" fillId="62" borderId="14">
      <alignment horizontal="left" vertical="center" wrapText="1"/>
    </xf>
    <xf numFmtId="0" fontId="168" fillId="42" borderId="14">
      <alignment horizontal="left" vertical="center" wrapText="1"/>
    </xf>
    <xf numFmtId="0" fontId="168" fillId="64" borderId="14">
      <alignment horizontal="left" vertical="center" wrapText="1"/>
    </xf>
    <xf numFmtId="0" fontId="168" fillId="50" borderId="14">
      <alignment horizontal="left" vertical="center" wrapText="1"/>
    </xf>
    <xf numFmtId="0" fontId="168" fillId="60" borderId="14">
      <alignment horizontal="left" vertical="center" wrapText="1"/>
    </xf>
    <xf numFmtId="0" fontId="168" fillId="57" borderId="14">
      <alignment horizontal="left" vertical="center" wrapText="1"/>
    </xf>
    <xf numFmtId="0" fontId="168" fillId="67" borderId="14">
      <alignment horizontal="left" vertical="center" wrapText="1"/>
    </xf>
    <xf numFmtId="0" fontId="168" fillId="57" borderId="14">
      <alignment horizontal="left" vertical="center" wrapText="1"/>
    </xf>
    <xf numFmtId="0" fontId="168" fillId="38" borderId="14">
      <alignment horizontal="left" vertical="center" wrapText="1"/>
    </xf>
    <xf numFmtId="0" fontId="168" fillId="62" borderId="14">
      <alignment horizontal="left" vertical="center" wrapText="1"/>
    </xf>
    <xf numFmtId="0" fontId="168" fillId="57" borderId="14">
      <alignment horizontal="left" vertical="center" wrapText="1"/>
    </xf>
    <xf numFmtId="0" fontId="168" fillId="38" borderId="14">
      <alignment horizontal="left" vertical="center" wrapText="1"/>
    </xf>
    <xf numFmtId="0" fontId="168" fillId="38" borderId="14">
      <alignment horizontal="left" vertical="center" wrapText="1"/>
    </xf>
    <xf numFmtId="0" fontId="168" fillId="38" borderId="14">
      <alignment horizontal="left" vertical="center" wrapText="1"/>
    </xf>
    <xf numFmtId="0" fontId="168" fillId="38" borderId="14">
      <alignment horizontal="left" vertical="center" wrapText="1"/>
    </xf>
    <xf numFmtId="49" fontId="198" fillId="47" borderId="46">
      <alignment vertical="center"/>
    </xf>
    <xf numFmtId="49" fontId="201" fillId="47" borderId="30">
      <alignment vertical="center"/>
    </xf>
    <xf numFmtId="49" fontId="201" fillId="47" borderId="30">
      <alignment vertical="center"/>
    </xf>
    <xf numFmtId="49" fontId="201" fillId="47" borderId="30">
      <alignment vertical="center"/>
    </xf>
    <xf numFmtId="49" fontId="201" fillId="47" borderId="30">
      <alignment vertical="center"/>
    </xf>
    <xf numFmtId="0" fontId="200" fillId="47" borderId="47">
      <alignment horizontal="left" vertical="center" wrapText="1"/>
    </xf>
    <xf numFmtId="0" fontId="200" fillId="47" borderId="0">
      <alignment horizontal="left" vertical="center" wrapText="1"/>
    </xf>
    <xf numFmtId="0" fontId="200" fillId="47" borderId="0">
      <alignment horizontal="left" vertical="center" wrapText="1"/>
    </xf>
    <xf numFmtId="0" fontId="200" fillId="47" borderId="0">
      <alignment horizontal="left" vertical="center" wrapText="1"/>
    </xf>
    <xf numFmtId="0" fontId="200" fillId="47" borderId="0">
      <alignment horizontal="left" vertical="center" wrapText="1"/>
    </xf>
    <xf numFmtId="49" fontId="197" fillId="52" borderId="46">
      <alignment vertical="center"/>
    </xf>
    <xf numFmtId="49" fontId="198" fillId="49" borderId="30">
      <alignment vertical="center"/>
    </xf>
    <xf numFmtId="49" fontId="199" fillId="54" borderId="30">
      <alignment vertical="center"/>
    </xf>
    <xf numFmtId="49" fontId="199" fillId="54" borderId="30">
      <alignment vertical="center"/>
    </xf>
    <xf numFmtId="49" fontId="198" fillId="49" borderId="30">
      <alignment vertical="center"/>
    </xf>
    <xf numFmtId="0" fontId="200" fillId="52" borderId="47">
      <alignment horizontal="left" vertical="center" wrapText="1"/>
    </xf>
    <xf numFmtId="0" fontId="200" fillId="49" borderId="0">
      <alignment horizontal="left" vertical="center" wrapText="1"/>
    </xf>
    <xf numFmtId="0" fontId="200" fillId="54" borderId="0">
      <alignment horizontal="left" vertical="center" wrapText="1"/>
    </xf>
    <xf numFmtId="0" fontId="200" fillId="54" borderId="0">
      <alignment horizontal="left" vertical="center" wrapText="1"/>
    </xf>
    <xf numFmtId="0" fontId="200" fillId="49" borderId="0">
      <alignment horizontal="left" vertical="center" wrapText="1"/>
    </xf>
    <xf numFmtId="0" fontId="168" fillId="59" borderId="0"/>
    <xf numFmtId="0" fontId="149" fillId="0" borderId="0"/>
    <xf numFmtId="0" fontId="91" fillId="0" borderId="0"/>
    <xf numFmtId="0" fontId="202" fillId="0" borderId="0"/>
    <xf numFmtId="0" fontId="149" fillId="0" borderId="0"/>
    <xf numFmtId="0" fontId="91" fillId="0" borderId="0"/>
    <xf numFmtId="0" fontId="122" fillId="0" borderId="0"/>
    <xf numFmtId="0" fontId="122" fillId="0" borderId="0"/>
    <xf numFmtId="0" fontId="94" fillId="0" borderId="38"/>
    <xf numFmtId="0" fontId="95" fillId="0" borderId="39"/>
    <xf numFmtId="0" fontId="83" fillId="0" borderId="40"/>
    <xf numFmtId="0" fontId="83" fillId="0" borderId="0"/>
    <xf numFmtId="0" fontId="156" fillId="0" borderId="49"/>
    <xf numFmtId="0" fontId="151" fillId="0" borderId="0"/>
    <xf numFmtId="0" fontId="157" fillId="0" borderId="0"/>
    <xf numFmtId="0" fontId="158" fillId="0" borderId="39"/>
    <xf numFmtId="0" fontId="159" fillId="0" borderId="0"/>
    <xf numFmtId="0" fontId="160" fillId="0" borderId="39"/>
    <xf numFmtId="0" fontId="161" fillId="0" borderId="50"/>
    <xf numFmtId="0" fontId="162" fillId="0" borderId="50"/>
    <xf numFmtId="0" fontId="161" fillId="0" borderId="0"/>
    <xf numFmtId="0" fontId="162" fillId="0" borderId="0"/>
    <xf numFmtId="0" fontId="122" fillId="0" borderId="0"/>
    <xf numFmtId="0" fontId="151" fillId="0" borderId="0"/>
    <xf numFmtId="0" fontId="163" fillId="52" borderId="0">
      <alignment horizontal="left" vertical="center"/>
      <protection locked="0"/>
    </xf>
    <xf numFmtId="0" fontId="168" fillId="37" borderId="0">
      <alignment horizontal="center"/>
      <protection locked="0"/>
    </xf>
    <xf numFmtId="0" fontId="168" fillId="37" borderId="0">
      <alignment horizontal="center"/>
      <protection locked="0"/>
    </xf>
    <xf numFmtId="0" fontId="168" fillId="37" borderId="0">
      <alignment horizontal="center"/>
      <protection locked="0"/>
    </xf>
    <xf numFmtId="0" fontId="182" fillId="37" borderId="0">
      <alignment horizontal="center"/>
      <protection locked="0"/>
    </xf>
    <xf numFmtId="0" fontId="182" fillId="37" borderId="0">
      <alignment horizontal="center"/>
      <protection locked="0"/>
    </xf>
    <xf numFmtId="0" fontId="182" fillId="37" borderId="0">
      <alignment horizontal="center"/>
      <protection locked="0"/>
    </xf>
    <xf numFmtId="0" fontId="164" fillId="37" borderId="0">
      <alignment horizontal="left"/>
      <protection locked="0"/>
    </xf>
    <xf numFmtId="0" fontId="168" fillId="37" borderId="0">
      <alignment horizontal="left"/>
      <protection locked="0"/>
    </xf>
    <xf numFmtId="0" fontId="168" fillId="37" borderId="0">
      <alignment horizontal="left"/>
      <protection locked="0"/>
    </xf>
    <xf numFmtId="0" fontId="168" fillId="37" borderId="0">
      <alignment horizontal="left"/>
      <protection locked="0"/>
    </xf>
    <xf numFmtId="0" fontId="168" fillId="37" borderId="0">
      <alignment horizontal="left"/>
      <protection locked="0"/>
    </xf>
    <xf numFmtId="0" fontId="203" fillId="37" borderId="0">
      <alignment horizontal="left"/>
      <protection locked="0"/>
    </xf>
    <xf numFmtId="0" fontId="203" fillId="37" borderId="0">
      <alignment horizontal="left"/>
      <protection locked="0"/>
    </xf>
    <xf numFmtId="0" fontId="203" fillId="37" borderId="0">
      <alignment horizontal="left"/>
      <protection locked="0"/>
    </xf>
    <xf numFmtId="0" fontId="151" fillId="0" borderId="0"/>
    <xf numFmtId="0" fontId="152" fillId="0" borderId="0"/>
    <xf numFmtId="0" fontId="204" fillId="0" borderId="38"/>
    <xf numFmtId="0" fontId="205" fillId="0" borderId="39"/>
    <xf numFmtId="0" fontId="206" fillId="0" borderId="48"/>
    <xf numFmtId="0" fontId="206" fillId="0" borderId="0"/>
    <xf numFmtId="0" fontId="122" fillId="0" borderId="0"/>
    <xf numFmtId="0" fontId="94" fillId="0" borderId="38"/>
    <xf numFmtId="0" fontId="95" fillId="0" borderId="39"/>
    <xf numFmtId="0" fontId="83" fillId="0" borderId="40"/>
    <xf numFmtId="0" fontId="180" fillId="37" borderId="0">
      <protection locked="0"/>
    </xf>
    <xf numFmtId="0" fontId="168" fillId="0" borderId="59"/>
    <xf numFmtId="0" fontId="24" fillId="0" borderId="60"/>
    <xf numFmtId="0" fontId="58" fillId="53" borderId="0"/>
    <xf numFmtId="0" fontId="61" fillId="47" borderId="0"/>
    <xf numFmtId="0" fontId="207" fillId="72" borderId="53"/>
    <xf numFmtId="0" fontId="167" fillId="67" borderId="53"/>
    <xf numFmtId="0" fontId="167" fillId="67" borderId="53"/>
    <xf numFmtId="2" fontId="168" fillId="0" borderId="0"/>
    <xf numFmtId="2" fontId="168" fillId="0" borderId="0"/>
    <xf numFmtId="0" fontId="149" fillId="0" borderId="0"/>
    <xf numFmtId="0" fontId="92" fillId="0" borderId="0">
      <alignment horizontal="center"/>
    </xf>
    <xf numFmtId="0" fontId="92" fillId="0" borderId="0">
      <alignment horizontal="center" textRotation="90"/>
    </xf>
    <xf numFmtId="0" fontId="117" fillId="0" borderId="0"/>
    <xf numFmtId="187" fontId="117" fillId="0" borderId="0"/>
    <xf numFmtId="0" fontId="208" fillId="0" borderId="0"/>
    <xf numFmtId="9" fontId="208" fillId="0" borderId="0" applyFont="0" applyFill="0" applyBorder="0" applyAlignment="0" applyProtection="0"/>
    <xf numFmtId="0" fontId="51" fillId="45" borderId="0" applyNumberFormat="0" applyBorder="0" applyProtection="0"/>
    <xf numFmtId="0" fontId="51" fillId="46" borderId="0" applyNumberFormat="0" applyBorder="0" applyProtection="0"/>
    <xf numFmtId="0" fontId="51" fillId="47" borderId="0" applyNumberFormat="0" applyBorder="0" applyProtection="0"/>
    <xf numFmtId="0" fontId="51" fillId="48" borderId="0" applyNumberFormat="0" applyBorder="0" applyProtection="0"/>
    <xf numFmtId="0" fontId="51" fillId="49" borderId="0" applyNumberFormat="0" applyBorder="0" applyProtection="0"/>
    <xf numFmtId="0" fontId="51" fillId="50" borderId="0" applyNumberFormat="0" applyBorder="0" applyProtection="0"/>
    <xf numFmtId="0" fontId="51" fillId="54" borderId="0" applyNumberFormat="0" applyBorder="0" applyProtection="0"/>
    <xf numFmtId="0" fontId="51" fillId="55" borderId="0" applyNumberFormat="0" applyBorder="0" applyProtection="0"/>
    <xf numFmtId="0" fontId="51" fillId="56" borderId="0" applyNumberFormat="0" applyBorder="0" applyProtection="0"/>
    <xf numFmtId="0" fontId="51" fillId="48" borderId="0" applyNumberFormat="0" applyBorder="0" applyProtection="0"/>
    <xf numFmtId="0" fontId="51" fillId="54" borderId="0" applyNumberFormat="0" applyBorder="0" applyProtection="0"/>
    <xf numFmtId="0" fontId="51" fillId="57" borderId="0" applyNumberFormat="0" applyBorder="0" applyProtection="0"/>
    <xf numFmtId="0" fontId="53" fillId="61" borderId="0" applyNumberFormat="0" applyBorder="0" applyProtection="0"/>
    <xf numFmtId="0" fontId="53" fillId="55" borderId="0" applyNumberFormat="0" applyBorder="0" applyProtection="0"/>
    <xf numFmtId="0" fontId="53" fillId="56" borderId="0" applyNumberFormat="0" applyBorder="0" applyProtection="0"/>
    <xf numFmtId="0" fontId="53" fillId="42" borderId="0" applyNumberFormat="0" applyBorder="0" applyProtection="0"/>
    <xf numFmtId="0" fontId="53" fillId="43" borderId="0" applyNumberFormat="0" applyBorder="0" applyProtection="0"/>
    <xf numFmtId="0" fontId="53" fillId="62" borderId="0" applyNumberFormat="0" applyBorder="0" applyProtection="0"/>
    <xf numFmtId="0" fontId="153" fillId="0" borderId="38" applyNumberFormat="0" applyProtection="0"/>
    <xf numFmtId="0" fontId="154" fillId="0" borderId="39" applyNumberFormat="0" applyProtection="0"/>
    <xf numFmtId="0" fontId="155" fillId="0" borderId="48" applyNumberFormat="0" applyProtection="0"/>
    <xf numFmtId="0" fontId="155" fillId="0" borderId="0" applyNumberFormat="0" applyBorder="0" applyProtection="0"/>
    <xf numFmtId="0" fontId="204" fillId="0" borderId="38"/>
    <xf numFmtId="0" fontId="205" fillId="0" borderId="39"/>
    <xf numFmtId="0" fontId="206" fillId="0" borderId="48"/>
    <xf numFmtId="0" fontId="206" fillId="0" borderId="0"/>
    <xf numFmtId="0" fontId="208" fillId="0" borderId="0"/>
    <xf numFmtId="0" fontId="219" fillId="71" borderId="15"/>
    <xf numFmtId="0" fontId="42" fillId="0" borderId="0"/>
    <xf numFmtId="0" fontId="209" fillId="90" borderId="0"/>
    <xf numFmtId="0" fontId="209" fillId="91" borderId="0"/>
    <xf numFmtId="0" fontId="42" fillId="36" borderId="0"/>
    <xf numFmtId="0" fontId="210" fillId="92" borderId="0"/>
    <xf numFmtId="0" fontId="41" fillId="93" borderId="0"/>
    <xf numFmtId="203" fontId="25" fillId="0" borderId="0"/>
    <xf numFmtId="0" fontId="211" fillId="0" borderId="0"/>
    <xf numFmtId="0" fontId="212" fillId="47" borderId="0"/>
    <xf numFmtId="0" fontId="213" fillId="0" borderId="0">
      <alignment horizontal="center"/>
    </xf>
    <xf numFmtId="0" fontId="214" fillId="0" borderId="0"/>
    <xf numFmtId="0" fontId="215" fillId="0" borderId="0"/>
    <xf numFmtId="0" fontId="52" fillId="0" borderId="0"/>
    <xf numFmtId="0" fontId="213" fillId="0" borderId="0">
      <alignment horizontal="center" textRotation="90"/>
    </xf>
    <xf numFmtId="0" fontId="216" fillId="0" borderId="0"/>
    <xf numFmtId="0" fontId="217" fillId="71" borderId="0"/>
    <xf numFmtId="0" fontId="218" fillId="0" borderId="0"/>
    <xf numFmtId="0" fontId="220" fillId="0" borderId="0"/>
    <xf numFmtId="187" fontId="220" fillId="0" borderId="0"/>
    <xf numFmtId="0" fontId="25" fillId="0" borderId="0"/>
    <xf numFmtId="0" fontId="25" fillId="0" borderId="0"/>
    <xf numFmtId="0" fontId="210" fillId="0" borderId="0"/>
    <xf numFmtId="0" fontId="1" fillId="0" borderId="0"/>
    <xf numFmtId="9" fontId="1" fillId="0" borderId="0" applyFont="0" applyFill="0" applyBorder="0" applyAlignment="0" applyProtection="0"/>
    <xf numFmtId="0" fontId="22" fillId="0" borderId="0"/>
    <xf numFmtId="0" fontId="221" fillId="0" borderId="0"/>
    <xf numFmtId="0" fontId="22" fillId="0" borderId="0"/>
    <xf numFmtId="0" fontId="22" fillId="0" borderId="0"/>
    <xf numFmtId="204" fontId="22" fillId="0" borderId="0" applyFont="0" applyFill="0" applyBorder="0" applyAlignment="0" applyProtection="0"/>
    <xf numFmtId="0" fontId="1" fillId="0" borderId="0"/>
    <xf numFmtId="205" fontId="22" fillId="0" borderId="0"/>
    <xf numFmtId="205" fontId="22" fillId="0" borderId="0"/>
    <xf numFmtId="205" fontId="22" fillId="0" borderId="0"/>
    <xf numFmtId="205" fontId="22" fillId="0" borderId="0"/>
    <xf numFmtId="205" fontId="22" fillId="0" borderId="0"/>
    <xf numFmtId="205" fontId="22" fillId="0" borderId="0"/>
    <xf numFmtId="205" fontId="22" fillId="0" borderId="0"/>
    <xf numFmtId="205" fontId="22" fillId="0" borderId="0"/>
    <xf numFmtId="9" fontId="22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22" fillId="0" borderId="61"/>
    <xf numFmtId="9" fontId="22" fillId="0" borderId="0" applyFont="0" applyFill="0" applyBorder="0" applyAlignment="0" applyProtection="0"/>
    <xf numFmtId="205" fontId="22" fillId="0" borderId="0"/>
    <xf numFmtId="9" fontId="222" fillId="0" borderId="0" applyFont="0" applyFill="0" applyBorder="0" applyAlignment="0" applyProtection="0"/>
    <xf numFmtId="9" fontId="2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81" fontId="25" fillId="0" borderId="0" applyFont="0" applyFill="0" applyBorder="0" applyAlignment="0" applyProtection="0"/>
    <xf numFmtId="0" fontId="25" fillId="0" borderId="0"/>
    <xf numFmtId="181" fontId="25" fillId="0" borderId="0" applyFont="0" applyFill="0" applyBorder="0" applyAlignment="0" applyProtection="0"/>
    <xf numFmtId="0" fontId="45" fillId="0" borderId="0"/>
    <xf numFmtId="43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3" fontId="1" fillId="0" borderId="0" applyFont="0" applyFill="0" applyBorder="0" applyAlignment="0" applyProtection="0"/>
    <xf numFmtId="166" fontId="27" fillId="33" borderId="62">
      <alignment vertical="center"/>
    </xf>
    <xf numFmtId="166" fontId="28" fillId="34" borderId="62">
      <alignment vertical="center"/>
    </xf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223" fillId="0" borderId="0"/>
    <xf numFmtId="0" fontId="223" fillId="0" borderId="0"/>
    <xf numFmtId="0" fontId="22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3" fontId="0" fillId="0" borderId="0" xfId="0" applyNumberFormat="1"/>
    <xf numFmtId="167" fontId="0" fillId="0" borderId="0" xfId="1" applyNumberFormat="1" applyFont="1"/>
    <xf numFmtId="0" fontId="20" fillId="0" borderId="0" xfId="0" applyFont="1"/>
    <xf numFmtId="168" fontId="0" fillId="0" borderId="0" xfId="0" applyNumberFormat="1"/>
    <xf numFmtId="168" fontId="16" fillId="0" borderId="0" xfId="0" applyNumberFormat="1" applyFont="1"/>
    <xf numFmtId="1" fontId="0" fillId="0" borderId="0" xfId="0" applyNumberFormat="1"/>
    <xf numFmtId="167" fontId="26" fillId="0" borderId="0" xfId="46" applyNumberFormat="1" applyFont="1"/>
    <xf numFmtId="167" fontId="26" fillId="0" borderId="0" xfId="1" applyNumberFormat="1" applyFont="1"/>
    <xf numFmtId="2" fontId="26" fillId="0" borderId="0" xfId="0" applyNumberFormat="1" applyFont="1"/>
    <xf numFmtId="167" fontId="26" fillId="0" borderId="0" xfId="0" applyNumberFormat="1" applyFont="1"/>
    <xf numFmtId="9" fontId="26" fillId="0" borderId="0" xfId="1" applyFont="1"/>
    <xf numFmtId="0" fontId="16" fillId="0" borderId="0" xfId="0" applyFont="1"/>
    <xf numFmtId="0" fontId="26" fillId="0" borderId="0" xfId="0" applyFont="1"/>
    <xf numFmtId="168" fontId="26" fillId="0" borderId="0" xfId="0" applyNumberFormat="1" applyFont="1"/>
    <xf numFmtId="2" fontId="0" fillId="0" borderId="0" xfId="0" applyNumberFormat="1"/>
    <xf numFmtId="0" fontId="49" fillId="0" borderId="0" xfId="0" applyFont="1"/>
    <xf numFmtId="168" fontId="14" fillId="0" borderId="0" xfId="0" applyNumberFormat="1" applyFont="1"/>
    <xf numFmtId="3" fontId="26" fillId="0" borderId="0" xfId="0" applyNumberFormat="1" applyFont="1"/>
    <xf numFmtId="10" fontId="0" fillId="0" borderId="0" xfId="1" applyNumberFormat="1" applyFont="1"/>
    <xf numFmtId="167" fontId="224" fillId="0" borderId="0" xfId="1" applyNumberFormat="1" applyFont="1"/>
    <xf numFmtId="168" fontId="224" fillId="0" borderId="0" xfId="0" applyNumberFormat="1" applyFont="1"/>
    <xf numFmtId="9" fontId="0" fillId="0" borderId="0" xfId="1" applyFont="1"/>
    <xf numFmtId="167" fontId="0" fillId="0" borderId="0" xfId="0" applyNumberFormat="1"/>
    <xf numFmtId="0" fontId="0" fillId="0" borderId="63" xfId="0" applyBorder="1" applyAlignment="1">
      <alignment vertical="center"/>
    </xf>
    <xf numFmtId="0" fontId="0" fillId="0" borderId="0" xfId="0" applyAlignment="1">
      <alignment vertical="center"/>
    </xf>
    <xf numFmtId="0" fontId="26" fillId="0" borderId="0" xfId="3657" applyNumberFormat="1" applyFont="1"/>
    <xf numFmtId="168" fontId="225" fillId="0" borderId="0" xfId="0" applyNumberFormat="1" applyFont="1"/>
    <xf numFmtId="9" fontId="227" fillId="0" borderId="0" xfId="1" applyFont="1"/>
    <xf numFmtId="9" fontId="224" fillId="0" borderId="0" xfId="1" applyFont="1"/>
    <xf numFmtId="206" fontId="0" fillId="0" borderId="0" xfId="0" applyNumberFormat="1"/>
    <xf numFmtId="2" fontId="226" fillId="0" borderId="0" xfId="0" applyNumberFormat="1" applyFont="1"/>
    <xf numFmtId="9" fontId="0" fillId="0" borderId="0" xfId="0" applyNumberFormat="1"/>
    <xf numFmtId="1" fontId="26" fillId="0" borderId="0" xfId="0" applyNumberFormat="1" applyFont="1"/>
    <xf numFmtId="207" fontId="26" fillId="0" borderId="0" xfId="0" applyNumberFormat="1" applyFont="1"/>
    <xf numFmtId="208" fontId="26" fillId="0" borderId="0" xfId="0" applyNumberFormat="1" applyFont="1"/>
    <xf numFmtId="9" fontId="224" fillId="0" borderId="0" xfId="1" applyFont="1" applyFill="1"/>
    <xf numFmtId="9" fontId="227" fillId="0" borderId="0" xfId="1" applyFont="1" applyFill="1"/>
    <xf numFmtId="9" fontId="26" fillId="0" borderId="0" xfId="1" applyFont="1" applyFill="1"/>
    <xf numFmtId="0" fontId="226" fillId="0" borderId="0" xfId="0" applyFont="1"/>
    <xf numFmtId="209" fontId="0" fillId="0" borderId="0" xfId="3657" applyNumberFormat="1" applyFont="1" applyFill="1"/>
    <xf numFmtId="207" fontId="0" fillId="0" borderId="0" xfId="0" applyNumberFormat="1"/>
    <xf numFmtId="208" fontId="0" fillId="0" borderId="0" xfId="0" applyNumberFormat="1"/>
    <xf numFmtId="0" fontId="229" fillId="0" borderId="0" xfId="1047" applyFont="1" applyBorder="1" applyAlignment="1">
      <alignment horizontal="center" vertical="center"/>
    </xf>
    <xf numFmtId="0" fontId="230" fillId="0" borderId="0" xfId="1047" applyFont="1" applyBorder="1" applyAlignment="1">
      <alignment horizontal="left" vertical="center"/>
    </xf>
    <xf numFmtId="3" fontId="14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28" fillId="0" borderId="0" xfId="0" applyFont="1"/>
    <xf numFmtId="207" fontId="225" fillId="0" borderId="0" xfId="0" applyNumberFormat="1" applyFont="1"/>
    <xf numFmtId="210" fontId="26" fillId="0" borderId="0" xfId="0" applyNumberFormat="1" applyFont="1"/>
    <xf numFmtId="0" fontId="225" fillId="0" borderId="0" xfId="0" applyFont="1"/>
    <xf numFmtId="208" fontId="225" fillId="0" borderId="0" xfId="0" applyNumberFormat="1" applyFont="1"/>
    <xf numFmtId="0" fontId="0" fillId="94" borderId="0" xfId="0" applyFill="1"/>
    <xf numFmtId="167" fontId="0" fillId="94" borderId="0" xfId="1" applyNumberFormat="1" applyFont="1" applyFill="1"/>
    <xf numFmtId="0" fontId="26" fillId="94" borderId="0" xfId="0" applyFont="1" applyFill="1"/>
    <xf numFmtId="0" fontId="229" fillId="94" borderId="0" xfId="1047" applyFont="1" applyFill="1" applyBorder="1" applyAlignment="1">
      <alignment horizontal="center" vertical="center"/>
    </xf>
    <xf numFmtId="3" fontId="14" fillId="94" borderId="0" xfId="0" applyNumberFormat="1" applyFont="1" applyFill="1" applyAlignment="1">
      <alignment horizontal="center"/>
    </xf>
    <xf numFmtId="207" fontId="16" fillId="0" borderId="0" xfId="0" applyNumberFormat="1" applyFont="1"/>
    <xf numFmtId="206" fontId="26" fillId="0" borderId="0" xfId="0" applyNumberFormat="1" applyFont="1"/>
    <xf numFmtId="11" fontId="0" fillId="0" borderId="0" xfId="0" applyNumberFormat="1"/>
    <xf numFmtId="211" fontId="0" fillId="0" borderId="0" xfId="0" applyNumberFormat="1"/>
    <xf numFmtId="212" fontId="0" fillId="0" borderId="0" xfId="0" applyNumberFormat="1"/>
    <xf numFmtId="0" fontId="0" fillId="94" borderId="0" xfId="0" applyFill="1" applyAlignment="1">
      <alignment vertical="center"/>
    </xf>
    <xf numFmtId="212" fontId="26" fillId="0" borderId="0" xfId="0" applyNumberFormat="1" applyFont="1"/>
    <xf numFmtId="211" fontId="233" fillId="0" borderId="0" xfId="0" applyNumberFormat="1" applyFont="1"/>
    <xf numFmtId="211" fontId="234" fillId="0" borderId="0" xfId="0" applyNumberFormat="1" applyFont="1"/>
    <xf numFmtId="0" fontId="14" fillId="0" borderId="0" xfId="0" applyFont="1" applyAlignment="1">
      <alignment vertical="center"/>
    </xf>
    <xf numFmtId="213" fontId="0" fillId="0" borderId="0" xfId="3657" applyNumberFormat="1" applyFont="1"/>
    <xf numFmtId="207" fontId="235" fillId="0" borderId="0" xfId="0" applyNumberFormat="1" applyFont="1"/>
    <xf numFmtId="166" fontId="0" fillId="0" borderId="0" xfId="0" applyNumberFormat="1"/>
    <xf numFmtId="1" fontId="235" fillId="0" borderId="0" xfId="0" applyNumberFormat="1" applyFont="1"/>
    <xf numFmtId="206" fontId="235" fillId="0" borderId="0" xfId="0" applyNumberFormat="1" applyFont="1"/>
  </cellXfs>
  <cellStyles count="3658">
    <cellStyle name="€ : (converti en EURO)" xfId="818" xr:uid="{D11313E2-D2C7-46C5-ABE0-6275F0A7D30F}"/>
    <cellStyle name="€ : (converti en EURO) 2" xfId="819" xr:uid="{F2BE247B-3AC4-457B-B476-7CC216AE217C}"/>
    <cellStyle name="€ : (converti en EURO) 2 2" xfId="1724" xr:uid="{39C171D8-E5BE-430A-866F-C1BF2E8F2CDA}"/>
    <cellStyle name="€ : (converti en EURO) 3" xfId="820" xr:uid="{00BD75D8-83BB-490B-9B7A-E0755E3256F0}"/>
    <cellStyle name="€ : (converti en EURO) 3 2" xfId="1725" xr:uid="{4EE4CCA7-6B73-4043-8638-F521B770B281}"/>
    <cellStyle name="€ : (converti en EURO) 4" xfId="821" xr:uid="{365A05E6-A72B-42F0-BEF9-4967F560B31D}"/>
    <cellStyle name="€ : (converti en EURO) 4 2" xfId="1726" xr:uid="{AFA92FE2-1665-4156-B165-8EFCAF1E2E5C}"/>
    <cellStyle name="€ : (converti en EURO) 5" xfId="1723" xr:uid="{A113BB07-875B-491D-9268-F953F56268F0}"/>
    <cellStyle name="€ : (formule ECRASEE)" xfId="822" xr:uid="{55361A07-7D24-4261-AB75-F29F3EEC4E64}"/>
    <cellStyle name="€ : (formule ECRASEE) 2" xfId="823" xr:uid="{0EE5F010-F6DB-44DF-B748-38D37E367A45}"/>
    <cellStyle name="€ : (formule ECRASEE) 2 2" xfId="1728" xr:uid="{16B60BA1-66B1-4D8D-ACA1-D1601344ECE6}"/>
    <cellStyle name="€ : (formule ECRASEE) 3" xfId="1727" xr:uid="{84070226-6351-4EDC-B439-40B59DE98694}"/>
    <cellStyle name="€ : (NON converti)" xfId="824" xr:uid="{4E9030E8-5EDA-470C-A81B-D4EB7C9DDD0E}"/>
    <cellStyle name="€ : (NON converti) 2" xfId="825" xr:uid="{BD6A6022-132F-4516-A375-6F582E86A27D}"/>
    <cellStyle name="€ : (NON converti) 2 2" xfId="1730" xr:uid="{82C69D8D-9621-4B15-927C-CEABF23AB288}"/>
    <cellStyle name="€ : (NON converti) 3" xfId="826" xr:uid="{D4E0AC45-8746-4501-9B64-0DDB03BEAC17}"/>
    <cellStyle name="€ : (NON converti) 3 2" xfId="1731" xr:uid="{C9ADDF52-BB5B-4FAD-8620-18384AAEFD6D}"/>
    <cellStyle name="€ : (NON converti) 4" xfId="827" xr:uid="{AD17781B-7668-423B-B082-633EBC4F4FE8}"/>
    <cellStyle name="€ : (NON converti) 4 2" xfId="1732" xr:uid="{FDA5AEEB-485A-40CB-BC8C-F0A026AB3794}"/>
    <cellStyle name="€ : (NON converti) 5" xfId="1729" xr:uid="{9DFEB471-B41A-466D-AC67-82DB96C16FF8}"/>
    <cellStyle name="€ : (passage a l'EURO)" xfId="828" xr:uid="{14F359C2-983D-4CBD-8AB1-43A4649C1605}"/>
    <cellStyle name="€ : (passage a l'EURO) 2" xfId="829" xr:uid="{E3802B0C-5D5A-4C78-A045-0E04071361F0}"/>
    <cellStyle name="€ : (passage a l'EURO) 2 2" xfId="1734" xr:uid="{9661CA9D-D428-4505-8915-42F1B336F019}"/>
    <cellStyle name="€ : (passage a l'EURO) 3" xfId="830" xr:uid="{271F8F1E-DE94-410B-9967-927654617D75}"/>
    <cellStyle name="€ : (passage a l'EURO) 3 2" xfId="1735" xr:uid="{7E8A5AD7-CB8C-49EB-9FDA-342520F355EB}"/>
    <cellStyle name="€ : (passage a l'EURO) 4" xfId="831" xr:uid="{3F118419-2025-4ECD-BB78-33A93F77C551}"/>
    <cellStyle name="€ : (passage a l'EURO) 4 2" xfId="1736" xr:uid="{4244CBB1-E523-4939-B5E8-E5C48C345E32}"/>
    <cellStyle name="€ : (passage a l'EURO) 5" xfId="1733" xr:uid="{65F2A868-5F87-46D5-A668-5D0641DE6386}"/>
    <cellStyle name="20 % - Accent1" xfId="733" xr:uid="{12D0D5FF-2DEF-47B4-8269-ACEE92DDA7B2}"/>
    <cellStyle name="20 % - Accent1 2" xfId="1737" xr:uid="{779C2154-F7BB-4552-8714-BB87EF784F9D}"/>
    <cellStyle name="20 % - Accent1 2 2" xfId="2708" xr:uid="{D62EE49F-469C-45C1-848E-BB8C58B6B4C2}"/>
    <cellStyle name="20 % - Accent2" xfId="734" xr:uid="{7C32023C-18BA-4842-BC0F-2228956B7745}"/>
    <cellStyle name="20 % - Accent2 2" xfId="1738" xr:uid="{D3F9227E-DA87-4F6B-849C-3012C787F6AD}"/>
    <cellStyle name="20 % - Accent2 2 2" xfId="2709" xr:uid="{D8411EFF-6A4E-491C-8A64-F58B466487D5}"/>
    <cellStyle name="20 % - Accent3" xfId="735" xr:uid="{282ECFFA-9E43-401E-8FD6-79641C787985}"/>
    <cellStyle name="20 % - Accent3 2" xfId="1739" xr:uid="{387E0155-29D0-42A3-A3F0-7963F462C880}"/>
    <cellStyle name="20 % - Accent3 2 2" xfId="2710" xr:uid="{3174DAF5-0DFD-4FE5-B512-685937992B30}"/>
    <cellStyle name="20 % - Accent4" xfId="736" xr:uid="{677F1329-905C-4D76-A239-9A7A0E3AAD53}"/>
    <cellStyle name="20 % - Accent4 2" xfId="1740" xr:uid="{9E3AEFC4-3AF7-42D6-A820-C2203C0174CB}"/>
    <cellStyle name="20 % - Accent4 2 2" xfId="2711" xr:uid="{6DFC0479-D28F-4845-92D1-F6E89B66ED7E}"/>
    <cellStyle name="20 % - Accent5" xfId="737" xr:uid="{BCBCC162-1A51-4C61-85CF-4152ECEDEC76}"/>
    <cellStyle name="20 % - Accent5 2" xfId="1741" xr:uid="{8FE84DDA-3E6F-4A04-89D9-6338EB013686}"/>
    <cellStyle name="20 % - Accent5 2 2" xfId="2712" xr:uid="{2C225489-0901-4758-8CDD-0CA19243F06F}"/>
    <cellStyle name="20 % - Accent6" xfId="738" xr:uid="{0F8F0769-A348-4636-A1F0-6F80E0294655}"/>
    <cellStyle name="20 % - Accent6 2" xfId="1742" xr:uid="{B31F4E03-4A58-4426-9BA1-4169783EFC6B}"/>
    <cellStyle name="20 % - Accent6 2 2" xfId="2713" xr:uid="{D95E72FB-D74A-46E4-999A-43E7E2836633}"/>
    <cellStyle name="20 % - Accent1" xfId="20" builtinId="30" customBuiltin="1"/>
    <cellStyle name="20 % - Accent1 2" xfId="727" xr:uid="{AD0F910D-50FF-4977-94C6-3A6F7E151A99}"/>
    <cellStyle name="20 % - Accent1 2 2" xfId="1761" xr:uid="{2D978B16-5F22-4792-B401-089EF39DD6F1}"/>
    <cellStyle name="20 % - Accent2" xfId="24" builtinId="34" customBuiltin="1"/>
    <cellStyle name="20 % - Accent2 2" xfId="728" xr:uid="{9549169B-E580-4038-A524-F143E7A102CE}"/>
    <cellStyle name="20 % - Accent2 2 2" xfId="1762" xr:uid="{76442BDC-49E4-44D3-9064-2B7C4D695E02}"/>
    <cellStyle name="20 % - Accent3" xfId="28" builtinId="38" customBuiltin="1"/>
    <cellStyle name="20 % - Accent3 2" xfId="729" xr:uid="{566B55E8-C603-4327-84F8-BF52867E275F}"/>
    <cellStyle name="20 % - Accent3 2 2" xfId="1763" xr:uid="{FB236F60-6006-47E0-BC26-0FD697048348}"/>
    <cellStyle name="20 % - Accent4" xfId="32" builtinId="42" customBuiltin="1"/>
    <cellStyle name="20 % - Accent4 2" xfId="217" xr:uid="{B55D8E48-918F-4462-9CD7-3621241143A4}"/>
    <cellStyle name="20 % - Accent4 2 2" xfId="1764" xr:uid="{24330CB3-977B-4D33-9F16-BA4CD9D3A972}"/>
    <cellStyle name="20 % - Accent4 2 3" xfId="730" xr:uid="{F918B52E-1385-45C7-AAA8-B15FAB838D66}"/>
    <cellStyle name="20 % - Accent5" xfId="36" builtinId="46" customBuiltin="1"/>
    <cellStyle name="20 % - Accent5 2" xfId="731" xr:uid="{2F9D4A3F-C7CC-404C-BAC6-15CEF7A8935B}"/>
    <cellStyle name="20 % - Accent5 2 2" xfId="1765" xr:uid="{80305A69-A5AA-4AC3-AE1E-239E7DE34F68}"/>
    <cellStyle name="20 % - Accent6" xfId="40" builtinId="50" customBuiltin="1"/>
    <cellStyle name="20 % - Accent6 2" xfId="732" xr:uid="{E9CE189E-23AF-4F15-9D9B-3C34656CC51B}"/>
    <cellStyle name="20 % - Accent6 2 2" xfId="1766" xr:uid="{454031FB-F1CD-4514-AE9D-3E5182379BBB}"/>
    <cellStyle name="20% - Accent1" xfId="745" xr:uid="{A438DFF1-7C79-4D6B-A626-1902B2D07135}"/>
    <cellStyle name="20% - Accent1 2" xfId="1743" xr:uid="{1C9F6F49-FF4C-4007-BD68-E9A50746BDE9}"/>
    <cellStyle name="20% - Accent2" xfId="746" xr:uid="{D1EF7198-61D2-478D-B474-9603D215FA88}"/>
    <cellStyle name="20% - Accent2 2" xfId="1744" xr:uid="{3285AF94-66AA-48A9-9C2C-6378C05A35CD}"/>
    <cellStyle name="20% - Accent3" xfId="747" xr:uid="{593E2B56-B2F4-4E41-B5D9-65AEADA28AD6}"/>
    <cellStyle name="20% - Accent3 2" xfId="1745" xr:uid="{AFF6F45E-AB03-4956-B0BA-17BAA384819A}"/>
    <cellStyle name="20% - Accent4" xfId="748" xr:uid="{8A406260-D2BC-46E5-9982-5C8A53A2C50A}"/>
    <cellStyle name="20% - Accent4 2" xfId="1746" xr:uid="{2CF72452-0A98-4872-B8A9-F7028FCC874D}"/>
    <cellStyle name="20% - Accent5" xfId="749" xr:uid="{71686669-4E46-452D-A60E-EA16C7068DEE}"/>
    <cellStyle name="20% - Accent5 2" xfId="1747" xr:uid="{8A0A1919-B905-472C-9B9A-7980F5BBCFAB}"/>
    <cellStyle name="20% - Accent6" xfId="750" xr:uid="{0EECF2ED-A769-439A-A5B3-46B64B8DD04D}"/>
    <cellStyle name="20% - Accent6 2" xfId="1748" xr:uid="{9AC66C0B-6431-4F78-92E4-D8807C2BA2E0}"/>
    <cellStyle name="20% - Colore 1" xfId="751" xr:uid="{B936FA44-5B20-4B1B-B62B-9346966F92CE}"/>
    <cellStyle name="20% - Colore 1 2" xfId="1749" xr:uid="{459C1880-84B8-4D21-802A-87437FA38917}"/>
    <cellStyle name="20% - Colore 2" xfId="752" xr:uid="{88E68027-1CDE-49AB-A5E4-EAC2E87ED3AE}"/>
    <cellStyle name="20% - Colore 2 2" xfId="1750" xr:uid="{3704C09A-F3E2-4139-B6C1-C0FA0ABB8D69}"/>
    <cellStyle name="20% - Colore 3" xfId="753" xr:uid="{4E4C48CE-E0D9-407A-973E-398D213FF289}"/>
    <cellStyle name="20% - Colore 3 2" xfId="1751" xr:uid="{1A0E06D9-AFAB-4BC8-B00B-019710CC77B0}"/>
    <cellStyle name="20% - Colore 4" xfId="754" xr:uid="{4C5692EF-8FB4-407E-A128-A108A3E032EC}"/>
    <cellStyle name="20% - Colore 4 2" xfId="1752" xr:uid="{1F2AE6AC-7554-4EB0-B39A-481371B2F45D}"/>
    <cellStyle name="20% - Colore 5" xfId="755" xr:uid="{905E5820-2A89-406D-BE96-0ADB86F0B28D}"/>
    <cellStyle name="20% - Colore 5 2" xfId="1753" xr:uid="{0F026977-697A-4199-87AC-E811D144A1B5}"/>
    <cellStyle name="20% - Colore 6" xfId="756" xr:uid="{7E0A3D01-D8B9-480B-8C4E-FC52F875EE6D}"/>
    <cellStyle name="20% - Colore 6 2" xfId="1754" xr:uid="{E660B522-4DAF-41E7-90AF-135E9DEEF9F7}"/>
    <cellStyle name="20% - Énfasis1" xfId="739" xr:uid="{C1810118-7244-478B-A7FE-732C6EF675EA}"/>
    <cellStyle name="20% - Énfasis1 2" xfId="1755" xr:uid="{49AEE80D-BD5B-45C4-8814-1D77CB52672C}"/>
    <cellStyle name="20% - Énfasis2" xfId="740" xr:uid="{AD8153E5-3892-4E7F-B899-98D33F119704}"/>
    <cellStyle name="20% - Énfasis2 2" xfId="1756" xr:uid="{E55AA084-75AA-4EBF-9F12-09AB9EE15363}"/>
    <cellStyle name="20% - Énfasis3" xfId="741" xr:uid="{1CD38A6C-5EAF-47C3-8E16-70D8CA4D9693}"/>
    <cellStyle name="20% - Énfasis3 2" xfId="1757" xr:uid="{356E76A9-4790-42DB-B8D5-B8A316CEC74E}"/>
    <cellStyle name="20% - Énfasis4" xfId="742" xr:uid="{360E82DE-36A9-4C87-B785-98AB09E9691C}"/>
    <cellStyle name="20% - Énfasis4 2" xfId="1758" xr:uid="{1E20A518-1782-48A0-96A8-342498EB1A9B}"/>
    <cellStyle name="20% - Énfasis5" xfId="743" xr:uid="{0201AC9E-F27F-4177-8D38-EA00A1C5C9BD}"/>
    <cellStyle name="20% - Énfasis5 2" xfId="1759" xr:uid="{5FEDDE96-838B-4DB7-A907-0EE53A129FF0}"/>
    <cellStyle name="20% - Énfasis6" xfId="744" xr:uid="{6516024A-B3C2-448E-90CA-B063A6B19C21}"/>
    <cellStyle name="20% - Énfasis6 2" xfId="1760" xr:uid="{926C5EA4-4F79-496C-AE89-CFDF14496FEA}"/>
    <cellStyle name="40 % - Accent1" xfId="763" xr:uid="{1D29777E-8C77-4576-AFA4-E83E16099824}"/>
    <cellStyle name="40 % - Accent1 2" xfId="1767" xr:uid="{5DDA2B82-42B0-4F84-9F23-6CEC692C2D52}"/>
    <cellStyle name="40 % - Accent1 2 2" xfId="2714" xr:uid="{2C483B12-FC91-4A75-A41B-28C41F8D2FE9}"/>
    <cellStyle name="40 % - Accent2" xfId="764" xr:uid="{77C4B0D8-C4E1-49E6-8BBC-060226AB5985}"/>
    <cellStyle name="40 % - Accent2 2" xfId="1768" xr:uid="{6179DC72-3E36-4953-8929-4E9ADA4ACB52}"/>
    <cellStyle name="40 % - Accent2 2 2" xfId="2715" xr:uid="{06DE9489-1BF1-4902-8AA3-D6E4FC84AE49}"/>
    <cellStyle name="40 % - Accent3" xfId="765" xr:uid="{E11F78C4-67A3-4991-9FBC-E3AFF320F7E0}"/>
    <cellStyle name="40 % - Accent3 2" xfId="1769" xr:uid="{4084F45D-CC06-499B-9C09-786599A248FD}"/>
    <cellStyle name="40 % - Accent3 2 2" xfId="2716" xr:uid="{2E7304C6-790D-4011-81D4-8C46FA0BE857}"/>
    <cellStyle name="40 % - Accent4" xfId="766" xr:uid="{3F641CF1-0773-42C9-B499-3DBBE0E9A8F5}"/>
    <cellStyle name="40 % - Accent4 2" xfId="1770" xr:uid="{FF47CFD5-8C4F-42A9-ABF9-E8B8ECA3D6DD}"/>
    <cellStyle name="40 % - Accent4 2 2" xfId="2717" xr:uid="{04D4731E-3B65-45A0-AC04-2286344432C8}"/>
    <cellStyle name="40 % - Accent5" xfId="767" xr:uid="{50A02E7A-AE7E-4412-88AB-A0AD6A62E573}"/>
    <cellStyle name="40 % - Accent5 2" xfId="1771" xr:uid="{AD4EFCC7-0F74-45DC-94A1-23F2B8A5EF8F}"/>
    <cellStyle name="40 % - Accent5 2 2" xfId="2718" xr:uid="{CEB67B3B-4B91-4A16-A505-64F5B199FE35}"/>
    <cellStyle name="40 % - Accent6" xfId="768" xr:uid="{91BA225F-C43E-4D28-9275-70CF0DB19E12}"/>
    <cellStyle name="40 % - Accent6 2" xfId="1772" xr:uid="{6A63DDD4-4C45-4063-811D-379B1EDE9AE9}"/>
    <cellStyle name="40 % - Accent6 2 2" xfId="2719" xr:uid="{B7E64263-14A1-4134-9551-8A44CA437113}"/>
    <cellStyle name="40 % - Accent1" xfId="21" builtinId="31" customBuiltin="1"/>
    <cellStyle name="40 % - Accent1 2" xfId="757" xr:uid="{FBA003B0-7108-4608-A2B6-6D73A8A6AFBC}"/>
    <cellStyle name="40 % - Accent1 2 2" xfId="1791" xr:uid="{A3FDA948-D70C-4DDD-A98A-7AAEAEB142AD}"/>
    <cellStyle name="40 % - Accent2" xfId="25" builtinId="35" customBuiltin="1"/>
    <cellStyle name="40 % - Accent2 2" xfId="758" xr:uid="{738000D3-6893-406F-8818-B993BB91025D}"/>
    <cellStyle name="40 % - Accent2 2 2" xfId="1792" xr:uid="{90D7FD6A-A916-46CF-A1A0-B1A36AA5B89D}"/>
    <cellStyle name="40 % - Accent3" xfId="29" builtinId="39" customBuiltin="1"/>
    <cellStyle name="40 % - Accent3 2" xfId="759" xr:uid="{184E7613-56B0-4276-BC88-381A928AD7DA}"/>
    <cellStyle name="40 % - Accent3 2 2" xfId="1793" xr:uid="{5C528EE6-95E9-44C5-ACEE-1448ADB6E9F1}"/>
    <cellStyle name="40 % - Accent4" xfId="33" builtinId="43" customBuiltin="1"/>
    <cellStyle name="40 % - Accent4 2" xfId="218" xr:uid="{9DBBE9E2-B196-4381-851D-E0AC8F24EB5B}"/>
    <cellStyle name="40 % - Accent4 2 2" xfId="1794" xr:uid="{C8EAC4C6-9E17-47DD-8382-872A986562D1}"/>
    <cellStyle name="40 % - Accent4 2 3" xfId="760" xr:uid="{50811BA6-023A-42C5-90A4-0F6B1AFC89B1}"/>
    <cellStyle name="40 % - Accent5" xfId="37" builtinId="47" customBuiltin="1"/>
    <cellStyle name="40 % - Accent5 2" xfId="761" xr:uid="{E1B8E8EA-A375-4534-B026-E94ADA196558}"/>
    <cellStyle name="40 % - Accent5 2 2" xfId="1795" xr:uid="{A5A4DB82-9086-4D86-AF08-9DDA5F4D5F24}"/>
    <cellStyle name="40 % - Accent6" xfId="41" builtinId="51" customBuiltin="1"/>
    <cellStyle name="40 % - Accent6 2" xfId="762" xr:uid="{E7FEEE0D-46FD-45F0-8E9A-5EED665AEDD5}"/>
    <cellStyle name="40 % - Accent6 2 2" xfId="1796" xr:uid="{D94E6118-76B6-48EA-9DFB-6CEE8C448C5A}"/>
    <cellStyle name="40% - Accent1" xfId="775" xr:uid="{1B1F9F60-7BCC-4FA4-807B-4C91A4D30C60}"/>
    <cellStyle name="40% - Accent1 2" xfId="1773" xr:uid="{EBFBF425-6148-407D-93D6-095EB141B51E}"/>
    <cellStyle name="40% - Accent2" xfId="776" xr:uid="{2B2C2AE5-651F-4A3E-85A0-0BB75CD80CA3}"/>
    <cellStyle name="40% - Accent2 2" xfId="1774" xr:uid="{EBE857BB-0FBC-4248-8921-A1C34064F6E3}"/>
    <cellStyle name="40% - Accent3" xfId="777" xr:uid="{58D953E6-24F6-4E53-A658-93F58519CEF0}"/>
    <cellStyle name="40% - Accent3 2" xfId="1775" xr:uid="{18A155BC-5A78-4413-B682-E8CE4F406937}"/>
    <cellStyle name="40% - Accent4" xfId="778" xr:uid="{115610EE-2F9D-41C6-8484-F72206CA457F}"/>
    <cellStyle name="40% - Accent4 2" xfId="1776" xr:uid="{0D3310FF-0732-4D28-8A85-D41251766097}"/>
    <cellStyle name="40% - Accent5" xfId="779" xr:uid="{A294A6B3-1E4F-42B3-B42B-8893F1049E21}"/>
    <cellStyle name="40% - Accent5 2" xfId="1777" xr:uid="{E44B305C-E911-4424-8A8F-C36932C1812C}"/>
    <cellStyle name="40% - Accent6" xfId="780" xr:uid="{50B2FF8A-5F18-4C9B-9941-75C0F46A0274}"/>
    <cellStyle name="40% - Accent6 2" xfId="1778" xr:uid="{E7BA92A1-5AD4-461F-AABE-CB7836C64A7D}"/>
    <cellStyle name="40% - Colore 1" xfId="781" xr:uid="{BA535A3C-6B4C-4572-9986-4E6609979554}"/>
    <cellStyle name="40% - Colore 1 2" xfId="1779" xr:uid="{687BE36E-EF52-438B-B872-86497E5B2E8B}"/>
    <cellStyle name="40% - Colore 2" xfId="782" xr:uid="{06835316-B54E-4514-B40C-6E6350E438CE}"/>
    <cellStyle name="40% - Colore 2 2" xfId="1780" xr:uid="{C0D766F9-9D52-4709-BD2C-D0B7BBC75AFA}"/>
    <cellStyle name="40% - Colore 3" xfId="783" xr:uid="{911754EE-D796-4A11-B1D6-A50267865A80}"/>
    <cellStyle name="40% - Colore 3 2" xfId="1781" xr:uid="{BA3734B2-C073-4BE7-9364-794522E1CC81}"/>
    <cellStyle name="40% - Colore 4" xfId="784" xr:uid="{4DF3E530-7D94-4D37-A3BA-756486F426C7}"/>
    <cellStyle name="40% - Colore 4 2" xfId="1782" xr:uid="{85C92590-CCD3-4A69-AEF2-749B6D2EC6FD}"/>
    <cellStyle name="40% - Colore 5" xfId="785" xr:uid="{0DD14981-1613-4DE1-A23D-1356339BDAD8}"/>
    <cellStyle name="40% - Colore 5 2" xfId="1783" xr:uid="{83979766-FF80-428A-99A5-B33C4785258C}"/>
    <cellStyle name="40% - Colore 6" xfId="786" xr:uid="{1B024B4E-CAB7-494F-A75E-4450849BEBB7}"/>
    <cellStyle name="40% - Colore 6 2" xfId="1784" xr:uid="{872AB1DA-D3FE-4F37-AFF3-6B88B888B39D}"/>
    <cellStyle name="40% - Énfasis1" xfId="769" xr:uid="{DC891F20-CBEE-44F1-9481-840134CD5042}"/>
    <cellStyle name="40% - Énfasis1 2" xfId="1785" xr:uid="{B09B1DC6-EFD7-42D1-8AD9-BBFFACCD1F32}"/>
    <cellStyle name="40% - Énfasis2" xfId="770" xr:uid="{495A4EC1-779D-4984-ACAB-7E2EB22B23A0}"/>
    <cellStyle name="40% - Énfasis2 2" xfId="1786" xr:uid="{CA3EE95D-4D33-457C-993B-F5DD5B0D793B}"/>
    <cellStyle name="40% - Énfasis3" xfId="771" xr:uid="{D7D2A273-D675-4793-A9B0-0D6994367CFB}"/>
    <cellStyle name="40% - Énfasis3 2" xfId="1787" xr:uid="{32B37443-1A78-4F50-85F9-62EB35C81B4B}"/>
    <cellStyle name="40% - Énfasis4" xfId="772" xr:uid="{EE2AE9B5-BC88-4274-8D12-0CCCF1F7B5F1}"/>
    <cellStyle name="40% - Énfasis4 2" xfId="1788" xr:uid="{0658058C-9381-4101-B8B4-2C1CB8A21D93}"/>
    <cellStyle name="40% - Énfasis5" xfId="773" xr:uid="{EE7EFE1D-D1E4-44E4-83C9-A41B7473AB31}"/>
    <cellStyle name="40% - Énfasis5 2" xfId="1789" xr:uid="{4DB1B1EE-8C3C-411B-8D4A-D4084A2BFA2A}"/>
    <cellStyle name="40% - Énfasis6" xfId="774" xr:uid="{47BFC323-4F93-4E21-A019-0ED6E0C59749}"/>
    <cellStyle name="40% - Énfasis6 2" xfId="1790" xr:uid="{02B82CF2-E389-4A72-9D64-23E59B893B7C}"/>
    <cellStyle name="5x indented GHG Textfiels" xfId="787" xr:uid="{094A86A8-27FA-4D75-BD5B-43EBA6C05C4C}"/>
    <cellStyle name="5x indented GHG Textfiels 2" xfId="1797" xr:uid="{40C0A30D-8400-487C-B588-B329174A719B}"/>
    <cellStyle name="60 % - Accent1" xfId="794" xr:uid="{BD5B6A8E-DFBB-48F0-AFF5-0DEBEFD4F13D}"/>
    <cellStyle name="60 % - Accent1 2" xfId="1798" xr:uid="{71C7E2E0-9666-4A1A-9209-3AAC96AFB389}"/>
    <cellStyle name="60 % - Accent1 2 2" xfId="2720" xr:uid="{73852C42-B563-4F6B-8823-975C550AE003}"/>
    <cellStyle name="60 % - Accent2" xfId="795" xr:uid="{2ED0E088-D269-4F6F-8009-A5E5340A3BE5}"/>
    <cellStyle name="60 % - Accent2 2" xfId="1799" xr:uid="{8ACF2324-DCDF-48D4-99BD-6D09A30E5362}"/>
    <cellStyle name="60 % - Accent2 2 2" xfId="2721" xr:uid="{981D4C36-81C2-4FB5-AB05-DBB1F9EA19A2}"/>
    <cellStyle name="60 % - Accent3" xfId="796" xr:uid="{FF2A9DF6-48B9-456C-BDB4-85DC87797B41}"/>
    <cellStyle name="60 % - Accent3 2" xfId="1800" xr:uid="{63C5F94B-8DDC-439F-85E5-4B740DE1A101}"/>
    <cellStyle name="60 % - Accent3 2 2" xfId="2722" xr:uid="{64EC13BB-0A03-4B53-9DFD-0C6F34C0D68E}"/>
    <cellStyle name="60 % - Accent4" xfId="797" xr:uid="{6F9B7F0C-39CC-4307-8A41-122B257644FB}"/>
    <cellStyle name="60 % - Accent4 2" xfId="1801" xr:uid="{929CFBFC-60DD-4485-B934-A9619744908E}"/>
    <cellStyle name="60 % - Accent4 2 2" xfId="2723" xr:uid="{B5B360A1-F1A0-4AB9-990E-FE9F030A974C}"/>
    <cellStyle name="60 % - Accent5" xfId="798" xr:uid="{17F00018-37EE-4472-A789-C04F06BAB459}"/>
    <cellStyle name="60 % - Accent5 2" xfId="1802" xr:uid="{A3277E41-A60E-491C-8CE1-6EAF53927FFC}"/>
    <cellStyle name="60 % - Accent5 2 2" xfId="2724" xr:uid="{46E416DE-F45B-4B33-97BD-B363DEF11F9A}"/>
    <cellStyle name="60 % - Accent6" xfId="799" xr:uid="{9602E5A2-1A75-4CDA-A0A6-0101421AC8C2}"/>
    <cellStyle name="60 % - Accent6 2" xfId="1803" xr:uid="{95349634-17F8-40A4-941E-B883C2A17DA3}"/>
    <cellStyle name="60 % - Accent6 2 2" xfId="2725" xr:uid="{9351914E-D5F8-4E04-85AD-11B9445461D1}"/>
    <cellStyle name="60 % - Accent1" xfId="22" builtinId="32" customBuiltin="1"/>
    <cellStyle name="60 % - Accent1 2" xfId="165" xr:uid="{E8F2F0BE-6467-4FCE-975C-A3ACB2817D4F}"/>
    <cellStyle name="60 % - Accent1 2 2" xfId="1822" xr:uid="{1D70B8AE-F493-44A1-B421-5B5CD906D7EE}"/>
    <cellStyle name="60 % - Accent1 2 3" xfId="788" xr:uid="{BB91D1FE-752E-46ED-B826-8A36935C557C}"/>
    <cellStyle name="60 % - Accent2" xfId="26" builtinId="36" customBuiltin="1"/>
    <cellStyle name="60 % - Accent2 2" xfId="166" xr:uid="{94DD6EBC-4E54-4EE9-B8E4-3FBCED311FC1}"/>
    <cellStyle name="60 % - Accent2 2 2" xfId="1823" xr:uid="{9FFD5F92-97B6-428D-B235-2A0B8ECE41BA}"/>
    <cellStyle name="60 % - Accent2 2 3" xfId="789" xr:uid="{9DC412B7-6D62-465A-98B9-A3AB759D2073}"/>
    <cellStyle name="60 % - Accent3" xfId="30" builtinId="40" customBuiltin="1"/>
    <cellStyle name="60 % - Accent3 2" xfId="167" xr:uid="{29780CCA-5E6B-4FB0-A543-5B0775549D86}"/>
    <cellStyle name="60 % - Accent3 2 2" xfId="1824" xr:uid="{0512788B-15A8-495F-8E2C-09B33452CBE3}"/>
    <cellStyle name="60 % - Accent3 2 3" xfId="790" xr:uid="{C9BE0BC6-86C1-4948-A0B2-67E51EAFB332}"/>
    <cellStyle name="60 % - Accent4" xfId="34" builtinId="44" customBuiltin="1"/>
    <cellStyle name="60 % - Accent4 2" xfId="168" xr:uid="{1AC6ED5D-25D7-412A-AB89-E96FB6C86652}"/>
    <cellStyle name="60 % - Accent4 2 2" xfId="1825" xr:uid="{51295537-3136-4910-810F-42BC25E26A42}"/>
    <cellStyle name="60 % - Accent4 2 3" xfId="791" xr:uid="{1DA85132-BEE6-4ED9-8F61-058DB38F291E}"/>
    <cellStyle name="60 % - Accent5" xfId="38" builtinId="48" customBuiltin="1"/>
    <cellStyle name="60 % - Accent5 2" xfId="169" xr:uid="{6BB3E846-C22C-48ED-8525-BF15F6EACB3F}"/>
    <cellStyle name="60 % - Accent5 2 2" xfId="1826" xr:uid="{0E710394-ED40-4400-BC97-B28E534B939A}"/>
    <cellStyle name="60 % - Accent5 2 3" xfId="792" xr:uid="{714C9729-1423-42E8-8BAC-1B3662A29C62}"/>
    <cellStyle name="60 % - Accent6" xfId="42" builtinId="52" customBuiltin="1"/>
    <cellStyle name="60 % - Accent6 2" xfId="170" xr:uid="{4E7F00BC-0ABC-438E-81BF-FB28913B0CC2}"/>
    <cellStyle name="60 % - Accent6 2 2" xfId="1827" xr:uid="{E62E4113-DF10-4135-BF90-A2A3880701F9}"/>
    <cellStyle name="60 % - Accent6 2 3" xfId="793" xr:uid="{55D80ED1-7639-4BD4-9D11-DBA415028BA5}"/>
    <cellStyle name="60% - Accent1" xfId="806" xr:uid="{79172AEC-ABBE-40AF-BEFF-058F55CF4537}"/>
    <cellStyle name="60% - Accent1 2" xfId="1804" xr:uid="{18050056-DE5C-4865-B56D-98FDBF27F7E8}"/>
    <cellStyle name="60% - Accent2" xfId="807" xr:uid="{297C8228-590D-4CED-8F2B-5A76E06321D6}"/>
    <cellStyle name="60% - Accent2 2" xfId="1805" xr:uid="{5629573D-3A7F-46CE-87EA-4DEF568DD958}"/>
    <cellStyle name="60% - Accent3" xfId="808" xr:uid="{11A13A80-B1B2-453F-B50E-760B5CD30EFC}"/>
    <cellStyle name="60% - Accent3 2" xfId="1806" xr:uid="{7AA3E4D3-6C78-489A-9B2D-896853FC1B23}"/>
    <cellStyle name="60% - Accent4" xfId="809" xr:uid="{20378E41-8E04-4B26-A81A-EC4752D08AA3}"/>
    <cellStyle name="60% - Accent4 2" xfId="1807" xr:uid="{A49F5905-49B6-4AAC-AD60-D72B3AA25439}"/>
    <cellStyle name="60% - Accent5" xfId="810" xr:uid="{6F7A9415-075E-4E8C-9CCD-7226038BFD57}"/>
    <cellStyle name="60% - Accent5 2" xfId="1808" xr:uid="{9C8CB48D-E396-4706-AE12-5FD6D85C48C1}"/>
    <cellStyle name="60% - Accent6" xfId="811" xr:uid="{02619F27-28ED-4A49-99F8-25248E5E3A52}"/>
    <cellStyle name="60% - Accent6 2" xfId="1809" xr:uid="{4B89BC91-D10F-4DF2-97F7-9D4B6374560B}"/>
    <cellStyle name="60% - Colore 1" xfId="812" xr:uid="{82DB0C1B-8A50-4472-8D4F-78D48A472E0E}"/>
    <cellStyle name="60% - Colore 1 2" xfId="1810" xr:uid="{8C5B7D90-C189-41B3-AC42-7FB1EA42484D}"/>
    <cellStyle name="60% - Colore 2" xfId="813" xr:uid="{B4AE8F5C-8CAE-4278-A9EB-BE94DCD57FED}"/>
    <cellStyle name="60% - Colore 2 2" xfId="1811" xr:uid="{586129B0-3718-4A98-A7FD-8C284B978310}"/>
    <cellStyle name="60% - Colore 3" xfId="814" xr:uid="{9B32B377-5C28-4B5A-B153-604258658D7C}"/>
    <cellStyle name="60% - Colore 3 2" xfId="1812" xr:uid="{7F885655-4CDB-4305-A9A0-415D75C5D5E7}"/>
    <cellStyle name="60% - Colore 4" xfId="815" xr:uid="{582A5D73-33FB-4E49-8DF8-3D64E0920F6D}"/>
    <cellStyle name="60% - Colore 4 2" xfId="1813" xr:uid="{E1EAFB0F-88CC-4FCC-9089-6F85F163915B}"/>
    <cellStyle name="60% - Colore 5" xfId="816" xr:uid="{D4BFFFBB-655A-4B3D-B2F8-EB1C2CFDB5E6}"/>
    <cellStyle name="60% - Colore 5 2" xfId="1814" xr:uid="{8300B2FF-2B6D-485F-AC50-FF4C5CD9228D}"/>
    <cellStyle name="60% - Colore 6" xfId="817" xr:uid="{9831F7B8-3931-4650-B43A-FCB4DDDB558A}"/>
    <cellStyle name="60% - Colore 6 2" xfId="1815" xr:uid="{078A7A0B-501A-4D13-B27C-01060A4FC252}"/>
    <cellStyle name="60% - Énfasis1" xfId="800" xr:uid="{A894AEA4-3A38-425F-B4E8-EAEBCC51450C}"/>
    <cellStyle name="60% - Énfasis1 2" xfId="1816" xr:uid="{C53B7D57-BB47-4DA8-80A0-503CBE5F83D0}"/>
    <cellStyle name="60% - Énfasis2" xfId="801" xr:uid="{ED7E58E3-890B-403D-AB9A-315B3482EAD4}"/>
    <cellStyle name="60% - Énfasis2 2" xfId="1817" xr:uid="{08930B78-3355-4735-81D5-68EABFBFBA4C}"/>
    <cellStyle name="60% - Énfasis3" xfId="802" xr:uid="{4477AE37-EBA9-4238-AD15-B2CA8348486A}"/>
    <cellStyle name="60% - Énfasis3 2" xfId="1818" xr:uid="{D1B21785-6480-4781-A315-215FDD2F1123}"/>
    <cellStyle name="60% - Énfasis4" xfId="803" xr:uid="{534323DF-B186-45AD-A875-1831A5037805}"/>
    <cellStyle name="60% - Énfasis4 2" xfId="1819" xr:uid="{C1178DB2-1E54-4027-9274-12C90B106F53}"/>
    <cellStyle name="60% - Énfasis5" xfId="804" xr:uid="{F588FA5D-E7C9-49FC-B88B-FE5A2BBD6690}"/>
    <cellStyle name="60% - Énfasis5 2" xfId="1820" xr:uid="{B4C84D68-77A5-4D3A-9B5F-219D1C3FDC0B}"/>
    <cellStyle name="60% - Énfasis6" xfId="805" xr:uid="{6025FA0A-03BF-44A3-AF3C-5DB081792582}"/>
    <cellStyle name="60% - Énfasis6 2" xfId="1821" xr:uid="{53214706-F93D-4172-90A8-CC677A69CE0F}"/>
    <cellStyle name="Accent" xfId="2736" xr:uid="{737907AF-0F17-4B1F-8FB5-23D03B6A7697}"/>
    <cellStyle name="Accent 1" xfId="2737" xr:uid="{54E282AD-E8AB-4173-B1BF-7DA3AB82382C}"/>
    <cellStyle name="Accent 2" xfId="2738" xr:uid="{061C5087-953E-48FE-AB6D-6B42957DAC78}"/>
    <cellStyle name="Accent 3" xfId="2739" xr:uid="{D44A27C3-45DC-4322-991C-8DE48A79FAF3}"/>
    <cellStyle name="Accent1" xfId="19" builtinId="29" customBuiltin="1"/>
    <cellStyle name="Accent1 2" xfId="832" xr:uid="{F528F9CC-58F6-4FFF-B86A-3AD437694B58}"/>
    <cellStyle name="Accent1 2 2" xfId="1828" xr:uid="{F63FD260-8A00-463A-A3AA-07DFC4B4FEF3}"/>
    <cellStyle name="Accent2" xfId="23" builtinId="33" customBuiltin="1"/>
    <cellStyle name="Accent2 2" xfId="833" xr:uid="{633557D7-964E-400E-8163-EA0F069E526E}"/>
    <cellStyle name="Accent2 2 2" xfId="1829" xr:uid="{7B4F2F5F-9B69-4EA3-9FE3-FABF99D1A35F}"/>
    <cellStyle name="Accent3" xfId="27" builtinId="37" customBuiltin="1"/>
    <cellStyle name="Accent3 2" xfId="834" xr:uid="{30F31282-79DB-43E3-BE44-E20BA60CECC6}"/>
    <cellStyle name="Accent3 2 2" xfId="1830" xr:uid="{58CA0047-C83F-46C0-BFF2-BBFB5C9713F8}"/>
    <cellStyle name="Accent4" xfId="31" builtinId="41" customBuiltin="1"/>
    <cellStyle name="Accent4 2" xfId="835" xr:uid="{5E1F9539-860D-4E01-8BB7-A5962B211D10}"/>
    <cellStyle name="Accent4 2 2" xfId="1831" xr:uid="{C145E9AA-E367-47DB-96EB-E553CAE68D0C}"/>
    <cellStyle name="Accent5" xfId="35" builtinId="45" customBuiltin="1"/>
    <cellStyle name="Accent5 2" xfId="836" xr:uid="{5004DFC7-64F4-4B3E-A9B7-FD9B5425888F}"/>
    <cellStyle name="Accent5 2 2" xfId="1832" xr:uid="{9535577C-D25C-459B-A322-390C92D71DAB}"/>
    <cellStyle name="Accent6" xfId="39" builtinId="49" customBuiltin="1"/>
    <cellStyle name="Accent6 2" xfId="837" xr:uid="{DCE223F5-3AA5-4A60-B7B9-4A59964DFF27}"/>
    <cellStyle name="Accent6 2 2" xfId="1833" xr:uid="{0142E906-C960-4C38-A821-3E27F4BFF732}"/>
    <cellStyle name="Avertissement" xfId="15" builtinId="11" customBuiltin="1"/>
    <cellStyle name="Avertissement 2" xfId="838" xr:uid="{E1A0D3D0-85E5-4726-9461-E23182B721B2}"/>
    <cellStyle name="Avertissement 2 2" xfId="1834" xr:uid="{F71FEEA3-F3FC-45C1-9865-C00BA264C691}"/>
    <cellStyle name="Bad" xfId="839" xr:uid="{35E8B3FF-562D-4DD4-9B66-851508C43BB3}"/>
    <cellStyle name="Bad 2" xfId="1835" xr:uid="{C86DB384-713C-4D36-9DCD-4865F10E5AE4}"/>
    <cellStyle name="Bad 3" xfId="2740" xr:uid="{3F6C6F77-6DFA-4B7D-A5FA-B8224586562F}"/>
    <cellStyle name="Bold GHG Numbers (0.00)" xfId="840" xr:uid="{2AACD874-F09D-4776-B460-B77CC1158C17}"/>
    <cellStyle name="Bold GHG Numbers (0.00) 2" xfId="1836" xr:uid="{407D45DE-6D52-47D7-B3DB-A48B7ADE17B4}"/>
    <cellStyle name="Bon" xfId="841" xr:uid="{7414F251-A0A9-47F7-9CC8-936BF763FF00}"/>
    <cellStyle name="Bon 2" xfId="1837" xr:uid="{838C8004-7ACB-4DAB-A7B8-FE200D7B4D21}"/>
    <cellStyle name="Buena" xfId="842" xr:uid="{0B40B1C3-6E33-4C7C-B467-236F0CDCE4FE}"/>
    <cellStyle name="Buena 2" xfId="1838" xr:uid="{EB2B176B-9FF8-4437-84B0-C12F86896034}"/>
    <cellStyle name="Calcolo" xfId="844" xr:uid="{18B048EA-9025-4FCE-9738-89FB64A25C4C}"/>
    <cellStyle name="Calcolo 2" xfId="1839" xr:uid="{3573108D-2174-4F51-B886-DE79D8F288AF}"/>
    <cellStyle name="Calcul" xfId="12" builtinId="22" customBuiltin="1"/>
    <cellStyle name="Calcul 2" xfId="845" xr:uid="{FE019454-5963-4865-8D5F-BFED5B7CC9B0}"/>
    <cellStyle name="Calcul 2 2" xfId="1840" xr:uid="{B2301BE8-EF9B-4399-8A5E-749C8154548A}"/>
    <cellStyle name="Calculation" xfId="846" xr:uid="{688F4FE1-9192-48B7-9C20-FD191551E86B}"/>
    <cellStyle name="Calculation 2" xfId="1841" xr:uid="{BB3C533D-4BD1-4379-972D-7E5391D3FF62}"/>
    <cellStyle name="Cálculo" xfId="843" xr:uid="{A74A6E37-4566-40E9-B9BC-77C6D0F94A6C}"/>
    <cellStyle name="Cálculo 2" xfId="1842" xr:uid="{41119F0E-E29B-4CE4-B4D5-CF670DCEEC11}"/>
    <cellStyle name="Celda de comprobación" xfId="847" xr:uid="{F8CDDA8C-2833-45C7-BC64-100869969840}"/>
    <cellStyle name="Celda de comprobación 2" xfId="1843" xr:uid="{A8F7A583-157C-4417-B8C8-B1F20C0ACCEB}"/>
    <cellStyle name="Celda vinculada" xfId="848" xr:uid="{6299E502-8505-446F-B230-28108668871A}"/>
    <cellStyle name="Celda vinculada 2" xfId="1844" xr:uid="{F667DA35-83E5-4CD7-81D3-265DEC8ED15C}"/>
    <cellStyle name="Cella collegata" xfId="849" xr:uid="{568F4478-6EB2-48EC-9431-166BB7747A91}"/>
    <cellStyle name="Cella collegata 2" xfId="1845" xr:uid="{CB298706-3D78-4B6B-BC8D-8BFA09EE0CCF}"/>
    <cellStyle name="Cella da controllare" xfId="850" xr:uid="{EAB6F780-24E7-48EF-A2DB-50627AE9166F}"/>
    <cellStyle name="Cella da controllare 2" xfId="1846" xr:uid="{66B95ADF-0DE3-49DC-A1DE-195EB2C96063}"/>
    <cellStyle name="Cellule liée" xfId="13" builtinId="24" customBuiltin="1"/>
    <cellStyle name="Cellule liée 2" xfId="851" xr:uid="{28FD5EF6-B486-4976-AC5D-5695D1B37EB8}"/>
    <cellStyle name="Cellule liée 2 2" xfId="1847" xr:uid="{36E5DEE4-D90A-4B53-820F-8921FC3B83AD}"/>
    <cellStyle name="Check Cell" xfId="852" xr:uid="{A2363AF3-CF22-4024-AC37-2C974AFBE400}"/>
    <cellStyle name="Check Cell 2" xfId="1848" xr:uid="{9096B684-C84B-4942-8863-4C35042AA101}"/>
    <cellStyle name="classeur | commentaire" xfId="853" xr:uid="{121C4451-B5FD-4554-B8CC-4B6195BD883E}"/>
    <cellStyle name="classeur | commentaire 2" xfId="854" xr:uid="{317A8F57-D9B0-4DC1-A88F-3F714F51B17F}"/>
    <cellStyle name="classeur | commentaire 2 2" xfId="1850" xr:uid="{F5941482-5296-44C6-8285-BF43F05A8FCB}"/>
    <cellStyle name="classeur | commentaire 3" xfId="855" xr:uid="{CE02C1C2-4DD3-4571-967D-B553B4B1680D}"/>
    <cellStyle name="classeur | commentaire 3 2" xfId="1851" xr:uid="{8A5CD534-9753-416C-9917-5C7D8BCD75E2}"/>
    <cellStyle name="classeur | commentaire 4" xfId="856" xr:uid="{18CBABED-8EA3-4D7B-BD88-9292A4C32213}"/>
    <cellStyle name="classeur | commentaire 4 2" xfId="1852" xr:uid="{3A26A7FD-F9EE-4C4B-9DFE-DF70EFBCD93E}"/>
    <cellStyle name="classeur | commentaire 5" xfId="857" xr:uid="{276D7417-15CE-4A44-8E21-C4ADFB9172A4}"/>
    <cellStyle name="classeur | commentaire 5 2" xfId="1853" xr:uid="{EB9BB7DF-FABB-459B-A261-7204875E459C}"/>
    <cellStyle name="classeur | commentaire 6" xfId="1849" xr:uid="{F613EFC9-6B2F-499C-8322-810DA3F81D6E}"/>
    <cellStyle name="classeur | extraction | series | particulier" xfId="858" xr:uid="{486E0446-9FF7-4B7F-9C88-3A289F5EC2A2}"/>
    <cellStyle name="classeur | extraction | series | particulier 2" xfId="859" xr:uid="{028F9BDC-E7C8-456D-BB54-F91D63A7202B}"/>
    <cellStyle name="classeur | extraction | series | particulier 2 2" xfId="860" xr:uid="{182A079F-668E-4B39-A19C-0CB164CB8248}"/>
    <cellStyle name="classeur | extraction | series | particulier 2 2 2" xfId="1856" xr:uid="{6BEE9563-9F08-4E75-914A-1ACD270165F6}"/>
    <cellStyle name="classeur | extraction | series | particulier 2 3" xfId="1855" xr:uid="{857ED3FD-395D-40A8-AC57-F07521742946}"/>
    <cellStyle name="classeur | extraction | series | particulier 3" xfId="861" xr:uid="{A4799072-FF5F-42B3-BC52-8BA860D77AAF}"/>
    <cellStyle name="classeur | extraction | series | particulier 3 2" xfId="1857" xr:uid="{224E641C-72F7-4962-8603-27CD6514A428}"/>
    <cellStyle name="classeur | extraction | series | particulier 4" xfId="862" xr:uid="{F9DCDB31-1680-41B1-A04A-3CCD191ECD9F}"/>
    <cellStyle name="classeur | extraction | series | particulier 4 2" xfId="1858" xr:uid="{D85A7EAD-05C8-4D1B-BE45-0B3E576227A7}"/>
    <cellStyle name="classeur | extraction | series | particulier 5" xfId="1854" xr:uid="{3D789D30-23EA-461C-8D85-6F906030B948}"/>
    <cellStyle name="classeur | extraction | series | quinquenal" xfId="863" xr:uid="{3CDD0506-165C-4ACF-AC90-9EB9ED49B8EA}"/>
    <cellStyle name="classeur | extraction | series | quinquenal 2" xfId="864" xr:uid="{2A51C4B6-C215-4DFA-B85A-83DEF6CA0BF1}"/>
    <cellStyle name="classeur | extraction | series | quinquenal 2 2" xfId="1860" xr:uid="{9A0E4ED3-C1C9-4015-8B4D-13D1467EF162}"/>
    <cellStyle name="classeur | extraction | series | quinquenal 3" xfId="865" xr:uid="{7D4D08D7-99F5-4163-B61B-878C5EAA7AF3}"/>
    <cellStyle name="classeur | extraction | series | quinquenal 3 2" xfId="1861" xr:uid="{C7D2D61B-24AC-425A-A6F6-9CEFA832275E}"/>
    <cellStyle name="classeur | extraction | series | quinquenal 4" xfId="866" xr:uid="{9D9A5335-4E15-404C-BFE0-C8377B4FCD13}"/>
    <cellStyle name="classeur | extraction | series | quinquenal 4 2" xfId="1862" xr:uid="{D823F5E4-089A-46C4-B45E-01ADEA8F979B}"/>
    <cellStyle name="classeur | extraction | series | quinquenal 5" xfId="867" xr:uid="{CC65CE58-D98F-48B4-ABA3-BE5C450DC5C0}"/>
    <cellStyle name="classeur | extraction | series | quinquenal 5 2" xfId="1863" xr:uid="{6E9BC2DF-C32B-4BD4-9B22-8A5F392BF326}"/>
    <cellStyle name="classeur | extraction | series | quinquenal 6" xfId="1859" xr:uid="{649295AD-E89D-4961-AF9E-1C19D88AD9FD}"/>
    <cellStyle name="classeur | extraction | series | sept dernieres" xfId="868" xr:uid="{6DE36F14-2E29-4E47-A258-EFC4B9A6A1A6}"/>
    <cellStyle name="classeur | extraction | series | sept dernieres 2" xfId="869" xr:uid="{69EA1D82-3D26-4001-8466-1A3621FE9A34}"/>
    <cellStyle name="classeur | extraction | series | sept dernieres 2 2" xfId="870" xr:uid="{6BCC3613-BE3A-400C-BFFF-F97C57EE7174}"/>
    <cellStyle name="classeur | extraction | series | sept dernieres 2 2 2" xfId="1866" xr:uid="{BF7B2609-DC1E-4E08-AF9A-C37B8C55F9A3}"/>
    <cellStyle name="classeur | extraction | series | sept dernieres 2 3" xfId="1865" xr:uid="{A0982708-10B6-4199-9F9C-8B315829ECE8}"/>
    <cellStyle name="classeur | extraction | series | sept dernieres 3" xfId="871" xr:uid="{9FE890BE-A2AF-451D-AE92-6EE5F8D0B3D6}"/>
    <cellStyle name="classeur | extraction | series | sept dernieres 3 2" xfId="1867" xr:uid="{849A9628-98F8-465C-83C2-311C002A47C5}"/>
    <cellStyle name="classeur | extraction | series | sept dernieres 4" xfId="872" xr:uid="{69BB87C4-D2C8-479C-AB21-4988E45CF977}"/>
    <cellStyle name="classeur | extraction | series | sept dernieres 4 2" xfId="1868" xr:uid="{FCE76742-F35C-418C-8598-3FFC611C9BD6}"/>
    <cellStyle name="classeur | extraction | series | sept dernieres 5" xfId="873" xr:uid="{234093FA-57DB-4B63-BDD6-6927EC851F2B}"/>
    <cellStyle name="classeur | extraction | series | sept dernieres 5 2" xfId="1869" xr:uid="{33BE169F-5A1B-44B5-8E3D-B946680F49BA}"/>
    <cellStyle name="classeur | extraction | series | sept dernieres 6" xfId="1864" xr:uid="{0D6C5ED3-E681-48A1-B3F5-D39643158CCA}"/>
    <cellStyle name="classeur | extraction | structure | dernier" xfId="874" xr:uid="{DEDDC60A-1310-46A5-A99E-3394A4BDA990}"/>
    <cellStyle name="classeur | extraction | structure | dernier 2" xfId="875" xr:uid="{076FC6F1-39ED-48B1-A4B2-14B963F83BBB}"/>
    <cellStyle name="classeur | extraction | structure | dernier 2 2" xfId="876" xr:uid="{F744DFF8-0687-4672-A620-0F084AF22DFB}"/>
    <cellStyle name="classeur | extraction | structure | dernier 2 2 2" xfId="1872" xr:uid="{160B4461-A3E6-4388-9C7F-99C34EFCAB05}"/>
    <cellStyle name="classeur | extraction | structure | dernier 2 3" xfId="1871" xr:uid="{8FFC9BE3-3960-44C4-8CC7-6D95377E05B2}"/>
    <cellStyle name="classeur | extraction | structure | dernier 3" xfId="877" xr:uid="{A6026BE5-16DF-4F0F-A1CC-4EDE40ED3BEF}"/>
    <cellStyle name="classeur | extraction | structure | dernier 3 2" xfId="1873" xr:uid="{DB2058CD-7DC2-4D4A-B007-33115976A85C}"/>
    <cellStyle name="classeur | extraction | structure | dernier 4" xfId="878" xr:uid="{7A8DCBDF-D7EB-45B6-936B-5F38882382C3}"/>
    <cellStyle name="classeur | extraction | structure | dernier 4 2" xfId="1874" xr:uid="{FF5055D5-CD81-44B9-89EB-1041DA86A0FF}"/>
    <cellStyle name="classeur | extraction | structure | dernier 5" xfId="879" xr:uid="{0C5A2D16-7B5F-4022-88AE-1A019BCA3D48}"/>
    <cellStyle name="classeur | extraction | structure | dernier 5 2" xfId="1875" xr:uid="{479E9767-4696-4B45-B365-04EA0699090D}"/>
    <cellStyle name="classeur | extraction | structure | dernier 6" xfId="1870" xr:uid="{D57D021E-1CE8-4386-AA4E-3A3DC1CCDDCC}"/>
    <cellStyle name="classeur | extraction | structure | deux derniers" xfId="880" xr:uid="{E89C165B-087C-4E81-8E7C-F059F12CCF42}"/>
    <cellStyle name="classeur | extraction | structure | deux derniers 2" xfId="881" xr:uid="{DA8499E6-E652-46A9-83B7-A0BF4BB7C200}"/>
    <cellStyle name="classeur | extraction | structure | deux derniers 2 2" xfId="1877" xr:uid="{21AD5E03-BF31-453D-8BA5-BD706861008A}"/>
    <cellStyle name="classeur | extraction | structure | deux derniers 3" xfId="882" xr:uid="{5FAF4368-47EE-4629-A7F0-7B47436C4B16}"/>
    <cellStyle name="classeur | extraction | structure | deux derniers 3 2" xfId="1878" xr:uid="{5C274690-59AA-404B-8B1E-FD0C0CD50F26}"/>
    <cellStyle name="classeur | extraction | structure | deux derniers 4" xfId="883" xr:uid="{70260E73-39B2-4072-86A0-4673ED9D2C77}"/>
    <cellStyle name="classeur | extraction | structure | deux derniers 4 2" xfId="1879" xr:uid="{C68A37B4-6048-4659-B917-3B0844EFE61B}"/>
    <cellStyle name="classeur | extraction | structure | deux derniers 5" xfId="884" xr:uid="{0163271D-2AA8-406B-AD31-E598DBE8E6EE}"/>
    <cellStyle name="classeur | extraction | structure | deux derniers 5 2" xfId="1880" xr:uid="{32AF0E7C-9C7F-45B6-A53E-225F19146923}"/>
    <cellStyle name="classeur | extraction | structure | deux derniers 6" xfId="1876" xr:uid="{FBED8674-9A3F-4A8E-AAFF-B5E5E9E24312}"/>
    <cellStyle name="classeur | extraction | structure | particulier" xfId="885" xr:uid="{643D02A1-F3F2-4581-8DB7-1DB6D7951D9C}"/>
    <cellStyle name="classeur | extraction | structure | particulier 2" xfId="886" xr:uid="{11FE371C-28F0-449B-8EEB-4265E1FFFEEA}"/>
    <cellStyle name="classeur | extraction | structure | particulier 2 2" xfId="887" xr:uid="{49BF1A79-A8D1-482D-85D3-AE4B22E68A32}"/>
    <cellStyle name="classeur | extraction | structure | particulier 2 2 2" xfId="1883" xr:uid="{4C1C4C71-EEA5-4F4F-90D5-157C4B6E0CA5}"/>
    <cellStyle name="classeur | extraction | structure | particulier 2 3" xfId="1882" xr:uid="{8D12DD2F-E460-41DB-91C7-95DF10F1DD60}"/>
    <cellStyle name="classeur | extraction | structure | particulier 3" xfId="888" xr:uid="{3C3ECC33-90C0-4081-9B1C-E2096332D9ED}"/>
    <cellStyle name="classeur | extraction | structure | particulier 3 2" xfId="1884" xr:uid="{D1144527-95C0-4798-82F1-032C0D28718B}"/>
    <cellStyle name="classeur | extraction | structure | particulier 4" xfId="889" xr:uid="{36E7BC1B-CCE0-41A5-83A8-77F44B9B9258}"/>
    <cellStyle name="classeur | extraction | structure | particulier 4 2" xfId="1885" xr:uid="{392EE492-368A-4AD1-8AE6-9DB61EF82892}"/>
    <cellStyle name="classeur | extraction | structure | particulier 5" xfId="890" xr:uid="{9F76A8FE-8E65-45C2-85C4-86A3335016A8}"/>
    <cellStyle name="classeur | extraction | structure | particulier 5 2" xfId="1886" xr:uid="{10A213B3-33B8-4690-A132-BFA14976915D}"/>
    <cellStyle name="classeur | extraction | structure | particulier 6" xfId="1881" xr:uid="{B291343D-C187-45E9-95A7-07C8D89E910D}"/>
    <cellStyle name="classeur | historique" xfId="891" xr:uid="{DE1B4B7A-7ADA-44CF-8661-A7B105F3D035}"/>
    <cellStyle name="classeur | historique 2" xfId="892" xr:uid="{E165B384-8CE8-41B3-B9C6-81DD8857E0E3}"/>
    <cellStyle name="classeur | historique 2 2" xfId="1888" xr:uid="{C6D2F95C-DC83-4C3A-AFE8-7BC2B316039A}"/>
    <cellStyle name="classeur | historique 3" xfId="893" xr:uid="{B0006BF2-A7F8-45C9-84A5-80C6BC29485A}"/>
    <cellStyle name="classeur | historique 3 2" xfId="1889" xr:uid="{85CD2400-21CB-4CE6-B505-F4D3F0229FF3}"/>
    <cellStyle name="classeur | historique 4" xfId="894" xr:uid="{B015FB42-D2F7-4169-BD2F-58DA98509648}"/>
    <cellStyle name="classeur | historique 4 2" xfId="1890" xr:uid="{3AEA209A-FA11-4D0F-B16B-38C9DFD89E04}"/>
    <cellStyle name="classeur | historique 5" xfId="895" xr:uid="{0DCCCE38-CE9B-4C00-9F1D-0AFA1911E4FF}"/>
    <cellStyle name="classeur | historique 5 2" xfId="1891" xr:uid="{9BFF3252-E645-4357-A6CD-33C8900AC8F3}"/>
    <cellStyle name="classeur | historique 6" xfId="1887" xr:uid="{70F9E437-3803-4017-AFB6-B6EA05CEDCA4}"/>
    <cellStyle name="classeur | note | numero" xfId="896" xr:uid="{32A1CE2C-59B2-4783-BC7B-495985706A3D}"/>
    <cellStyle name="classeur | note | numero 2" xfId="897" xr:uid="{115E709F-032A-4594-BB91-E5E9C2A5E549}"/>
    <cellStyle name="classeur | note | numero 2 2" xfId="898" xr:uid="{35F04F47-5059-47C1-81FF-E63032C4B2CC}"/>
    <cellStyle name="classeur | note | numero 2 2 2" xfId="1894" xr:uid="{D61A06D7-FB68-457F-8A56-8A4C4CE9FDAD}"/>
    <cellStyle name="classeur | note | numero 2 3" xfId="1893" xr:uid="{DC9C598F-B82B-47B1-B501-BC0A91A28190}"/>
    <cellStyle name="classeur | note | numero 3" xfId="899" xr:uid="{3134711B-CE21-4F09-BFF3-AAD705F90FE2}"/>
    <cellStyle name="classeur | note | numero 3 2" xfId="1895" xr:uid="{68C90597-9910-47C0-88AA-E43E73BF6339}"/>
    <cellStyle name="classeur | note | numero 4" xfId="900" xr:uid="{75491A6E-97D4-47C1-A05F-D68F7839E128}"/>
    <cellStyle name="classeur | note | numero 4 2" xfId="1896" xr:uid="{90C1BF4F-7E1E-45BF-8809-12C585F46351}"/>
    <cellStyle name="classeur | note | numero 5" xfId="1892" xr:uid="{E24CE228-8B2E-4BF6-9326-2B9CEAF8F485}"/>
    <cellStyle name="classeur | note | texte" xfId="901" xr:uid="{E30B5C5C-FB17-48CB-9AE4-EDEC04C75289}"/>
    <cellStyle name="classeur | note | texte 2" xfId="902" xr:uid="{D13C31A4-3AD1-42CF-A044-24E74B84C2D9}"/>
    <cellStyle name="classeur | note | texte 2 2" xfId="1898" xr:uid="{83E58127-6390-429E-B664-6F645BBF5D77}"/>
    <cellStyle name="classeur | note | texte 3" xfId="903" xr:uid="{1D56549B-635A-455F-9948-A873A5C31A1D}"/>
    <cellStyle name="classeur | note | texte 3 2" xfId="1899" xr:uid="{3C7636B7-53B5-4273-B78A-662901576C62}"/>
    <cellStyle name="classeur | note | texte 4" xfId="1897" xr:uid="{61ABA089-4566-4C9E-AFCB-E6EF9D9A3998}"/>
    <cellStyle name="classeur | periodicite | annee scolaire" xfId="904" xr:uid="{F3D8B189-3FF6-4316-9D64-FE872A0693A0}"/>
    <cellStyle name="classeur | periodicite | annee scolaire 2" xfId="905" xr:uid="{1AA6E47B-A5F8-421F-AF91-2094A4FC2E20}"/>
    <cellStyle name="classeur | periodicite | annee scolaire 2 2" xfId="1901" xr:uid="{76975C60-8FFD-4EBC-A329-95078241ED0C}"/>
    <cellStyle name="classeur | periodicite | annee scolaire 3" xfId="906" xr:uid="{FF28818E-0206-46DA-9BB3-FE176A7BA08D}"/>
    <cellStyle name="classeur | periodicite | annee scolaire 3 2" xfId="1902" xr:uid="{0B32201F-9BB3-4034-B02A-18E74E3068D4}"/>
    <cellStyle name="classeur | periodicite | annee scolaire 4" xfId="907" xr:uid="{BFFD89B0-2651-4279-99DE-2BAAF58F5BBB}"/>
    <cellStyle name="classeur | periodicite | annee scolaire 4 2" xfId="1903" xr:uid="{D60E252E-B583-4A0B-9F06-D461AC218D77}"/>
    <cellStyle name="classeur | periodicite | annee scolaire 5" xfId="908" xr:uid="{9B7F703E-2243-472C-9871-A7E9AF50CC50}"/>
    <cellStyle name="classeur | periodicite | annee scolaire 5 2" xfId="1904" xr:uid="{DB6E99C1-C844-47CA-8F14-857FC73D55F6}"/>
    <cellStyle name="classeur | periodicite | annee scolaire 6" xfId="1900" xr:uid="{7FC1EE27-729C-4444-A4EF-DC0B8A58E0E1}"/>
    <cellStyle name="classeur | periodicite | annuelle" xfId="909" xr:uid="{11574E9D-5F24-4636-BE15-003AE406BCAF}"/>
    <cellStyle name="classeur | periodicite | annuelle 2" xfId="910" xr:uid="{ECE65ECE-6394-475C-943C-AD322921D429}"/>
    <cellStyle name="classeur | periodicite | annuelle 2 2" xfId="1906" xr:uid="{FE7B19FB-0602-46EC-B0F9-23A89BE069BB}"/>
    <cellStyle name="classeur | periodicite | annuelle 3" xfId="911" xr:uid="{69538B9E-CA5E-4613-BDF9-2E27289301F9}"/>
    <cellStyle name="classeur | periodicite | annuelle 3 2" xfId="1907" xr:uid="{DE1095B4-3EDC-48CB-A96F-07297B03F2FD}"/>
    <cellStyle name="classeur | periodicite | annuelle 4" xfId="1905" xr:uid="{0C973442-4419-4B4D-9743-68CF349F3538}"/>
    <cellStyle name="classeur | periodicite | autre" xfId="912" xr:uid="{9444B890-9A0E-46F6-A243-838EBBA38BB6}"/>
    <cellStyle name="classeur | periodicite | autre 2" xfId="913" xr:uid="{6191F11E-7E9E-4E8D-98E7-08AC374DCE64}"/>
    <cellStyle name="classeur | periodicite | autre 2 2" xfId="914" xr:uid="{2ADF9B78-67C0-4EA9-A2AD-B887C1661934}"/>
    <cellStyle name="classeur | periodicite | autre 2 2 2" xfId="1910" xr:uid="{4011135B-67D4-49A7-AA70-8B5A83B1F09A}"/>
    <cellStyle name="classeur | periodicite | autre 2 3" xfId="1909" xr:uid="{5657D37A-A825-4DF2-A864-64DA16518FFE}"/>
    <cellStyle name="classeur | periodicite | autre 3" xfId="915" xr:uid="{EA6DD6F6-0B8A-4072-ACD6-33C742BDFED4}"/>
    <cellStyle name="classeur | periodicite | autre 3 2" xfId="1911" xr:uid="{0874D8AA-BCD1-4CAC-85ED-ACB45CF67898}"/>
    <cellStyle name="classeur | periodicite | autre 4" xfId="1908" xr:uid="{99D7E905-81AC-4A63-965B-4626A15CE99C}"/>
    <cellStyle name="classeur | periodicite | bimestrielle" xfId="916" xr:uid="{BA86AB18-C5ED-4280-9349-A52F34DA102B}"/>
    <cellStyle name="classeur | periodicite | bimestrielle 2" xfId="917" xr:uid="{A7B32369-B876-42F6-AD2D-640CCF299A85}"/>
    <cellStyle name="classeur | periodicite | bimestrielle 2 2" xfId="918" xr:uid="{FF3FE704-B40D-40F1-8138-962FA1DC129C}"/>
    <cellStyle name="classeur | periodicite | bimestrielle 2 2 2" xfId="1914" xr:uid="{D17C83AD-188E-4A79-8ED3-A30161C5BECA}"/>
    <cellStyle name="classeur | periodicite | bimestrielle 2 3" xfId="1913" xr:uid="{09E62A9D-2051-413E-90B0-1A5AD5F1FB20}"/>
    <cellStyle name="classeur | periodicite | bimestrielle 3" xfId="919" xr:uid="{42A4C540-BAE9-48BE-B275-149DA6C0DABF}"/>
    <cellStyle name="classeur | periodicite | bimestrielle 3 2" xfId="1915" xr:uid="{5E38EC5C-A28E-41BC-888F-1B0BB6AE20B2}"/>
    <cellStyle name="classeur | periodicite | bimestrielle 4" xfId="920" xr:uid="{3E57F90E-CF00-4780-A8C2-4DEA6B25E171}"/>
    <cellStyle name="classeur | periodicite | bimestrielle 4 2" xfId="1916" xr:uid="{C85A2ECC-0827-4FCE-8975-D824CD6410C6}"/>
    <cellStyle name="classeur | periodicite | bimestrielle 5" xfId="921" xr:uid="{8891ECC7-CC62-4D97-AF3B-E272840EDDF9}"/>
    <cellStyle name="classeur | periodicite | bimestrielle 5 2" xfId="1917" xr:uid="{E72B90CB-0EE7-4306-ACA9-E41AAF1407E7}"/>
    <cellStyle name="classeur | periodicite | bimestrielle 6" xfId="1912" xr:uid="{8AAC44F9-6F2D-4F03-9C13-2C59FEB57D72}"/>
    <cellStyle name="classeur | periodicite | mensuelle" xfId="922" xr:uid="{EC12144E-2336-4A29-B274-75DA824DE784}"/>
    <cellStyle name="classeur | periodicite | mensuelle 2" xfId="923" xr:uid="{5BFFD6B3-D8BC-4ABD-987C-0BDB6CAD39A4}"/>
    <cellStyle name="classeur | periodicite | mensuelle 2 2" xfId="1919" xr:uid="{43B71025-D62E-458B-862D-9B593B59C9C6}"/>
    <cellStyle name="classeur | periodicite | mensuelle 3" xfId="924" xr:uid="{5ED21A66-9628-4F61-A5CA-523F1AF6C1C7}"/>
    <cellStyle name="classeur | periodicite | mensuelle 3 2" xfId="1920" xr:uid="{81A3AEDA-5BE5-4539-BCDA-2B546F94DD75}"/>
    <cellStyle name="classeur | periodicite | mensuelle 4" xfId="925" xr:uid="{4E86F73B-7075-4370-BCF0-C70B0CA12055}"/>
    <cellStyle name="classeur | periodicite | mensuelle 4 2" xfId="1921" xr:uid="{37FE1BB4-F0E0-4B80-A528-ADEEE096F2FA}"/>
    <cellStyle name="classeur | periodicite | mensuelle 5" xfId="926" xr:uid="{CECC647D-577C-447D-83E3-69763DD31F11}"/>
    <cellStyle name="classeur | periodicite | mensuelle 5 2" xfId="1922" xr:uid="{389DC226-BD54-4485-AA23-C075298A7905}"/>
    <cellStyle name="classeur | periodicite | mensuelle 6" xfId="1918" xr:uid="{47DEC096-E571-4EB9-9685-5A6111EA9C48}"/>
    <cellStyle name="classeur | periodicite | semestrielle" xfId="927" xr:uid="{8E545E6B-67BA-4760-8CD8-72C8F167E068}"/>
    <cellStyle name="classeur | periodicite | semestrielle 2" xfId="928" xr:uid="{637378C2-28DE-4D00-8E54-5400623693FE}"/>
    <cellStyle name="classeur | periodicite | semestrielle 2 2" xfId="1924" xr:uid="{CC244511-BCF0-474A-9C6F-55758DC3F8BC}"/>
    <cellStyle name="classeur | periodicite | semestrielle 3" xfId="929" xr:uid="{5CAB7A12-C70F-4316-8E17-129AB6504B80}"/>
    <cellStyle name="classeur | periodicite | semestrielle 3 2" xfId="1925" xr:uid="{9CB854A7-E451-41BD-B863-84FEAF522BAC}"/>
    <cellStyle name="classeur | periodicite | semestrielle 4" xfId="930" xr:uid="{BAE13F58-1CDD-4980-B122-E8CAD5D6B429}"/>
    <cellStyle name="classeur | periodicite | semestrielle 4 2" xfId="1926" xr:uid="{E9D7BF15-8049-41EB-92D9-5B8A30CE80F4}"/>
    <cellStyle name="classeur | periodicite | semestrielle 5" xfId="1923" xr:uid="{762FBA22-5221-4AEE-A893-44A8491D1A37}"/>
    <cellStyle name="classeur | periodicite | trimestrielle" xfId="931" xr:uid="{423E0956-DA2E-44EE-A371-D4407696CF43}"/>
    <cellStyle name="classeur | periodicite | trimestrielle 2" xfId="932" xr:uid="{D0B4FF54-AE69-42F9-AF66-119E3E7E149E}"/>
    <cellStyle name="classeur | periodicite | trimestrielle 2 2" xfId="933" xr:uid="{AC56BBF9-0D60-4D7E-9067-0A574716ACF3}"/>
    <cellStyle name="classeur | periodicite | trimestrielle 2 2 2" xfId="1929" xr:uid="{CC976AB7-A131-4870-B803-1CEF32286666}"/>
    <cellStyle name="classeur | periodicite | trimestrielle 2 3" xfId="1928" xr:uid="{6DE6290C-94A0-4935-94F1-5CA157A06E6B}"/>
    <cellStyle name="classeur | periodicite | trimestrielle 3" xfId="934" xr:uid="{69252897-2EDB-4BF5-BF3D-5BF22D52AFCD}"/>
    <cellStyle name="classeur | periodicite | trimestrielle 3 2" xfId="1930" xr:uid="{644EAD34-DB05-410C-9DC1-E029DEB8D0A2}"/>
    <cellStyle name="classeur | periodicite | trimestrielle 4" xfId="935" xr:uid="{94314DB7-F3E9-4233-B3BE-BDB6A292FD7E}"/>
    <cellStyle name="classeur | periodicite | trimestrielle 4 2" xfId="1931" xr:uid="{C8544ACA-8B85-4CA7-AA18-EBAA70ACEEB9}"/>
    <cellStyle name="classeur | periodicite | trimestrielle 5" xfId="936" xr:uid="{E6B5D4C6-B7BD-4231-ABFF-6BAD726FAAE4}"/>
    <cellStyle name="classeur | periodicite | trimestrielle 5 2" xfId="1932" xr:uid="{10286E0C-BB54-4945-A7BE-B0773D6C9676}"/>
    <cellStyle name="classeur | periodicite | trimestrielle 6" xfId="1927" xr:uid="{2651D35F-1736-419B-87C4-10F0E60B3B8C}"/>
    <cellStyle name="classeur | reference | aucune" xfId="937" xr:uid="{F379CD0F-B40C-4C01-91E3-D2D9E39D6B25}"/>
    <cellStyle name="classeur | reference | aucune 2" xfId="938" xr:uid="{B555CAF6-92B2-40E2-915A-941A4F7478EB}"/>
    <cellStyle name="classeur | reference | aucune 2 2" xfId="939" xr:uid="{31AFEBB0-9C8F-4A6A-B46F-F0211ABD9B7D}"/>
    <cellStyle name="classeur | reference | aucune 2 2 2" xfId="1935" xr:uid="{A29B4B0B-6932-426B-96CE-75BF4A0A2EC3}"/>
    <cellStyle name="classeur | reference | aucune 2 3" xfId="1934" xr:uid="{9EE1F09D-F747-4254-8021-EC62389A2351}"/>
    <cellStyle name="classeur | reference | aucune 3" xfId="940" xr:uid="{51EC2EB0-4B6E-4E2F-9252-48CC88058D9C}"/>
    <cellStyle name="classeur | reference | aucune 3 2" xfId="1936" xr:uid="{EC1DE715-4A43-4523-88FB-F6CA82EFDE3B}"/>
    <cellStyle name="classeur | reference | aucune 4" xfId="941" xr:uid="{6DCF1085-FE1A-4F65-AC66-1B25309EDD11}"/>
    <cellStyle name="classeur | reference | aucune 4 2" xfId="1937" xr:uid="{9915196F-8319-4BF0-86BA-FC28DB404379}"/>
    <cellStyle name="classeur | reference | aucune 5" xfId="942" xr:uid="{30702FBE-5349-4BB0-ADFB-3B986E17989D}"/>
    <cellStyle name="classeur | reference | aucune 5 2" xfId="1938" xr:uid="{3A4F5508-26D3-4E27-B169-BEBC9BD2E29F}"/>
    <cellStyle name="classeur | reference | aucune 6" xfId="1933" xr:uid="{DA585AA9-1A7F-474F-B11F-569B2A484C6F}"/>
    <cellStyle name="classeur | reference | tabl-series compose" xfId="943" xr:uid="{366EB9E7-CFE7-4B33-9CC7-70D7B4FAE439}"/>
    <cellStyle name="classeur | reference | tabl-series compose 2" xfId="944" xr:uid="{26C0E468-D232-433F-9FC0-D7C9E20507AD}"/>
    <cellStyle name="classeur | reference | tabl-series compose 2 2" xfId="945" xr:uid="{43F2B9D8-768E-483B-B143-E373D40A87C5}"/>
    <cellStyle name="classeur | reference | tabl-series compose 2 2 2" xfId="1941" xr:uid="{DBFE52C9-93AF-460F-B77E-9B40179D47FF}"/>
    <cellStyle name="classeur | reference | tabl-series compose 2 3" xfId="1940" xr:uid="{87D05689-EC3B-482C-A931-CB754DF25EC3}"/>
    <cellStyle name="classeur | reference | tabl-series compose 3" xfId="946" xr:uid="{3EC4B34A-0AA8-49E6-AF36-94B7E275C1CA}"/>
    <cellStyle name="classeur | reference | tabl-series compose 3 2" xfId="1942" xr:uid="{B6E634DC-6958-4542-B5D2-7537C2292A58}"/>
    <cellStyle name="classeur | reference | tabl-series compose 4" xfId="947" xr:uid="{809D4C39-28C2-4A74-A2CA-64F91384EA24}"/>
    <cellStyle name="classeur | reference | tabl-series compose 4 2" xfId="1943" xr:uid="{F8AF72B3-847D-4915-B737-CC30FF15216E}"/>
    <cellStyle name="classeur | reference | tabl-series compose 5" xfId="948" xr:uid="{5BD45BC0-C22E-4818-AE31-EF42A9573762}"/>
    <cellStyle name="classeur | reference | tabl-series compose 5 2" xfId="1944" xr:uid="{935C0F33-83E3-48D2-8851-6353D84F5E87}"/>
    <cellStyle name="classeur | reference | tabl-series compose 6" xfId="1939" xr:uid="{AF04B3F5-7C1C-47E2-8F02-C34542B783F6}"/>
    <cellStyle name="classeur | reference | tabl-series simple (particulier)" xfId="949" xr:uid="{DAB9F85B-53BC-45EA-9C5F-0968836B3B78}"/>
    <cellStyle name="classeur | reference | tabl-series simple (particulier) 2" xfId="950" xr:uid="{DA2BE410-3D10-49DE-9DF1-B712000E5996}"/>
    <cellStyle name="classeur | reference | tabl-series simple (particulier) 2 2" xfId="951" xr:uid="{630BDA93-E3F0-4555-A033-EEABB4E2D752}"/>
    <cellStyle name="classeur | reference | tabl-series simple (particulier) 2 2 2" xfId="1947" xr:uid="{54E9FB40-45EF-4512-BD2E-C8D08B024195}"/>
    <cellStyle name="classeur | reference | tabl-series simple (particulier) 2 3" xfId="1946" xr:uid="{10A57948-3A6D-4CB4-80EA-7EED9F8EB97E}"/>
    <cellStyle name="classeur | reference | tabl-series simple (particulier) 3" xfId="952" xr:uid="{F4436D59-9ECB-4B4F-8B3C-F88DE8DB27EB}"/>
    <cellStyle name="classeur | reference | tabl-series simple (particulier) 3 2" xfId="1948" xr:uid="{68B7102B-97C2-410C-949E-FE0224939111}"/>
    <cellStyle name="classeur | reference | tabl-series simple (particulier) 4" xfId="1945" xr:uid="{D11EFE44-DF6C-46E0-ABD1-67BBD2796243}"/>
    <cellStyle name="classeur | reference | tabl-series simple (standard)" xfId="953" xr:uid="{AD3548DA-2B3F-4D65-9B3A-03CCFA47F401}"/>
    <cellStyle name="classeur | reference | tabl-series simple (standard) 2" xfId="954" xr:uid="{02EB965E-7D9B-428E-9AFB-E9A84B137C7E}"/>
    <cellStyle name="classeur | reference | tabl-series simple (standard) 2 2" xfId="955" xr:uid="{E8D0ED52-A896-44FF-9ED8-F9F6EF8A9778}"/>
    <cellStyle name="classeur | reference | tabl-series simple (standard) 2 2 2" xfId="1951" xr:uid="{14AC7652-9C6A-46A4-8F01-871AAF53DB87}"/>
    <cellStyle name="classeur | reference | tabl-series simple (standard) 2 3" xfId="1950" xr:uid="{35F135E2-DF6C-4A6E-8D8A-77F7BF3FAF70}"/>
    <cellStyle name="classeur | reference | tabl-series simple (standard) 3" xfId="956" xr:uid="{0CD62AE0-A04C-4926-A2E3-AC09F5303648}"/>
    <cellStyle name="classeur | reference | tabl-series simple (standard) 3 2" xfId="1952" xr:uid="{EB7AEF17-651E-4619-BEF6-CF5EC95BDAAA}"/>
    <cellStyle name="classeur | reference | tabl-series simple (standard) 4" xfId="957" xr:uid="{65C5733D-B6CB-4B6C-8538-A0E4A5F3BC6E}"/>
    <cellStyle name="classeur | reference | tabl-series simple (standard) 4 2" xfId="1953" xr:uid="{85C263D5-B512-4A1F-82B7-047F00C04EB1}"/>
    <cellStyle name="classeur | reference | tabl-series simple (standard) 5" xfId="958" xr:uid="{0CC6523F-7645-4AAB-89F9-2F1B26692AC0}"/>
    <cellStyle name="classeur | reference | tabl-series simple (standard) 5 2" xfId="1954" xr:uid="{360A8B83-368D-4789-BC0B-DAD031B6CEAF}"/>
    <cellStyle name="classeur | reference | tabl-series simple (standard) 6" xfId="1949" xr:uid="{937F4785-B568-411E-A50C-FF9D0E0FF097}"/>
    <cellStyle name="classeur | reference | tabl-structure (particulier)" xfId="959" xr:uid="{EABFA3C4-5C93-48F0-9C1F-FC509D068E5B}"/>
    <cellStyle name="classeur | reference | tabl-structure (particulier) 2" xfId="960" xr:uid="{75C53325-9A03-4260-8FD3-5B185C584EE5}"/>
    <cellStyle name="classeur | reference | tabl-structure (particulier) 2 2" xfId="1956" xr:uid="{110F3646-0091-487D-853A-4B0C413F7AB2}"/>
    <cellStyle name="classeur | reference | tabl-structure (particulier) 3" xfId="961" xr:uid="{5174E878-7165-43E3-8CF2-EC59C1C94711}"/>
    <cellStyle name="classeur | reference | tabl-structure (particulier) 3 2" xfId="1957" xr:uid="{5B6B4F96-2F6E-45E4-A4C5-8514534C2D6D}"/>
    <cellStyle name="classeur | reference | tabl-structure (particulier) 4" xfId="962" xr:uid="{7631FE40-DCB5-476E-AF42-DF906AF8358E}"/>
    <cellStyle name="classeur | reference | tabl-structure (particulier) 4 2" xfId="1958" xr:uid="{45644F8E-53F0-4930-98BF-424EA10DBF24}"/>
    <cellStyle name="classeur | reference | tabl-structure (particulier) 5" xfId="1955" xr:uid="{769546F9-D55A-46E6-9939-A5DA9157E85F}"/>
    <cellStyle name="classeur | reference | tabl-structure (standard)" xfId="963" xr:uid="{037A533E-93AB-4C00-B4C1-75B09D8C7195}"/>
    <cellStyle name="classeur | reference | tabl-structure (standard) 2" xfId="964" xr:uid="{D7A6FD38-6C96-427F-8DEB-354B1DFF7824}"/>
    <cellStyle name="classeur | reference | tabl-structure (standard) 2 2" xfId="1960" xr:uid="{BA2A260D-208B-426E-B827-D27504401CE7}"/>
    <cellStyle name="classeur | reference | tabl-structure (standard) 3" xfId="965" xr:uid="{C9AF2D29-8449-4FE9-9BE5-E89BE4BC9C72}"/>
    <cellStyle name="classeur | reference | tabl-structure (standard) 3 2" xfId="1961" xr:uid="{5BEFF99B-944C-4C55-BACC-30440168B75A}"/>
    <cellStyle name="classeur | reference | tabl-structure (standard) 4" xfId="966" xr:uid="{FE9390A3-3E7E-46DD-83EC-F48DCF54AB0E}"/>
    <cellStyle name="classeur | reference | tabl-structure (standard) 4 2" xfId="1962" xr:uid="{A7838AE5-BB79-48F7-8BEA-8B2DC54B4F08}"/>
    <cellStyle name="classeur | reference | tabl-structure (standard) 5" xfId="967" xr:uid="{A05A4DCC-46DF-4857-BDAF-7DC687A07435}"/>
    <cellStyle name="classeur | reference | tabl-structure (standard) 5 2" xfId="1963" xr:uid="{22F41531-A355-4A5F-A6D6-1769C5D96E54}"/>
    <cellStyle name="classeur | reference | tabl-structure (standard) 6" xfId="1959" xr:uid="{3E316FC1-F4CC-45DE-855F-7499CEF4FA76}"/>
    <cellStyle name="classeur | theme | intitule" xfId="968" xr:uid="{A20AB708-6BA8-4642-85AE-791F0CD16E1E}"/>
    <cellStyle name="classeur | theme | intitule 2" xfId="969" xr:uid="{D36C0D72-C1E8-40E0-BAC0-8FB7B179E2D3}"/>
    <cellStyle name="classeur | theme | intitule 2 2" xfId="1965" xr:uid="{F3133550-A097-4B85-A4BA-950D0157F449}"/>
    <cellStyle name="classeur | theme | intitule 3" xfId="970" xr:uid="{856F57E8-DADF-4330-AC1B-0724A943467F}"/>
    <cellStyle name="classeur | theme | intitule 3 2" xfId="1966" xr:uid="{93B1C493-BFA8-4F94-80CB-D8016B265276}"/>
    <cellStyle name="classeur | theme | intitule 4" xfId="971" xr:uid="{CD05B03E-D45B-4BB6-A97D-364B1E7B1E61}"/>
    <cellStyle name="classeur | theme | intitule 4 2" xfId="1967" xr:uid="{0AF8A9A1-9DE1-4DDA-BC84-1B6700E4DDB0}"/>
    <cellStyle name="classeur | theme | intitule 5" xfId="972" xr:uid="{CC9806C4-421C-4F4D-A1A8-B8293402B959}"/>
    <cellStyle name="classeur | theme | intitule 5 2" xfId="1968" xr:uid="{DE199853-6AAD-4E75-B359-FA69CCEFE26E}"/>
    <cellStyle name="classeur | theme | intitule 6" xfId="1964" xr:uid="{38CEF41F-7FFE-439D-85EC-1F32870D8532}"/>
    <cellStyle name="classeur | theme | notice explicative" xfId="973" xr:uid="{CA86AABB-EE2C-4F1A-80D8-A318B6334DE7}"/>
    <cellStyle name="classeur | theme | notice explicative 2" xfId="974" xr:uid="{D5A5ABAD-FF10-4DEB-BAEE-0618B87A1B98}"/>
    <cellStyle name="classeur | theme | notice explicative 2 2" xfId="975" xr:uid="{33C4DC2C-6D26-4D5C-9789-3BB856B3A451}"/>
    <cellStyle name="classeur | theme | notice explicative 2 2 2" xfId="1971" xr:uid="{EA7858FD-7298-44DF-9F1E-1B4E8C105EDE}"/>
    <cellStyle name="classeur | theme | notice explicative 2 3" xfId="1970" xr:uid="{9101EC47-B146-463B-BE7D-26BEB17F292B}"/>
    <cellStyle name="classeur | theme | notice explicative 3" xfId="976" xr:uid="{C7939F75-4047-4FCC-970D-E84FBFD68374}"/>
    <cellStyle name="classeur | theme | notice explicative 3 2" xfId="1972" xr:uid="{949457E5-1AE9-46F4-B46A-37E2F32471A4}"/>
    <cellStyle name="classeur | theme | notice explicative 4" xfId="977" xr:uid="{31E66407-9A1F-46BF-8B5F-3612BDF2E208}"/>
    <cellStyle name="classeur | theme | notice explicative 4 2" xfId="1973" xr:uid="{D358F77C-1F25-4261-BB95-4EB599D704E5}"/>
    <cellStyle name="classeur | theme | notice explicative 5" xfId="1969" xr:uid="{C9D902AF-5227-4DDB-9DE7-0A21A4A7AFB0}"/>
    <cellStyle name="classeur | titre | niveau 1" xfId="978" xr:uid="{A4B4800B-1CBC-4566-9786-543ACA8A8016}"/>
    <cellStyle name="classeur | titre | niveau 1 2" xfId="979" xr:uid="{0A6FB2C2-99D0-43CC-A3FB-020BEA935189}"/>
    <cellStyle name="classeur | titre | niveau 1 2 2" xfId="1975" xr:uid="{0BE41E6F-E7F6-466A-975B-D5A035857132}"/>
    <cellStyle name="classeur | titre | niveau 1 3" xfId="980" xr:uid="{E263A186-3058-49E5-8672-48B8FEF721FA}"/>
    <cellStyle name="classeur | titre | niveau 1 3 2" xfId="1976" xr:uid="{9584179E-96AD-4617-962E-C02D02CFFDBD}"/>
    <cellStyle name="classeur | titre | niveau 1 4" xfId="981" xr:uid="{8DF77F6E-EC0E-4CBF-A9C5-4A86F524DDA2}"/>
    <cellStyle name="classeur | titre | niveau 1 4 2" xfId="1977" xr:uid="{3E671060-C3AC-47C8-8F29-6DB7C7EBD13A}"/>
    <cellStyle name="classeur | titre | niveau 1 5" xfId="982" xr:uid="{6FBA29A3-7917-4D3C-89C7-D0A12BDDF56D}"/>
    <cellStyle name="classeur | titre | niveau 1 5 2" xfId="1978" xr:uid="{86F0BDE8-8898-42B7-A5D9-8BB9226D05F5}"/>
    <cellStyle name="classeur | titre | niveau 1 6" xfId="1974" xr:uid="{CC36DC55-3F44-4502-8849-6ABCB1A9E4E0}"/>
    <cellStyle name="classeur | titre | niveau 2" xfId="983" xr:uid="{28C5AAD6-D1C8-4269-9812-FF4CC488F67D}"/>
    <cellStyle name="classeur | titre | niveau 2 2" xfId="984" xr:uid="{175C1F60-AF21-4FE8-80EC-CDC8E407C920}"/>
    <cellStyle name="classeur | titre | niveau 2 2 2" xfId="1980" xr:uid="{8B285343-7903-4B87-A766-724B07E00537}"/>
    <cellStyle name="classeur | titre | niveau 2 3" xfId="985" xr:uid="{40ED0F26-51C8-466E-BB96-44421BD75282}"/>
    <cellStyle name="classeur | titre | niveau 2 3 2" xfId="1981" xr:uid="{9455D5A9-B56B-4DE2-A5A3-3FB436A30E93}"/>
    <cellStyle name="classeur | titre | niveau 2 4" xfId="986" xr:uid="{2C2D0026-6C2F-4C1A-86EA-2B6CF1E44203}"/>
    <cellStyle name="classeur | titre | niveau 2 4 2" xfId="1982" xr:uid="{C3E712DE-F044-480B-9CA4-2651BDE71B75}"/>
    <cellStyle name="classeur | titre | niveau 2 5" xfId="1979" xr:uid="{34A732CF-0CFA-4E1C-B82C-E170A4D1EACB}"/>
    <cellStyle name="classeur | titre | niveau 3" xfId="987" xr:uid="{7484A6CC-F6FB-45F5-96B2-F648C1DE2608}"/>
    <cellStyle name="classeur | titre | niveau 3 2" xfId="988" xr:uid="{FB0BDD5B-0EEE-4CD0-B9C6-7FB6DABE8799}"/>
    <cellStyle name="classeur | titre | niveau 3 2 2" xfId="1984" xr:uid="{68F1D2D8-60AC-45F8-8970-77AE3D466207}"/>
    <cellStyle name="classeur | titre | niveau 3 3" xfId="989" xr:uid="{612A9D6C-DC51-4B19-9B9C-E93999206943}"/>
    <cellStyle name="classeur | titre | niveau 3 3 2" xfId="1985" xr:uid="{D60A859C-DC69-4527-909B-0FCC6037AC83}"/>
    <cellStyle name="classeur | titre | niveau 3 4" xfId="1983" xr:uid="{66A0C37B-CEC2-40AB-90B0-7CE5016C912F}"/>
    <cellStyle name="classeur | titre | niveau 4" xfId="990" xr:uid="{9A51DEC8-7A42-4AF5-9D1D-F594F6EF1E99}"/>
    <cellStyle name="classeur | titre | niveau 4 2" xfId="991" xr:uid="{136CF1B6-C6DB-4BC0-8980-000D82A97F2C}"/>
    <cellStyle name="classeur | titre | niveau 4 2 2" xfId="1987" xr:uid="{76EA61CE-39B0-40B9-BD0C-AD126748D090}"/>
    <cellStyle name="classeur | titre | niveau 4 3" xfId="992" xr:uid="{B2A2AC04-2454-4661-A47A-9D47CCE3988F}"/>
    <cellStyle name="classeur | titre | niveau 4 3 2" xfId="1988" xr:uid="{DA67E138-73AB-41F2-B0FC-69A634ABADA9}"/>
    <cellStyle name="classeur | titre | niveau 4 4" xfId="993" xr:uid="{696636A1-88E0-439A-9014-A8664A17339E}"/>
    <cellStyle name="classeur | titre | niveau 4 4 2" xfId="1989" xr:uid="{6A2C55E6-D4F3-4439-9196-2DCE8F338C43}"/>
    <cellStyle name="classeur | titre | niveau 4 5" xfId="994" xr:uid="{EDE5961F-1FD5-47F1-A756-6EDBA3364495}"/>
    <cellStyle name="classeur | titre | niveau 4 5 2" xfId="1990" xr:uid="{8190E70C-F247-45C7-B01F-AC5FEFE15708}"/>
    <cellStyle name="classeur | titre | niveau 4 6" xfId="1986" xr:uid="{46CA7CFB-3AE5-4A63-8F81-800D06758884}"/>
    <cellStyle name="classeur | titre | niveau 5" xfId="995" xr:uid="{37C19371-FCC4-417A-A69E-8216FA5047CD}"/>
    <cellStyle name="classeur | titre | niveau 5 2" xfId="996" xr:uid="{81C022B2-0019-47BA-96E9-811120F4038F}"/>
    <cellStyle name="classeur | titre | niveau 5 2 2" xfId="1992" xr:uid="{9E10EED6-C5C7-4F9D-8B58-A24E3F3FB96E}"/>
    <cellStyle name="classeur | titre | niveau 5 3" xfId="997" xr:uid="{EA617476-35AA-4432-9931-A24DD0EF1CF4}"/>
    <cellStyle name="classeur | titre | niveau 5 3 2" xfId="1993" xr:uid="{9E567B84-5009-4520-925E-98CA38CA572F}"/>
    <cellStyle name="classeur | titre | niveau 5 4" xfId="1991" xr:uid="{1C2BB3DE-B83E-4992-89D1-1B40B2BDFC93}"/>
    <cellStyle name="coin" xfId="998" xr:uid="{E66980C0-A06E-439B-BF94-90BB702795D8}"/>
    <cellStyle name="coin 2" xfId="999" xr:uid="{60410A01-4BD8-4CF0-BAFD-70FAE7CD3B96}"/>
    <cellStyle name="coin 2 2" xfId="1995" xr:uid="{0F658C44-5451-4E7F-AA55-7DF7A20E6EBC}"/>
    <cellStyle name="coin 3" xfId="1000" xr:uid="{881C68AD-8D94-49B2-8877-142F1DFB50BD}"/>
    <cellStyle name="coin 3 2" xfId="1996" xr:uid="{027D2E0C-FE29-4B03-8E74-D095F5C41533}"/>
    <cellStyle name="coin 4" xfId="1994" xr:uid="{78411448-10A7-416F-80DF-3358D84A5642}"/>
    <cellStyle name="Colore 1" xfId="1001" xr:uid="{CCF01205-D6CC-4D59-96B7-437157ABDE12}"/>
    <cellStyle name="Colore 1 2" xfId="1997" xr:uid="{ED2D6A96-CEC9-4CBB-9755-421203D5ACFC}"/>
    <cellStyle name="Colore 2" xfId="1002" xr:uid="{AF12F9AF-B911-4925-9E98-2D38D6619ECD}"/>
    <cellStyle name="Colore 2 2" xfId="1998" xr:uid="{B8C58EF3-3869-463B-841A-49004EB56AC9}"/>
    <cellStyle name="Colore 3" xfId="1003" xr:uid="{5BE6D40E-19CA-4EA4-9009-54FDAB0077C4}"/>
    <cellStyle name="Colore 3 2" xfId="1999" xr:uid="{B616B01D-4E99-4E78-BD48-2BD8410FD059}"/>
    <cellStyle name="Colore 4" xfId="1004" xr:uid="{107D286E-F5CB-4042-B380-6D0A853BC38D}"/>
    <cellStyle name="Colore 4 2" xfId="2000" xr:uid="{070075BC-C362-4575-A73B-DFA307AAAC69}"/>
    <cellStyle name="Colore 5" xfId="1005" xr:uid="{720B2085-693F-4439-836C-5FB46FF1C788}"/>
    <cellStyle name="Colore 5 2" xfId="2001" xr:uid="{E9455C3E-4DB2-4F11-9329-E4D96727F02F}"/>
    <cellStyle name="Colore 6" xfId="1006" xr:uid="{EA043E26-E3D6-44CE-B60A-4460C7233488}"/>
    <cellStyle name="Colore 6 2" xfId="2002" xr:uid="{E2F5E03B-3D83-4CF8-AB82-5464D8425BFA}"/>
    <cellStyle name="Comma 2" xfId="1007" xr:uid="{C8A3B758-3508-453D-A9DE-88B93657F662}"/>
    <cellStyle name="Comma 2 2" xfId="2003" xr:uid="{2B368977-5DDA-4E4C-A4C3-BBDB46146F85}"/>
    <cellStyle name="Commentaire 2" xfId="171" xr:uid="{FC190F0D-F5F3-4488-B157-ED8E4EE8FD99}"/>
    <cellStyle name="Commentaire 2 2" xfId="2004" xr:uid="{64DD5998-DBD3-43DC-824C-4C1A5B12873E}"/>
    <cellStyle name="Commentaire 2 3" xfId="1008" xr:uid="{9507E89A-AFCD-40ED-A023-3F265FA66393}"/>
    <cellStyle name="Date" xfId="1009" xr:uid="{67FBA590-3F75-4C8C-A264-49C919E7EA68}"/>
    <cellStyle name="Date 2" xfId="1010" xr:uid="{982F1102-F84F-4211-BE9F-FF98956B0953}"/>
    <cellStyle name="Date 2 2" xfId="2006" xr:uid="{7794B97A-6BEE-40D6-8988-50552FC0A482}"/>
    <cellStyle name="Date 3" xfId="2005" xr:uid="{13034CD8-582C-4760-9664-F2BE2A4E8C2F}"/>
    <cellStyle name="debugage | texte note potentiel ?" xfId="1011" xr:uid="{0042261C-AE2E-4550-9819-E55E6E64A172}"/>
    <cellStyle name="debugage | texte note potentiel ? 2" xfId="2007" xr:uid="{8F3CE33F-EC75-4B46-8114-B5E6136D70EE}"/>
    <cellStyle name="debugage | titre de niveau potentiel" xfId="1012" xr:uid="{FB461C80-9C7D-45F9-A1AB-3462A11F7B44}"/>
    <cellStyle name="debugage | titre de niveau potentiel 2" xfId="2008" xr:uid="{992DD8C5-68EF-4FB3-8ECD-FD44B7FA4078}"/>
    <cellStyle name="donn_normal" xfId="1013" xr:uid="{EB127205-12B2-4445-81EC-7735DA776252}"/>
    <cellStyle name="donnnormal1" xfId="1014" xr:uid="{263664CC-7819-435A-8100-CB8B58124894}"/>
    <cellStyle name="donnnormal1 2" xfId="1015" xr:uid="{E9ED3909-EEA7-41B8-AEE4-1837BBE5599D}"/>
    <cellStyle name="donnnormal1 2 2" xfId="2010" xr:uid="{3A433EB3-0B88-4029-AA97-33769BC4F64B}"/>
    <cellStyle name="donnnormal1 3" xfId="2009" xr:uid="{E7E3B3B6-D738-4AC8-A144-10AA2689A0C4}"/>
    <cellStyle name="donntotal1" xfId="1016" xr:uid="{AC9F03E9-C7B2-47F4-B2C6-DACAEC398F55}"/>
    <cellStyle name="donntotal1 2" xfId="1017" xr:uid="{E826D0AE-DFF6-4946-96E9-7081D1A3588E}"/>
    <cellStyle name="donntotal1 2 2" xfId="2012" xr:uid="{0A4B2245-0A57-436F-8CC2-87CFCE123410}"/>
    <cellStyle name="donntotal1 3" xfId="2011" xr:uid="{A51EF2EA-6226-4114-AADF-EDF1AA34FDA1}"/>
    <cellStyle name="Empty_L_border" xfId="2777" xr:uid="{EB138CCE-19B0-4619-86E4-D4BCDB59B93B}"/>
    <cellStyle name="Encabezado 4" xfId="1018" xr:uid="{C800B480-FF28-4FE5-9BF9-BBBDAE2F7CE3}"/>
    <cellStyle name="Encabezado 4 2" xfId="2013" xr:uid="{798B66ED-764A-45E4-9BDF-18736911334F}"/>
    <cellStyle name="Énfasis1" xfId="721" xr:uid="{38A61999-2500-4E6B-9A52-4780613FBDF8}"/>
    <cellStyle name="Énfasis1 2" xfId="2014" xr:uid="{29104B91-B6BA-4E51-96E9-37F319181AC2}"/>
    <cellStyle name="Énfasis2" xfId="722" xr:uid="{C7B0A516-F627-4A7D-8610-DB3CE1096311}"/>
    <cellStyle name="Énfasis2 2" xfId="2015" xr:uid="{ECB8D578-4BD5-4D60-8A91-7870714A2E51}"/>
    <cellStyle name="Énfasis3" xfId="723" xr:uid="{ABD26795-6DA8-4C16-BC57-B3C2B75892E5}"/>
    <cellStyle name="Énfasis3 2" xfId="2016" xr:uid="{298C7F4C-E43F-4793-99E8-58674B5D0BA9}"/>
    <cellStyle name="Énfasis4" xfId="724" xr:uid="{D237B84A-642C-4DF2-B92C-5361034E55D7}"/>
    <cellStyle name="Énfasis4 2" xfId="2017" xr:uid="{9A4565C0-53D1-408A-AC9E-A38C4B79A518}"/>
    <cellStyle name="Énfasis5" xfId="725" xr:uid="{58158043-E5F4-4D0E-89A2-ACDA8C2CE58C}"/>
    <cellStyle name="Énfasis5 2" xfId="2018" xr:uid="{3A093A07-FFEB-4D01-A041-A10E418A20AF}"/>
    <cellStyle name="Énfasis6" xfId="726" xr:uid="{1B1389E7-CA62-4253-A36C-1C12A788E777}"/>
    <cellStyle name="Énfasis6 2" xfId="2019" xr:uid="{9AA5C363-B909-4EAE-ACF1-CF8B8802A896}"/>
    <cellStyle name="ent_col_ser" xfId="1023" xr:uid="{473F3635-A9CA-4077-9B41-BF91D1161B14}"/>
    <cellStyle name="En-tête 1" xfId="1019" xr:uid="{BD7B318C-8EEE-46A2-B5C1-C6CC6BFECAD0}"/>
    <cellStyle name="En-tête 1 2" xfId="1020" xr:uid="{49F51811-77B4-4F7E-ADB3-2880DADBA58F}"/>
    <cellStyle name="En-tête 1 2 2" xfId="2021" xr:uid="{58383210-13B3-4764-82C8-BF8B142D9F23}"/>
    <cellStyle name="En-tête 1 3" xfId="2020" xr:uid="{B0955E77-786C-4CF9-9F74-91777BBEC7DC}"/>
    <cellStyle name="En-tête 2" xfId="1021" xr:uid="{BDA1F760-D929-4EE7-A530-A5C3181B569A}"/>
    <cellStyle name="En-tête 2 2" xfId="1022" xr:uid="{D31F06D3-763A-431B-8A84-D3DF9BD8FACD}"/>
    <cellStyle name="En-tête 2 2 2" xfId="2023" xr:uid="{90195A56-1A3E-473D-9537-9E512C071A6B}"/>
    <cellStyle name="En-tête 2 3" xfId="2022" xr:uid="{5486F5D8-3A01-4CF5-BAA9-BAAD5941A904}"/>
    <cellStyle name="entete_indice" xfId="1024" xr:uid="{FC6A8C13-8A0D-42EA-A82A-5D4A609C0812}"/>
    <cellStyle name="Entrada" xfId="1026" xr:uid="{A591E9FA-134E-44EC-A0D8-83F0F22E8D7B}"/>
    <cellStyle name="Entrada 2" xfId="2024" xr:uid="{454D3337-6890-41C3-BE91-60D35DC06EDD}"/>
    <cellStyle name="Entrée" xfId="10" builtinId="20" customBuiltin="1"/>
    <cellStyle name="Entrée 2" xfId="1025" xr:uid="{2431DCA2-EE25-4B1A-8538-D91C2A40B86D}"/>
    <cellStyle name="Entrée 2 2" xfId="2025" xr:uid="{CBD43EE4-F21C-4A70-B0C9-9B393CC7454E}"/>
    <cellStyle name="Error" xfId="2741" xr:uid="{BE002351-80E0-498B-BC9F-1FE3CEFD6FCA}"/>
    <cellStyle name="Euro" xfId="59" xr:uid="{12818FFA-1CEA-4E6A-8246-64BF426F9CC5}"/>
    <cellStyle name="Euro 10" xfId="182" xr:uid="{E371D740-816E-40B3-8B84-14FEB07CB1FB}"/>
    <cellStyle name="Euro 10 2" xfId="299" xr:uid="{85199B74-9A3D-422A-A565-DE13003C421C}"/>
    <cellStyle name="Euro 10 2 2" xfId="608" xr:uid="{536C654F-C39C-46F9-A2A3-5193CF46AA54}"/>
    <cellStyle name="Euro 10 2 2 2" xfId="3019" xr:uid="{FBA0A67A-FF32-44F0-8D7D-6B111E58F14B}"/>
    <cellStyle name="Euro 10 2 2 2 2" xfId="3608" xr:uid="{018E5902-4B26-4FA6-9869-BF9C3C38D707}"/>
    <cellStyle name="Euro 10 2 2 3" xfId="3333" xr:uid="{822D64A2-902D-4CEA-9C1E-78A2C63BEB7F}"/>
    <cellStyle name="Euro 10 2 3" xfId="2027" xr:uid="{A49CC6F0-39F1-43ED-A7E6-CDF10E893C25}"/>
    <cellStyle name="Euro 10 2 4" xfId="2883" xr:uid="{94806CCB-53D0-4B26-B91E-A90EB0DCE5CE}"/>
    <cellStyle name="Euro 10 2 4 2" xfId="3472" xr:uid="{6ED0EC0B-51CE-4D6A-A446-13988CD979AB}"/>
    <cellStyle name="Euro 10 2 5" xfId="3197" xr:uid="{22821DDD-0EB6-468F-857B-B71881F3F218}"/>
    <cellStyle name="Euro 10 3" xfId="416" xr:uid="{6F0795C0-3413-4EC7-8CDB-34F6F4982B2A}"/>
    <cellStyle name="Euro 10 3 2" xfId="2935" xr:uid="{DE5E9DDF-1850-4D4D-8DCB-F9735267E59E}"/>
    <cellStyle name="Euro 10 3 2 2" xfId="3524" xr:uid="{ABFB9F69-F17B-4D52-84A5-FCFACFB4B7E3}"/>
    <cellStyle name="Euro 10 3 3" xfId="3249" xr:uid="{11DAF841-D96C-4C51-8288-9C2C4CAC33AF}"/>
    <cellStyle name="Euro 10 4" xfId="1028" xr:uid="{C9636C12-2C04-4CC0-BC53-96FED4761287}"/>
    <cellStyle name="Euro 10 5" xfId="2833" xr:uid="{B85540F2-7C16-4F30-AC7A-1C27700FAA79}"/>
    <cellStyle name="Euro 10 5 2" xfId="3422" xr:uid="{0A612D86-3196-4619-8B3C-910643D5EF4E}"/>
    <cellStyle name="Euro 10 6" xfId="3147" xr:uid="{D0E797AA-A0DD-4F83-ABA8-CFB71CA72FD7}"/>
    <cellStyle name="Euro 11" xfId="260" xr:uid="{772FCC24-5F13-4471-BE8F-17E1D1F5FD7C}"/>
    <cellStyle name="Euro 11 2" xfId="569" xr:uid="{A1184622-192B-49CC-8D7F-E9F4E0025278}"/>
    <cellStyle name="Euro 11 2 2" xfId="3001" xr:uid="{FD15A5C3-99CE-4F05-877B-DF1C16956F9F}"/>
    <cellStyle name="Euro 11 2 2 2" xfId="3590" xr:uid="{CC5C6064-D21C-4010-9FA8-5F8105DDE8C9}"/>
    <cellStyle name="Euro 11 2 3" xfId="3315" xr:uid="{84E8E82D-754D-4901-A841-44A50A4A6CDE}"/>
    <cellStyle name="Euro 11 3" xfId="2026" xr:uid="{9A91499D-D899-4817-A010-D030713F956A}"/>
    <cellStyle name="Euro 11 4" xfId="2865" xr:uid="{88A511C9-AC78-4DB1-B1F9-261B70B4B3A2}"/>
    <cellStyle name="Euro 11 4 2" xfId="3454" xr:uid="{41A195FA-1B47-43FF-865B-7519FBBB5F62}"/>
    <cellStyle name="Euro 11 5" xfId="3179" xr:uid="{ED9C94CD-1502-41FF-863D-8EF0AB668A91}"/>
    <cellStyle name="Euro 12" xfId="372" xr:uid="{48BE2942-77E2-4630-9FEB-152131D2A4D3}"/>
    <cellStyle name="Euro 12 2" xfId="2915" xr:uid="{69328C11-9917-4889-980C-EB01176E34DE}"/>
    <cellStyle name="Euro 12 2 2" xfId="3504" xr:uid="{2E4CA6FA-88B6-47D5-BDEA-64A7763D7AE2}"/>
    <cellStyle name="Euro 12 3" xfId="3229" xr:uid="{B09E635A-D81A-4BB2-9C6C-CD18B0B4B744}"/>
    <cellStyle name="Euro 13" xfId="487" xr:uid="{45197F9E-DA92-4DA8-AF40-D3B28DD0DB3E}"/>
    <cellStyle name="Euro 13 2" xfId="2966" xr:uid="{3F4E7323-66DA-40D0-9185-0CAAC335E4A6}"/>
    <cellStyle name="Euro 13 2 2" xfId="3555" xr:uid="{C4259F57-4E20-4C58-8911-3C2C7A2BA4C6}"/>
    <cellStyle name="Euro 13 3" xfId="3280" xr:uid="{ABDE0097-3C73-4A04-9E24-21A43976E092}"/>
    <cellStyle name="Euro 14" xfId="679" xr:uid="{1EF0FA1A-1AF2-4383-891E-48BAADF900C1}"/>
    <cellStyle name="Euro 14 2" xfId="3050" xr:uid="{3F0E0E30-0A7B-40DA-8D08-4463C6A74975}"/>
    <cellStyle name="Euro 14 2 2" xfId="3639" xr:uid="{0B6CB175-2C5F-416C-ACF8-FD63CA1193CC}"/>
    <cellStyle name="Euro 14 3" xfId="3364" xr:uid="{BCA41897-F7CC-404C-9067-8EE3B17C92DE}"/>
    <cellStyle name="Euro 15" xfId="1027" xr:uid="{683E7D95-FDB0-49C1-8B87-68FCF6E92CB6}"/>
    <cellStyle name="Euro 16" xfId="2790" xr:uid="{ABA2E6BD-76DF-4A5C-82B0-77C8CB8A19BB}"/>
    <cellStyle name="Euro 16 2" xfId="3379" xr:uid="{C59D5989-74C2-46AB-BBD4-4BDC5E7F00DB}"/>
    <cellStyle name="Euro 17" xfId="3104" xr:uid="{6FE08235-6430-4C0E-AD22-6DE449F720BD}"/>
    <cellStyle name="Euro 2" xfId="78" xr:uid="{FD45EA06-F04D-4478-A101-CE2B75C07792}"/>
    <cellStyle name="Euro 2 10" xfId="682" xr:uid="{24DEF25F-8706-4568-AB4A-CBF442D192A7}"/>
    <cellStyle name="Euro 2 10 2" xfId="3052" xr:uid="{19E120EA-4578-4D25-A603-03FBA9BD0D87}"/>
    <cellStyle name="Euro 2 10 2 2" xfId="3641" xr:uid="{2B1B3506-EE25-4B51-9820-D397B69D8B51}"/>
    <cellStyle name="Euro 2 10 3" xfId="3366" xr:uid="{1D8B30BA-103C-4CD1-B53F-F728C7727A6D}"/>
    <cellStyle name="Euro 2 11" xfId="1029" xr:uid="{D1BD3720-DAFF-4717-BADA-7FC12858FA39}"/>
    <cellStyle name="Euro 2 12" xfId="2793" xr:uid="{30A2CA82-BC09-4332-A767-6F3A7731D19D}"/>
    <cellStyle name="Euro 2 12 2" xfId="3382" xr:uid="{7C176819-2DCC-4516-9790-8B0407E5027F}"/>
    <cellStyle name="Euro 2 13" xfId="3107" xr:uid="{B2294EAA-76C5-4843-82E0-ED8FC1FDF2C9}"/>
    <cellStyle name="Euro 2 2" xfId="86" xr:uid="{994A6894-7150-4538-ABFB-EC58984E604A}"/>
    <cellStyle name="Euro 2 2 10" xfId="2797" xr:uid="{A7C68EC0-04E9-4FB5-9BDB-E858175BE725}"/>
    <cellStyle name="Euro 2 2 10 2" xfId="3386" xr:uid="{92B1059D-670F-4049-BAFA-51ABEEC63925}"/>
    <cellStyle name="Euro 2 2 11" xfId="3111" xr:uid="{A6FEFCF1-D058-4E56-BCA9-A2E7201366FA}"/>
    <cellStyle name="Euro 2 2 2" xfId="116" xr:uid="{E4405238-F0F4-4658-9151-5391F32BE9AA}"/>
    <cellStyle name="Euro 2 2 2 2" xfId="234" xr:uid="{585A8225-FBDA-4703-B88C-FF43C04C9C7B}"/>
    <cellStyle name="Euro 2 2 2 2 2" xfId="550" xr:uid="{1DD89FD3-4816-461F-98C5-52142B8C0B1B}"/>
    <cellStyle name="Euro 2 2 2 2 2 2" xfId="2993" xr:uid="{592B301F-7055-46D0-97EE-DD7F2B134D75}"/>
    <cellStyle name="Euro 2 2 2 2 2 2 2" xfId="3582" xr:uid="{1EED714D-D620-4EF9-A366-4E6CE1FDB29C}"/>
    <cellStyle name="Euro 2 2 2 2 2 3" xfId="3307" xr:uid="{EB750E08-0271-4ED8-B116-5F9418CB3B12}"/>
    <cellStyle name="Euro 2 2 2 2 3" xfId="2855" xr:uid="{1CF5EF1B-64B4-4CB7-B92E-8771497BA9A0}"/>
    <cellStyle name="Euro 2 2 2 2 3 2" xfId="3444" xr:uid="{24FD0149-677E-4DE5-8EF2-99FBACF74FD8}"/>
    <cellStyle name="Euro 2 2 2 2 4" xfId="3169" xr:uid="{0CF5190B-5AF5-4EED-A889-5C882A487016}"/>
    <cellStyle name="Euro 2 2 2 3" xfId="347" xr:uid="{0B57B961-C17F-4150-B1CE-122B6B061319}"/>
    <cellStyle name="Euro 2 2 2 3 2" xfId="655" xr:uid="{7F3948A7-59E9-410C-9DB1-B10D623482B8}"/>
    <cellStyle name="Euro 2 2 2 3 2 2" xfId="3041" xr:uid="{85A5932B-5793-4F9E-9C2B-D089ADD66DA4}"/>
    <cellStyle name="Euro 2 2 2 3 2 2 2" xfId="3630" xr:uid="{1BDF2D53-1CD7-4CA1-BA01-0CB08A45BC99}"/>
    <cellStyle name="Euro 2 2 2 3 2 3" xfId="3355" xr:uid="{0A346256-4F07-4C75-A58B-8DB58489FFAF}"/>
    <cellStyle name="Euro 2 2 2 3 3" xfId="2905" xr:uid="{CCEF5804-6E09-43BA-9152-E0649385E767}"/>
    <cellStyle name="Euro 2 2 2 3 3 2" xfId="3494" xr:uid="{E6EFF643-BA42-481E-A3B6-FF534A6663A9}"/>
    <cellStyle name="Euro 2 2 2 3 4" xfId="3219" xr:uid="{DC4635E7-323D-4759-A4EE-BD12DBAE5366}"/>
    <cellStyle name="Euro 2 2 2 4" xfId="462" xr:uid="{68D0F837-5F5B-4FB3-BFAD-F95346782C20}"/>
    <cellStyle name="Euro 2 2 2 4 2" xfId="2956" xr:uid="{4CA36A3C-1A13-46E3-B042-DA5DC5A649C2}"/>
    <cellStyle name="Euro 2 2 2 4 2 2" xfId="3545" xr:uid="{FFDBF58D-FC9F-4852-985A-0810C0EEB0EA}"/>
    <cellStyle name="Euro 2 2 2 4 3" xfId="3270" xr:uid="{7DC3A6A2-68DB-4787-B7A6-8AA94653B8E5}"/>
    <cellStyle name="Euro 2 2 2 5" xfId="2029" xr:uid="{A8C2FC14-338E-4EE9-A7E0-99A7B77D212D}"/>
    <cellStyle name="Euro 2 2 2 6" xfId="2811" xr:uid="{9F0E7C6D-9097-4ED6-9573-4837C4E71C16}"/>
    <cellStyle name="Euro 2 2 2 6 2" xfId="3400" xr:uid="{C625351F-5074-4536-9B9E-E83280E51379}"/>
    <cellStyle name="Euro 2 2 2 7" xfId="3125" xr:uid="{61BCD4DA-2487-4108-A79B-0C03D6A4F7BF}"/>
    <cellStyle name="Euro 2 2 3" xfId="150" xr:uid="{21842D47-8D58-494B-9D03-1147B65AC804}"/>
    <cellStyle name="Euro 2 2 3 2" xfId="316" xr:uid="{C850BA58-BEF4-4E13-B659-1CF79CE9295E}"/>
    <cellStyle name="Euro 2 2 3 2 2" xfId="625" xr:uid="{133D74E6-F70D-452A-AA8C-C51B8CB3B581}"/>
    <cellStyle name="Euro 2 2 3 2 2 2" xfId="3027" xr:uid="{25ADB545-0FE4-4082-832A-35401423B06E}"/>
    <cellStyle name="Euro 2 2 3 2 2 2 2" xfId="3616" xr:uid="{BC1E17CE-1CB1-41DF-802B-AE3A000AE4CD}"/>
    <cellStyle name="Euro 2 2 3 2 2 3" xfId="3341" xr:uid="{F9B3649E-D144-497A-9C3B-3A3CD6509B89}"/>
    <cellStyle name="Euro 2 2 3 2 3" xfId="2891" xr:uid="{F5B583F8-5B73-471D-BB68-27D3BA2828F5}"/>
    <cellStyle name="Euro 2 2 3 2 3 2" xfId="3480" xr:uid="{C7F42CA4-C7CE-49A1-880B-5CF38C7A1372}"/>
    <cellStyle name="Euro 2 2 3 2 4" xfId="3205" xr:uid="{04CD62F8-0515-46D2-AE8E-CAC7AD512BA0}"/>
    <cellStyle name="Euro 2 2 3 3" xfId="433" xr:uid="{4CB02EE2-0EF4-473E-B7AF-3668FC8E6BD9}"/>
    <cellStyle name="Euro 2 2 3 3 2" xfId="2943" xr:uid="{62404960-D421-4FDB-AA44-7D150FEB506A}"/>
    <cellStyle name="Euro 2 2 3 3 2 2" xfId="3532" xr:uid="{06B7E911-3505-484E-83BE-13688BA08827}"/>
    <cellStyle name="Euro 2 2 3 3 3" xfId="3257" xr:uid="{7B4F60FD-6D6B-4539-9DD3-01ED772C94DC}"/>
    <cellStyle name="Euro 2 2 3 4" xfId="2826" xr:uid="{CC2FCE69-7220-4A6D-9D41-57854A3A7102}"/>
    <cellStyle name="Euro 2 2 3 4 2" xfId="3415" xr:uid="{5B77D528-93D8-4E6E-99D5-5B1C18574CF5}"/>
    <cellStyle name="Euro 2 2 3 5" xfId="3140" xr:uid="{5DE4804A-F034-4379-98DF-17826A83AED8}"/>
    <cellStyle name="Euro 2 2 4" xfId="199" xr:uid="{85ADB17A-EF81-470A-9688-EA84227F8527}"/>
    <cellStyle name="Euro 2 2 4 2" xfId="522" xr:uid="{FBF615C8-CC20-4BEA-A3A6-332CEFE62972}"/>
    <cellStyle name="Euro 2 2 4 2 2" xfId="2980" xr:uid="{766BB8CB-E096-4D0E-A2F6-34ABEFFFF256}"/>
    <cellStyle name="Euro 2 2 4 2 2 2" xfId="3569" xr:uid="{5EB168DE-F6F3-42C2-9C3A-06DCD7C5B632}"/>
    <cellStyle name="Euro 2 2 4 2 3" xfId="3294" xr:uid="{0A9EC636-C58D-4327-AA8F-01BC8C88B55D}"/>
    <cellStyle name="Euro 2 2 4 3" xfId="2841" xr:uid="{E52AF830-33D0-4476-887E-75322992EC44}"/>
    <cellStyle name="Euro 2 2 4 3 2" xfId="3430" xr:uid="{D47F202E-9546-4F9B-AF00-2F3C975C849B}"/>
    <cellStyle name="Euro 2 2 4 4" xfId="3155" xr:uid="{490807C3-906D-455F-A6DC-C7613FB079A1}"/>
    <cellStyle name="Euro 2 2 5" xfId="274" xr:uid="{729C3F78-E64C-4903-A739-ED0F9D07FD65}"/>
    <cellStyle name="Euro 2 2 5 2" xfId="583" xr:uid="{EFC90BE0-8CF7-43D7-98BE-31D2D6B2EBEA}"/>
    <cellStyle name="Euro 2 2 5 2 2" xfId="3008" xr:uid="{D786DC21-409C-49D5-BC2D-4E32585CC9BE}"/>
    <cellStyle name="Euro 2 2 5 2 2 2" xfId="3597" xr:uid="{18FAC256-2ED0-43C1-8A5D-DC32C17B05EA}"/>
    <cellStyle name="Euro 2 2 5 2 3" xfId="3322" xr:uid="{C4C9EA83-852C-44BA-88CF-608B16724E08}"/>
    <cellStyle name="Euro 2 2 5 3" xfId="2872" xr:uid="{25D54623-A444-461F-AA35-1B95FE57B3F3}"/>
    <cellStyle name="Euro 2 2 5 3 2" xfId="3461" xr:uid="{8E114538-C990-487D-8169-7162BAA319ED}"/>
    <cellStyle name="Euro 2 2 5 4" xfId="3186" xr:uid="{52C60424-A061-4ADD-8EFF-9BF02F9C9CBE}"/>
    <cellStyle name="Euro 2 2 6" xfId="387" xr:uid="{1D219A6D-F991-441F-A631-87F8D1D3E707}"/>
    <cellStyle name="Euro 2 2 6 2" xfId="2922" xr:uid="{FEB013E1-663E-40B6-A1C9-61CAC901B785}"/>
    <cellStyle name="Euro 2 2 6 2 2" xfId="3511" xr:uid="{8D8D5E62-D2BA-4226-B34A-92BFC5F5CE57}"/>
    <cellStyle name="Euro 2 2 6 3" xfId="3236" xr:uid="{B898FB3F-69A9-4379-BC5A-D932D247E830}"/>
    <cellStyle name="Euro 2 2 7" xfId="501" xr:uid="{D49154EF-A8DF-4722-8992-3325B9560983}"/>
    <cellStyle name="Euro 2 2 7 2" xfId="2972" xr:uid="{961E713D-547E-467E-AD0D-39BF696A1AED}"/>
    <cellStyle name="Euro 2 2 7 2 2" xfId="3561" xr:uid="{797457B2-F4D1-4B78-97B1-BDAFE8F5D21B}"/>
    <cellStyle name="Euro 2 2 7 3" xfId="3286" xr:uid="{314B8BAF-E350-4838-91A2-55F9D7D433F3}"/>
    <cellStyle name="Euro 2 2 8" xfId="694" xr:uid="{0BC25C88-299B-409F-BF8B-3F3272CD96C0}"/>
    <cellStyle name="Euro 2 2 8 2" xfId="3057" xr:uid="{A1017F80-2A47-4C13-A255-0AF268140DFB}"/>
    <cellStyle name="Euro 2 2 8 2 2" xfId="3646" xr:uid="{B3F19F35-BCAC-4F0E-99B3-88359E4782B6}"/>
    <cellStyle name="Euro 2 2 8 3" xfId="3371" xr:uid="{4139C0B5-132C-4296-8D04-A844A50DF1EA}"/>
    <cellStyle name="Euro 2 2 9" xfId="1030" xr:uid="{808F50FE-64DC-416D-B51F-0112FFBA9897}"/>
    <cellStyle name="Euro 2 3" xfId="94" xr:uid="{93DBF3D1-81CA-41F1-A859-9916FEDE0C07}"/>
    <cellStyle name="Euro 2 3 2" xfId="124" xr:uid="{B792D0E6-AF54-41E8-8B8E-A350763E36ED}"/>
    <cellStyle name="Euro 2 3 2 2" xfId="242" xr:uid="{9A7B51CB-1BB0-41BD-AB56-1BEE87AFCF12}"/>
    <cellStyle name="Euro 2 3 2 2 2" xfId="558" xr:uid="{C29F1748-B0DB-44B1-8536-49C0228896CF}"/>
    <cellStyle name="Euro 2 3 2 2 2 2" xfId="2997" xr:uid="{F0D868EA-73FE-4220-82C1-4DF46B09BEFD}"/>
    <cellStyle name="Euro 2 3 2 2 2 2 2" xfId="3586" xr:uid="{D7FFCD51-4149-48F3-81C1-67D9CAD2DD75}"/>
    <cellStyle name="Euro 2 3 2 2 2 3" xfId="3311" xr:uid="{AF9CE439-7F45-4097-9B1F-5BE6A5A4AF0B}"/>
    <cellStyle name="Euro 2 3 2 2 3" xfId="2859" xr:uid="{BC6BC69C-4462-441D-A079-4CF2C17025DA}"/>
    <cellStyle name="Euro 2 3 2 2 3 2" xfId="3448" xr:uid="{0E877FE9-B237-414E-B4C4-010E4A544C30}"/>
    <cellStyle name="Euro 2 3 2 2 4" xfId="3173" xr:uid="{9565EB7D-2555-4C7B-8A1D-52E279E002FC}"/>
    <cellStyle name="Euro 2 3 2 3" xfId="355" xr:uid="{6ED88604-A87A-46C2-A062-D899372B0245}"/>
    <cellStyle name="Euro 2 3 2 3 2" xfId="663" xr:uid="{76E9C647-FA83-4D6F-9FD6-2321D4226510}"/>
    <cellStyle name="Euro 2 3 2 3 2 2" xfId="3045" xr:uid="{21CAD08D-EB10-4484-AF85-CBC168FB459B}"/>
    <cellStyle name="Euro 2 3 2 3 2 2 2" xfId="3634" xr:uid="{D42404CA-0C34-41B0-B09A-7113A297D5B0}"/>
    <cellStyle name="Euro 2 3 2 3 2 3" xfId="3359" xr:uid="{17A9D2A0-0F85-4AB0-8EDF-F68424E22830}"/>
    <cellStyle name="Euro 2 3 2 3 3" xfId="2909" xr:uid="{522D8A80-C88B-427C-8AEA-AE18B1E51E33}"/>
    <cellStyle name="Euro 2 3 2 3 3 2" xfId="3498" xr:uid="{A6DA0E3A-F473-476F-90E4-15892165AADE}"/>
    <cellStyle name="Euro 2 3 2 3 4" xfId="3223" xr:uid="{3D54D807-E250-4FFF-B266-3FEADBE1EB88}"/>
    <cellStyle name="Euro 2 3 2 4" xfId="470" xr:uid="{1486718D-7EC2-4162-9FF9-B207B32C5AC1}"/>
    <cellStyle name="Euro 2 3 2 4 2" xfId="2960" xr:uid="{C6C91F45-ED88-433E-97A2-CB2984D9C500}"/>
    <cellStyle name="Euro 2 3 2 4 2 2" xfId="3549" xr:uid="{FBA6F991-8C1F-4AF2-B26E-86719FE2B408}"/>
    <cellStyle name="Euro 2 3 2 4 3" xfId="3274" xr:uid="{357B2D32-8FCB-4A25-BB13-68EB95F4B78E}"/>
    <cellStyle name="Euro 2 3 2 5" xfId="2030" xr:uid="{B15B1B6A-D304-4A91-825E-1D8DC0E18AAA}"/>
    <cellStyle name="Euro 2 3 2 6" xfId="2815" xr:uid="{A2176B7A-0ADB-49EF-B955-500E901F0E73}"/>
    <cellStyle name="Euro 2 3 2 6 2" xfId="3404" xr:uid="{48112937-1234-47EA-BECD-3ADE772237FB}"/>
    <cellStyle name="Euro 2 3 2 7" xfId="3129" xr:uid="{9B2E257E-2850-46CC-90C6-1EAFB3DCE155}"/>
    <cellStyle name="Euro 2 3 3" xfId="158" xr:uid="{E7693213-DC64-4386-A090-34DA0C52BF12}"/>
    <cellStyle name="Euro 2 3 3 2" xfId="324" xr:uid="{525737A7-6D62-4A43-95F3-C6EDC0C756B4}"/>
    <cellStyle name="Euro 2 3 3 2 2" xfId="633" xr:uid="{A3BBF033-3294-4DA3-B2E8-2DDB537E9C01}"/>
    <cellStyle name="Euro 2 3 3 2 2 2" xfId="3031" xr:uid="{4D40DDC0-C356-45E8-AF00-4A183E36A3AE}"/>
    <cellStyle name="Euro 2 3 3 2 2 2 2" xfId="3620" xr:uid="{27D91A7E-E7CB-4B8D-B348-25848552C71E}"/>
    <cellStyle name="Euro 2 3 3 2 2 3" xfId="3345" xr:uid="{C6D35B53-0742-4DD4-95AC-D9E3ACEEDD09}"/>
    <cellStyle name="Euro 2 3 3 2 3" xfId="2895" xr:uid="{2484C4E7-D16F-4AEC-9084-E1A355B1D528}"/>
    <cellStyle name="Euro 2 3 3 2 3 2" xfId="3484" xr:uid="{09C428FE-298B-4EB8-9FBA-8EE87D052787}"/>
    <cellStyle name="Euro 2 3 3 2 4" xfId="3209" xr:uid="{BA58162A-9B89-40C0-AC10-5720917E7F2A}"/>
    <cellStyle name="Euro 2 3 3 3" xfId="441" xr:uid="{5CC2DBB8-7515-4274-B4F2-0C0749B6DA98}"/>
    <cellStyle name="Euro 2 3 3 3 2" xfId="2947" xr:uid="{8449CA9F-D950-4F21-AF90-22E96F816AB0}"/>
    <cellStyle name="Euro 2 3 3 3 2 2" xfId="3536" xr:uid="{92060609-F906-472B-BEEA-A86A29F2037B}"/>
    <cellStyle name="Euro 2 3 3 3 3" xfId="3261" xr:uid="{7A926D5F-7D36-4979-B7BF-CD591D96A516}"/>
    <cellStyle name="Euro 2 3 3 4" xfId="2830" xr:uid="{996B8616-E4BC-4CBE-A150-B3B2B57C4CEA}"/>
    <cellStyle name="Euro 2 3 3 4 2" xfId="3419" xr:uid="{625AE47C-DA52-45F0-9BB7-88365FC857AC}"/>
    <cellStyle name="Euro 2 3 3 5" xfId="3144" xr:uid="{9E643E39-E0EE-4ECE-85DC-51285CAF7924}"/>
    <cellStyle name="Euro 2 3 4" xfId="207" xr:uid="{D0A184EB-6532-4FB5-B818-419F84B45D79}"/>
    <cellStyle name="Euro 2 3 4 2" xfId="530" xr:uid="{44C8897C-EA3B-4AD4-A64C-919038E10D78}"/>
    <cellStyle name="Euro 2 3 4 2 2" xfId="2984" xr:uid="{69114DD4-059D-45A8-AB38-8D86DCBA89F9}"/>
    <cellStyle name="Euro 2 3 4 2 2 2" xfId="3573" xr:uid="{AB91A6D3-0317-45BC-A258-53E738EE338D}"/>
    <cellStyle name="Euro 2 3 4 2 3" xfId="3298" xr:uid="{97915459-DA5B-415F-89FC-3E859528E147}"/>
    <cellStyle name="Euro 2 3 4 3" xfId="2845" xr:uid="{1FD8E9DF-8D92-4BEA-A889-33F064A6B2A6}"/>
    <cellStyle name="Euro 2 3 4 3 2" xfId="3434" xr:uid="{E5C6C54F-D0C7-4DDB-B865-FFFB5360E3B2}"/>
    <cellStyle name="Euro 2 3 4 4" xfId="3159" xr:uid="{2A19513B-235C-40D2-B156-D6CF86A423BD}"/>
    <cellStyle name="Euro 2 3 5" xfId="282" xr:uid="{4CC5C66C-1C35-48EA-B0BB-DEDE9AB1125D}"/>
    <cellStyle name="Euro 2 3 5 2" xfId="591" xr:uid="{23A87934-C090-429E-94AC-F67E419B000A}"/>
    <cellStyle name="Euro 2 3 5 2 2" xfId="3012" xr:uid="{D82791FB-CAD6-45A7-ADE3-7D9CFCB4DDAF}"/>
    <cellStyle name="Euro 2 3 5 2 2 2" xfId="3601" xr:uid="{0C917F8F-5FDF-4C64-8204-D55D323D5D4C}"/>
    <cellStyle name="Euro 2 3 5 2 3" xfId="3326" xr:uid="{EFDF11E9-2923-4703-AB78-663EC8DD5BCA}"/>
    <cellStyle name="Euro 2 3 5 3" xfId="2876" xr:uid="{3A70E561-CF38-4088-B5A8-581FFCC35A51}"/>
    <cellStyle name="Euro 2 3 5 3 2" xfId="3465" xr:uid="{692406E6-57B2-4341-9CC2-2A7DECA8ACA3}"/>
    <cellStyle name="Euro 2 3 5 4" xfId="3190" xr:uid="{1E6A03FC-8DD6-4E0E-9AFB-46737283D587}"/>
    <cellStyle name="Euro 2 3 6" xfId="400" xr:uid="{5EAE5953-C806-4634-A423-70D265A1EB28}"/>
    <cellStyle name="Euro 2 3 6 2" xfId="2928" xr:uid="{6F066A2C-E2B4-4F2E-8051-0A9A130F00B2}"/>
    <cellStyle name="Euro 2 3 6 2 2" xfId="3517" xr:uid="{E6B62AA2-2263-463B-B3FB-31F0309D69FC}"/>
    <cellStyle name="Euro 2 3 6 3" xfId="3242" xr:uid="{3C2479A3-8B4D-4A45-B816-FB7DD28C9AED}"/>
    <cellStyle name="Euro 2 3 7" xfId="1031" xr:uid="{183D2429-25CD-44A1-85E1-5256F05DC231}"/>
    <cellStyle name="Euro 2 3 8" xfId="2801" xr:uid="{5299D5A9-52D0-4B47-A3D4-CCFABC406818}"/>
    <cellStyle name="Euro 2 3 8 2" xfId="3390" xr:uid="{E0C537A1-B4B6-4ECA-A9DC-DF5C465DC45D}"/>
    <cellStyle name="Euro 2 3 9" xfId="3115" xr:uid="{334648D5-F81D-46DF-9FDF-91C65D65740C}"/>
    <cellStyle name="Euro 2 4" xfId="108" xr:uid="{47D17212-C22F-4AC9-BB78-805305423828}"/>
    <cellStyle name="Euro 2 4 2" xfId="220" xr:uid="{36BF808F-0C70-4824-8F73-5D282F5F6E21}"/>
    <cellStyle name="Euro 2 4 2 2" xfId="334" xr:uid="{247820FF-26BF-4F52-882B-88F727573906}"/>
    <cellStyle name="Euro 2 4 2 2 2" xfId="642" xr:uid="{5B253D75-E4A0-44A6-909C-ED8F1809B3F4}"/>
    <cellStyle name="Euro 2 4 2 2 2 2" xfId="3035" xr:uid="{56BC9F84-9BD5-4756-9DE2-12D7399684B0}"/>
    <cellStyle name="Euro 2 4 2 2 2 2 2" xfId="3624" xr:uid="{E3169D85-7AF3-4FE6-B9F3-0EE0B5212236}"/>
    <cellStyle name="Euro 2 4 2 2 2 3" xfId="3349" xr:uid="{FA370BAD-E62A-4F8F-A7CA-2EFE0FBEB237}"/>
    <cellStyle name="Euro 2 4 2 2 3" xfId="2899" xr:uid="{38A3CD88-0C1F-4772-8DC5-B815E6CDE8DE}"/>
    <cellStyle name="Euro 2 4 2 2 3 2" xfId="3488" xr:uid="{9EE98A0F-C9D7-40B2-9F1F-44BC1CECC1D1}"/>
    <cellStyle name="Euro 2 4 2 2 4" xfId="3213" xr:uid="{477DDEDF-34EE-4BD9-989D-D75FB9AF1E17}"/>
    <cellStyle name="Euro 2 4 2 3" xfId="450" xr:uid="{7A37CC93-06A6-4803-8C1A-645964E9184F}"/>
    <cellStyle name="Euro 2 4 2 3 2" xfId="2951" xr:uid="{63FC58B7-E15D-4661-8B8D-7E349BA7E5F3}"/>
    <cellStyle name="Euro 2 4 2 3 2 2" xfId="3540" xr:uid="{DA34B4CB-313D-4B3C-A823-22A1A96F82D3}"/>
    <cellStyle name="Euro 2 4 2 3 3" xfId="3265" xr:uid="{B1AF7BD3-F770-4CF6-9B8D-944EE3274D15}"/>
    <cellStyle name="Euro 2 4 2 4" xfId="2031" xr:uid="{E92F4453-281D-449B-B590-8181CF0A891E}"/>
    <cellStyle name="Euro 2 4 2 5" xfId="2849" xr:uid="{7B54E14E-3F1B-4725-BC08-943C8C366B88}"/>
    <cellStyle name="Euro 2 4 2 5 2" xfId="3438" xr:uid="{487697DB-BB71-4122-9A58-00967C7E49FC}"/>
    <cellStyle name="Euro 2 4 2 6" xfId="3163" xr:uid="{2C5EE62F-4350-4907-9ACF-2E10D8CC8F6D}"/>
    <cellStyle name="Euro 2 4 3" xfId="293" xr:uid="{64E52183-08E9-4F42-AEAC-6FF83C4018FC}"/>
    <cellStyle name="Euro 2 4 3 2" xfId="602" xr:uid="{E00CBFFC-E85C-411D-B02E-686C896EEC12}"/>
    <cellStyle name="Euro 2 4 3 2 2" xfId="3017" xr:uid="{D8414F7A-F4B7-4B70-852D-A1B62517309A}"/>
    <cellStyle name="Euro 2 4 3 2 2 2" xfId="3606" xr:uid="{833E89B2-CFDA-43BA-B467-7E02F3431E66}"/>
    <cellStyle name="Euro 2 4 3 2 3" xfId="3331" xr:uid="{AC2A7342-DCC9-4429-AFD6-544EEFE9892E}"/>
    <cellStyle name="Euro 2 4 3 3" xfId="2881" xr:uid="{F53FFE1E-1D04-48BF-977B-0F4929BA14E2}"/>
    <cellStyle name="Euro 2 4 3 3 2" xfId="3470" xr:uid="{48AB4B0E-F3D8-4846-A512-0CA872A2F733}"/>
    <cellStyle name="Euro 2 4 3 4" xfId="3195" xr:uid="{FEB4E781-35EC-4FDB-B647-F09BA7108CF2}"/>
    <cellStyle name="Euro 2 4 4" xfId="411" xr:uid="{52F5BEDF-E37D-40E1-9179-CD7DE27B9F8C}"/>
    <cellStyle name="Euro 2 4 4 2" xfId="2933" xr:uid="{9EC88A13-47F8-491C-BAAD-B8F24FB633AA}"/>
    <cellStyle name="Euro 2 4 4 2 2" xfId="3522" xr:uid="{1FB2E73D-E9EB-4626-AF65-C59608777F50}"/>
    <cellStyle name="Euro 2 4 4 3" xfId="3247" xr:uid="{7E94E380-DBB0-4461-B57D-7164AB4CA4FB}"/>
    <cellStyle name="Euro 2 4 5" xfId="1032" xr:uid="{420BBADD-26E5-4FEB-9BF4-18737C6F9583}"/>
    <cellStyle name="Euro 2 4 6" xfId="2807" xr:uid="{BF9B9A64-0E9A-4798-8A9E-0AD88EC639BD}"/>
    <cellStyle name="Euro 2 4 6 2" xfId="3396" xr:uid="{0CE8656C-A7D0-452E-BE1E-4122D85DC56D}"/>
    <cellStyle name="Euro 2 4 7" xfId="3121" xr:uid="{E01C1929-22E0-4F07-8586-8326D3E1F47B}"/>
    <cellStyle name="Euro 2 5" xfId="142" xr:uid="{591528CD-2127-4F6F-9CDB-12850F282BDD}"/>
    <cellStyle name="Euro 2 5 2" xfId="308" xr:uid="{34A52A2D-B144-4BFF-8656-F9CD9D427D16}"/>
    <cellStyle name="Euro 2 5 2 2" xfId="617" xr:uid="{CC4821EE-3C18-4583-BBBE-8EA2B6D23D04}"/>
    <cellStyle name="Euro 2 5 2 2 2" xfId="3023" xr:uid="{5E1F0E83-628F-418D-AC45-99670631C13F}"/>
    <cellStyle name="Euro 2 5 2 2 2 2" xfId="3612" xr:uid="{53E6423D-6213-4D21-A929-FE441AEFD3BF}"/>
    <cellStyle name="Euro 2 5 2 2 3" xfId="3337" xr:uid="{5BAC303C-7EC8-4145-B1B6-CEBCAB1BE1E4}"/>
    <cellStyle name="Euro 2 5 2 3" xfId="2887" xr:uid="{DFD14B44-F368-42A4-A7DA-34A8691C767E}"/>
    <cellStyle name="Euro 2 5 2 3 2" xfId="3476" xr:uid="{7273C044-E87E-4049-8086-463165C9DB72}"/>
    <cellStyle name="Euro 2 5 2 4" xfId="3201" xr:uid="{CBB52411-6FCA-48E2-90AF-BB2F55E400CA}"/>
    <cellStyle name="Euro 2 5 3" xfId="425" xr:uid="{AFE1594B-59C2-4654-B6CE-378322C71D74}"/>
    <cellStyle name="Euro 2 5 3 2" xfId="2939" xr:uid="{42B0EAAD-B4E5-480D-9375-E8EADAFE7880}"/>
    <cellStyle name="Euro 2 5 3 2 2" xfId="3528" xr:uid="{8D3EB23A-6BF4-43F0-9C11-1BDE51BE3E09}"/>
    <cellStyle name="Euro 2 5 3 3" xfId="3253" xr:uid="{4A96284A-A4D4-4551-BCEC-0E9672C64226}"/>
    <cellStyle name="Euro 2 5 4" xfId="2028" xr:uid="{C18B90BF-E692-4E59-BB97-EEB347833372}"/>
    <cellStyle name="Euro 2 5 5" xfId="2822" xr:uid="{54EC9E1A-3EC3-4AB3-B10D-4563B3B50067}"/>
    <cellStyle name="Euro 2 5 5 2" xfId="3411" xr:uid="{28CFF622-3F39-4540-81C2-46E9D608F2AC}"/>
    <cellStyle name="Euro 2 5 6" xfId="3136" xr:uid="{0DE86963-C64E-49D2-9F3A-272B936ACD51}"/>
    <cellStyle name="Euro 2 6" xfId="191" xr:uid="{602B94EA-52BC-4A0D-B2DC-7AF643B140E7}"/>
    <cellStyle name="Euro 2 6 2" xfId="516" xr:uid="{C452CC94-5899-4498-BB3C-7AE10DCC7987}"/>
    <cellStyle name="Euro 2 6 2 2" xfId="2977" xr:uid="{87BE2307-98E6-49C3-AF92-4E4D8078A1AE}"/>
    <cellStyle name="Euro 2 6 2 2 2" xfId="3566" xr:uid="{74016439-2106-4ECE-8116-A824F0834104}"/>
    <cellStyle name="Euro 2 6 2 3" xfId="3291" xr:uid="{106EDB16-CDEF-4B20-9861-0DB557FD6639}"/>
    <cellStyle name="Euro 2 6 3" xfId="2837" xr:uid="{D4EF6AE9-C180-4F0B-94B7-AA065C01B3A6}"/>
    <cellStyle name="Euro 2 6 3 2" xfId="3426" xr:uid="{476899B5-3B76-40F7-AD03-CA564E9F2BCB}"/>
    <cellStyle name="Euro 2 6 4" xfId="3151" xr:uid="{3D530FD1-8261-4588-9F50-AB27FAA66E95}"/>
    <cellStyle name="Euro 2 7" xfId="266" xr:uid="{2E23DC4B-402E-4840-BFEE-F3FFADB8BDFB}"/>
    <cellStyle name="Euro 2 7 2" xfId="575" xr:uid="{575CF2C8-84BF-40D1-A702-535B0983B4DD}"/>
    <cellStyle name="Euro 2 7 2 2" xfId="3004" xr:uid="{898F1737-6405-494F-A7B3-A19867AE5483}"/>
    <cellStyle name="Euro 2 7 2 2 2" xfId="3593" xr:uid="{6C8BB019-9A50-438F-BE7A-3860F5B2BBD8}"/>
    <cellStyle name="Euro 2 7 2 3" xfId="3318" xr:uid="{04A6209B-3E89-479B-8139-4132FB525507}"/>
    <cellStyle name="Euro 2 7 3" xfId="2868" xr:uid="{DE878512-F6F5-4BE7-AA49-C16C9DFF6086}"/>
    <cellStyle name="Euro 2 7 3 2" xfId="3457" xr:uid="{EE5D4E10-3506-4946-BA25-3C0B7C6B28A8}"/>
    <cellStyle name="Euro 2 7 4" xfId="3182" xr:uid="{0625F5C0-1C58-46E4-A1C9-5A04599495C3}"/>
    <cellStyle name="Euro 2 8" xfId="375" xr:uid="{773A9FCF-91FA-4604-AFBC-66772A8DCDB5}"/>
    <cellStyle name="Euro 2 8 2" xfId="2917" xr:uid="{37CE0DF3-AD0F-4772-A633-70B593EBF2C8}"/>
    <cellStyle name="Euro 2 8 2 2" xfId="3506" xr:uid="{C596AA1D-CBA1-4184-ADEC-09A78993390B}"/>
    <cellStyle name="Euro 2 8 3" xfId="3231" xr:uid="{BD6F8CE5-5541-467A-9DC4-0A78569B19F3}"/>
    <cellStyle name="Euro 2 9" xfId="495" xr:uid="{66990C1C-E8AE-463D-B605-4C675C03C42D}"/>
    <cellStyle name="Euro 2 9 2" xfId="2969" xr:uid="{9CC646E4-FAA4-4734-A78A-D5E90800D08C}"/>
    <cellStyle name="Euro 2 9 2 2" xfId="3558" xr:uid="{6AE74E89-63B1-46AC-8F95-84C712480A60}"/>
    <cellStyle name="Euro 2 9 3" xfId="3283" xr:uid="{F32376EB-ACAD-4B1B-9CBC-931E0D342459}"/>
    <cellStyle name="Euro 2_ANNÉE 2015" xfId="1033" xr:uid="{CD9007CD-A837-4126-A3F6-FF2F2EF7E7E9}"/>
    <cellStyle name="Euro 3" xfId="80" xr:uid="{10ECEE85-A46B-4340-A8F6-7E81885E8AD4}"/>
    <cellStyle name="Euro 3 10" xfId="684" xr:uid="{A5E3630B-F2B2-498E-8A04-D4D7271CC7BF}"/>
    <cellStyle name="Euro 3 10 2" xfId="3053" xr:uid="{1B55961F-E786-45D4-8E50-5C7BD670886A}"/>
    <cellStyle name="Euro 3 10 2 2" xfId="3642" xr:uid="{81626537-AAE0-4848-A2A6-5E3D89376094}"/>
    <cellStyle name="Euro 3 10 3" xfId="3367" xr:uid="{4DF2F6C7-19FF-4DEF-A97F-11B2C9FC2DA7}"/>
    <cellStyle name="Euro 3 11" xfId="1034" xr:uid="{F279D73D-D234-477C-8C1A-ABFAAECC12DF}"/>
    <cellStyle name="Euro 3 12" xfId="2794" xr:uid="{090DAF41-53AD-48F0-A5D7-1A245F53F728}"/>
    <cellStyle name="Euro 3 12 2" xfId="3383" xr:uid="{5B0FC0ED-B000-4329-9F37-7FB72B4EE989}"/>
    <cellStyle name="Euro 3 13" xfId="3108" xr:uid="{0866A2FD-461C-47EC-91A8-D245951E0303}"/>
    <cellStyle name="Euro 3 2" xfId="88" xr:uid="{44BCF065-72B9-48D0-81DB-A90D592328E1}"/>
    <cellStyle name="Euro 3 2 10" xfId="2798" xr:uid="{A26D4C7B-09B6-4107-ACA9-0C97116571B1}"/>
    <cellStyle name="Euro 3 2 10 2" xfId="3387" xr:uid="{437460B9-1ED0-4FDF-905C-B9F8B0480796}"/>
    <cellStyle name="Euro 3 2 11" xfId="3112" xr:uid="{EC2C3647-E442-4BF5-980E-A09F8D7C918D}"/>
    <cellStyle name="Euro 3 2 2" xfId="118" xr:uid="{ECD0FF12-9E02-4FD0-BB08-C49FD0DA350A}"/>
    <cellStyle name="Euro 3 2 2 2" xfId="236" xr:uid="{F697D1DE-C5A6-4568-A696-1247C19EAA0F}"/>
    <cellStyle name="Euro 3 2 2 2 2" xfId="552" xr:uid="{4C4EDA47-81EF-4FF6-A7C0-33509B3E357D}"/>
    <cellStyle name="Euro 3 2 2 2 2 2" xfId="2994" xr:uid="{E27B5E61-7FD1-4B7C-BDF1-96FB70D0F997}"/>
    <cellStyle name="Euro 3 2 2 2 2 2 2" xfId="3583" xr:uid="{D7C8702C-1DE6-4D89-B7A4-EC95B41810D2}"/>
    <cellStyle name="Euro 3 2 2 2 2 3" xfId="3308" xr:uid="{F6AA6A67-83B5-4ADF-9463-D88A8AC0D07C}"/>
    <cellStyle name="Euro 3 2 2 2 3" xfId="2856" xr:uid="{09A5D201-7327-4AA7-8CC7-3134B0C4BD24}"/>
    <cellStyle name="Euro 3 2 2 2 3 2" xfId="3445" xr:uid="{4529AC62-CF12-45E7-8882-0613714C2FEC}"/>
    <cellStyle name="Euro 3 2 2 2 4" xfId="3170" xr:uid="{6A2F6B63-4B5F-41F7-9964-35638B3C877B}"/>
    <cellStyle name="Euro 3 2 2 3" xfId="349" xr:uid="{16FD5789-C535-4976-8F75-9634974E526C}"/>
    <cellStyle name="Euro 3 2 2 3 2" xfId="657" xr:uid="{8F6D6084-8EB3-4382-BB8C-F5C084B9169F}"/>
    <cellStyle name="Euro 3 2 2 3 2 2" xfId="3042" xr:uid="{D719DEC0-F342-4151-9562-61181A373D8E}"/>
    <cellStyle name="Euro 3 2 2 3 2 2 2" xfId="3631" xr:uid="{2FBFFCCB-E986-42F3-887E-63942F516DB2}"/>
    <cellStyle name="Euro 3 2 2 3 2 3" xfId="3356" xr:uid="{9691EEEF-1218-4668-89A0-786C4E6FE06C}"/>
    <cellStyle name="Euro 3 2 2 3 3" xfId="2906" xr:uid="{1A26CCF9-DD9A-426F-8FE9-5FBA0E14B753}"/>
    <cellStyle name="Euro 3 2 2 3 3 2" xfId="3495" xr:uid="{C6DD6D39-BEFA-4CAC-B38B-89FEC3C7AE5A}"/>
    <cellStyle name="Euro 3 2 2 3 4" xfId="3220" xr:uid="{B5C02C8A-B1E5-4F55-AAF6-231D279CE75E}"/>
    <cellStyle name="Euro 3 2 2 4" xfId="464" xr:uid="{D5A0BDD1-392F-4B4B-8239-84E45DE7107A}"/>
    <cellStyle name="Euro 3 2 2 4 2" xfId="2957" xr:uid="{CEF3360E-BF93-4D24-A6FC-0A4D33708F47}"/>
    <cellStyle name="Euro 3 2 2 4 2 2" xfId="3546" xr:uid="{20C83D6A-3C6A-49BC-B661-A6C9B990015E}"/>
    <cellStyle name="Euro 3 2 2 4 3" xfId="3271" xr:uid="{AF59FA57-9EBE-449A-A916-48182C03418B}"/>
    <cellStyle name="Euro 3 2 2 5" xfId="2033" xr:uid="{B21AA3FC-C4B4-4397-B564-BAD5E366C9DA}"/>
    <cellStyle name="Euro 3 2 2 6" xfId="2812" xr:uid="{21D62040-B8B3-4C0D-8BE7-34EF46989092}"/>
    <cellStyle name="Euro 3 2 2 6 2" xfId="3401" xr:uid="{98C18C3C-273A-4EF9-A437-D4001F26AF5F}"/>
    <cellStyle name="Euro 3 2 2 7" xfId="3126" xr:uid="{2326A5F5-0C82-4063-BD40-7B07B3085C0E}"/>
    <cellStyle name="Euro 3 2 3" xfId="152" xr:uid="{3D31A516-93E6-4344-9549-CC1A50644897}"/>
    <cellStyle name="Euro 3 2 3 2" xfId="318" xr:uid="{C5437D9B-BC56-4724-8F56-9D2529740657}"/>
    <cellStyle name="Euro 3 2 3 2 2" xfId="627" xr:uid="{030D28C8-5A0C-4905-8713-E38A8B176E7B}"/>
    <cellStyle name="Euro 3 2 3 2 2 2" xfId="3028" xr:uid="{BA38E57D-844C-453F-8EE2-90BC8193D5A7}"/>
    <cellStyle name="Euro 3 2 3 2 2 2 2" xfId="3617" xr:uid="{C540B131-F2AC-40E1-BDF2-9B6A97991B9B}"/>
    <cellStyle name="Euro 3 2 3 2 2 3" xfId="3342" xr:uid="{FCB7D848-F947-4143-B1AC-D0F4211C3FFA}"/>
    <cellStyle name="Euro 3 2 3 2 3" xfId="2892" xr:uid="{8F3940C4-516B-44BB-94A9-78F120A14B57}"/>
    <cellStyle name="Euro 3 2 3 2 3 2" xfId="3481" xr:uid="{E1FD2FBD-1A99-4669-BA9E-414F86048708}"/>
    <cellStyle name="Euro 3 2 3 2 4" xfId="3206" xr:uid="{798470F3-4CDB-469D-9613-6D850E2B0A5E}"/>
    <cellStyle name="Euro 3 2 3 3" xfId="435" xr:uid="{658B1C17-E3B9-447B-B570-38FADBAE5E63}"/>
    <cellStyle name="Euro 3 2 3 3 2" xfId="2944" xr:uid="{33FF25F3-4835-41D1-B668-8E1784517CDA}"/>
    <cellStyle name="Euro 3 2 3 3 2 2" xfId="3533" xr:uid="{95A0E6ED-D19C-47CF-9E2B-986D405ED244}"/>
    <cellStyle name="Euro 3 2 3 3 3" xfId="3258" xr:uid="{5D93645C-7ABC-422A-92E3-1F3B9E540741}"/>
    <cellStyle name="Euro 3 2 3 4" xfId="2827" xr:uid="{9B33087B-CDAC-442B-984A-42D74045CDAF}"/>
    <cellStyle name="Euro 3 2 3 4 2" xfId="3416" xr:uid="{43A2FF99-15B4-4470-940D-3372E65D1817}"/>
    <cellStyle name="Euro 3 2 3 5" xfId="3141" xr:uid="{9BA3F573-355B-40DC-876A-015B072765EB}"/>
    <cellStyle name="Euro 3 2 4" xfId="201" xr:uid="{24CBEFF6-D293-4F4C-A78E-C1D459F73C1F}"/>
    <cellStyle name="Euro 3 2 4 2" xfId="524" xr:uid="{FC89C7C3-850D-4CD1-BA15-707E29795E9F}"/>
    <cellStyle name="Euro 3 2 4 2 2" xfId="2981" xr:uid="{FFE63E6A-A0A9-43D3-97DE-BD4AE885989C}"/>
    <cellStyle name="Euro 3 2 4 2 2 2" xfId="3570" xr:uid="{9B65423E-0C28-4460-9896-B2A664B76166}"/>
    <cellStyle name="Euro 3 2 4 2 3" xfId="3295" xr:uid="{8737B635-010E-4C44-9F6B-2DA78F2138A4}"/>
    <cellStyle name="Euro 3 2 4 3" xfId="2842" xr:uid="{E3298E60-1A55-4874-9884-E7892FE64F31}"/>
    <cellStyle name="Euro 3 2 4 3 2" xfId="3431" xr:uid="{54D8D7E0-6E37-450D-A800-FA71CDB90D64}"/>
    <cellStyle name="Euro 3 2 4 4" xfId="3156" xr:uid="{D5A172A0-7BE8-429B-86E2-7B58F7E51F3E}"/>
    <cellStyle name="Euro 3 2 5" xfId="276" xr:uid="{94580AC3-F40F-48EA-9F3B-4EC2E2EB27EE}"/>
    <cellStyle name="Euro 3 2 5 2" xfId="585" xr:uid="{3C2FC826-6DA6-4B6D-80E3-4DF5FA0BA091}"/>
    <cellStyle name="Euro 3 2 5 2 2" xfId="3009" xr:uid="{D5FA438F-2F0F-4A08-9070-1DDACE81B5C6}"/>
    <cellStyle name="Euro 3 2 5 2 2 2" xfId="3598" xr:uid="{5A2CEE05-19AC-430F-9B53-6DBC72299935}"/>
    <cellStyle name="Euro 3 2 5 2 3" xfId="3323" xr:uid="{ACEF554A-E6FD-4F5E-995E-3B9A1CC37330}"/>
    <cellStyle name="Euro 3 2 5 3" xfId="2873" xr:uid="{0C0EE1E4-E0C4-4A79-B302-A8DDF6EE8304}"/>
    <cellStyle name="Euro 3 2 5 3 2" xfId="3462" xr:uid="{EBBFB6BD-ED80-44F4-9CC1-C26B771D3B26}"/>
    <cellStyle name="Euro 3 2 5 4" xfId="3187" xr:uid="{5B6B20F1-1FFF-47FF-B870-15DD32331ED5}"/>
    <cellStyle name="Euro 3 2 6" xfId="390" xr:uid="{875A0008-E527-4EDC-90E3-37621DCA279F}"/>
    <cellStyle name="Euro 3 2 6 2" xfId="2923" xr:uid="{1B9FB4B7-7990-48FF-9BE7-CE93F2576716}"/>
    <cellStyle name="Euro 3 2 6 2 2" xfId="3512" xr:uid="{23861A6B-84AD-4F67-B75B-09353D34A073}"/>
    <cellStyle name="Euro 3 2 6 3" xfId="3237" xr:uid="{87303C08-F166-45DA-B137-D354496450D1}"/>
    <cellStyle name="Euro 3 2 7" xfId="503" xr:uid="{EB416823-6B31-415F-8D1A-4EB791473498}"/>
    <cellStyle name="Euro 3 2 7 2" xfId="2973" xr:uid="{4F64D9A9-AB61-4F98-9DBC-AEBFFE7E0A36}"/>
    <cellStyle name="Euro 3 2 7 2 2" xfId="3562" xr:uid="{2DFB21B3-51DB-4594-89DA-EBC76BC1B787}"/>
    <cellStyle name="Euro 3 2 7 3" xfId="3287" xr:uid="{AE03E8A5-D327-4332-8585-5DF417A5A054}"/>
    <cellStyle name="Euro 3 2 8" xfId="696" xr:uid="{A50DBCC5-6FA5-4590-9FC9-40FE6C4079F2}"/>
    <cellStyle name="Euro 3 2 8 2" xfId="3058" xr:uid="{D05E6A55-51C7-4498-BE31-64823B1C07BA}"/>
    <cellStyle name="Euro 3 2 8 2 2" xfId="3647" xr:uid="{6914929D-F84C-4C00-99AB-CC766C0606A0}"/>
    <cellStyle name="Euro 3 2 8 3" xfId="3372" xr:uid="{146F071D-DADF-4B58-BD4A-7AFAED07B9D1}"/>
    <cellStyle name="Euro 3 2 9" xfId="1035" xr:uid="{A6089CBD-3E5A-4C1C-9E0C-CDA515041083}"/>
    <cellStyle name="Euro 3 3" xfId="96" xr:uid="{967EF89B-2BA4-4C4A-AEB3-75C8CFCA3310}"/>
    <cellStyle name="Euro 3 3 2" xfId="126" xr:uid="{F75A23EA-7580-4261-BF44-74F7199CEA35}"/>
    <cellStyle name="Euro 3 3 2 2" xfId="244" xr:uid="{6FAA3F57-11A7-41C8-9313-9D0000B25025}"/>
    <cellStyle name="Euro 3 3 2 2 2" xfId="560" xr:uid="{57B5F1E1-C975-43F5-8E5D-7F5CBCCDAB89}"/>
    <cellStyle name="Euro 3 3 2 2 2 2" xfId="2998" xr:uid="{240A9008-C45E-4080-8E6E-3569291E103B}"/>
    <cellStyle name="Euro 3 3 2 2 2 2 2" xfId="3587" xr:uid="{F91DF40B-6400-4F43-86B6-AEEBD53726B4}"/>
    <cellStyle name="Euro 3 3 2 2 2 3" xfId="3312" xr:uid="{59125FC4-1478-490F-B29A-754529609671}"/>
    <cellStyle name="Euro 3 3 2 2 3" xfId="2860" xr:uid="{4D19A1F1-69DB-46E8-B2BD-6222372F65E8}"/>
    <cellStyle name="Euro 3 3 2 2 3 2" xfId="3449" xr:uid="{CDA83DF3-A1F3-4659-9152-7FCB5A6E9BDC}"/>
    <cellStyle name="Euro 3 3 2 2 4" xfId="3174" xr:uid="{EC4586BF-31A8-4971-845F-FCA521D50779}"/>
    <cellStyle name="Euro 3 3 2 3" xfId="357" xr:uid="{EA99D869-ED9B-42D9-A01E-086E0887D4D9}"/>
    <cellStyle name="Euro 3 3 2 3 2" xfId="665" xr:uid="{6A1617FA-47FD-4922-B60B-17EB3748D61B}"/>
    <cellStyle name="Euro 3 3 2 3 2 2" xfId="3046" xr:uid="{CCD8BB9C-D938-48ED-8DD0-FF9BAF5C55F1}"/>
    <cellStyle name="Euro 3 3 2 3 2 2 2" xfId="3635" xr:uid="{8D6241A6-C693-42CF-8D54-A7C18EDC1B20}"/>
    <cellStyle name="Euro 3 3 2 3 2 3" xfId="3360" xr:uid="{D0BEB3AE-6147-40F9-B533-87C1D93A9DBC}"/>
    <cellStyle name="Euro 3 3 2 3 3" xfId="2910" xr:uid="{04942728-D4A7-40A9-9745-8E1A02983684}"/>
    <cellStyle name="Euro 3 3 2 3 3 2" xfId="3499" xr:uid="{92E9A4D4-77C2-477F-8C14-EEE68367290A}"/>
    <cellStyle name="Euro 3 3 2 3 4" xfId="3224" xr:uid="{7BC9476D-622F-4DE3-B449-5F0F85D170AE}"/>
    <cellStyle name="Euro 3 3 2 4" xfId="472" xr:uid="{982A3349-36AC-4C71-85CF-F220F1120576}"/>
    <cellStyle name="Euro 3 3 2 4 2" xfId="2961" xr:uid="{0E1C8453-05F0-4F67-9F4E-97B9150286E9}"/>
    <cellStyle name="Euro 3 3 2 4 2 2" xfId="3550" xr:uid="{CBFDB631-2967-449B-8A2C-FD4954A72F5B}"/>
    <cellStyle name="Euro 3 3 2 4 3" xfId="3275" xr:uid="{276E72E3-BE7D-42A0-B856-C27432229520}"/>
    <cellStyle name="Euro 3 3 2 5" xfId="2816" xr:uid="{9B1F7EF4-65DA-4BC2-9A1C-37C0B44A9134}"/>
    <cellStyle name="Euro 3 3 2 5 2" xfId="3405" xr:uid="{C558374F-C436-4812-A86F-6CAF1E4E7A36}"/>
    <cellStyle name="Euro 3 3 2 6" xfId="3130" xr:uid="{54D1134E-4511-4AF2-9507-309BBECB26F8}"/>
    <cellStyle name="Euro 3 3 3" xfId="160" xr:uid="{01B2C6C9-4504-4B11-BDD7-7348FAF9526E}"/>
    <cellStyle name="Euro 3 3 3 2" xfId="326" xr:uid="{A598647D-425D-47FD-B181-6A4246227208}"/>
    <cellStyle name="Euro 3 3 3 2 2" xfId="635" xr:uid="{5F8A3C71-F1DA-4372-84CD-DF52C0BBF711}"/>
    <cellStyle name="Euro 3 3 3 2 2 2" xfId="3032" xr:uid="{3FB952E8-E8F7-4058-853B-E9ED281C3CDD}"/>
    <cellStyle name="Euro 3 3 3 2 2 2 2" xfId="3621" xr:uid="{DA5A6368-BC5F-49A0-B8B0-0E027E487865}"/>
    <cellStyle name="Euro 3 3 3 2 2 3" xfId="3346" xr:uid="{1C13E7C0-DCA2-44B4-B1DE-F18286AB1281}"/>
    <cellStyle name="Euro 3 3 3 2 3" xfId="2896" xr:uid="{E325FF62-E5AD-492B-91E0-B031916C6800}"/>
    <cellStyle name="Euro 3 3 3 2 3 2" xfId="3485" xr:uid="{A8A4B9C0-C525-4F8C-99D4-209AAC385DC3}"/>
    <cellStyle name="Euro 3 3 3 2 4" xfId="3210" xr:uid="{F897251C-ACD5-4DD0-A3B8-6BD95A041C24}"/>
    <cellStyle name="Euro 3 3 3 3" xfId="443" xr:uid="{BD9C2470-C903-4385-B84B-E20C8FD426E9}"/>
    <cellStyle name="Euro 3 3 3 3 2" xfId="2948" xr:uid="{844EEA48-0B48-456B-9250-3E27D916C459}"/>
    <cellStyle name="Euro 3 3 3 3 2 2" xfId="3537" xr:uid="{11D94E78-9655-4BF0-A288-78D7145598B7}"/>
    <cellStyle name="Euro 3 3 3 3 3" xfId="3262" xr:uid="{7134AB04-6260-40CE-9828-CE62874B5DED}"/>
    <cellStyle name="Euro 3 3 3 4" xfId="2831" xr:uid="{18F212A1-6CAE-46D1-8CAE-DABD2C95432B}"/>
    <cellStyle name="Euro 3 3 3 4 2" xfId="3420" xr:uid="{3B3AF518-13BB-49B7-A55F-5650034A70F6}"/>
    <cellStyle name="Euro 3 3 3 5" xfId="3145" xr:uid="{82D26B65-F199-4DD3-A296-D27925F829BF}"/>
    <cellStyle name="Euro 3 3 4" xfId="209" xr:uid="{BF102407-532C-46C2-B438-A5728E1ECD31}"/>
    <cellStyle name="Euro 3 3 4 2" xfId="532" xr:uid="{9F2487A7-64A4-4764-A1FC-9E3332D05B2E}"/>
    <cellStyle name="Euro 3 3 4 2 2" xfId="2985" xr:uid="{92F6DAF9-21DF-4765-9FCD-7489121E11BE}"/>
    <cellStyle name="Euro 3 3 4 2 2 2" xfId="3574" xr:uid="{FAB09EAA-B7FD-4F7D-A66D-352CFB1EB349}"/>
    <cellStyle name="Euro 3 3 4 2 3" xfId="3299" xr:uid="{0B378A54-E84A-486A-8D43-5143CFD7DDAB}"/>
    <cellStyle name="Euro 3 3 4 3" xfId="2846" xr:uid="{0BB2023A-D310-4B69-BD47-099099CF54B8}"/>
    <cellStyle name="Euro 3 3 4 3 2" xfId="3435" xr:uid="{1704CA06-810D-41EF-9F29-FAF5ABBD87AC}"/>
    <cellStyle name="Euro 3 3 4 4" xfId="3160" xr:uid="{0443B16F-B83D-4BCB-ABF0-8966C317A04C}"/>
    <cellStyle name="Euro 3 3 5" xfId="284" xr:uid="{E352C9DE-67B1-4A9D-84E8-0B438BDE2560}"/>
    <cellStyle name="Euro 3 3 5 2" xfId="593" xr:uid="{24F8C013-1977-4272-B9D8-BC404563F1AF}"/>
    <cellStyle name="Euro 3 3 5 2 2" xfId="3013" xr:uid="{5B561D3A-E2E4-4E4A-9A0F-ABD077FB4019}"/>
    <cellStyle name="Euro 3 3 5 2 2 2" xfId="3602" xr:uid="{DFA1DA7D-D76A-4165-B98B-7A9EEF9241BE}"/>
    <cellStyle name="Euro 3 3 5 2 3" xfId="3327" xr:uid="{73A5AA69-75F7-43D0-A255-3CF26383EEEE}"/>
    <cellStyle name="Euro 3 3 5 3" xfId="2877" xr:uid="{BB15FA93-15B5-4634-AEFE-146BE4711942}"/>
    <cellStyle name="Euro 3 3 5 3 2" xfId="3466" xr:uid="{3154B0F5-DE37-469C-A650-E71EA149CAAC}"/>
    <cellStyle name="Euro 3 3 5 4" xfId="3191" xr:uid="{2F2A1046-DD9A-443C-983F-58F80BF47BBF}"/>
    <cellStyle name="Euro 3 3 6" xfId="402" xr:uid="{68433EA1-9DBC-4F04-B5E5-54753754B2B1}"/>
    <cellStyle name="Euro 3 3 6 2" xfId="2929" xr:uid="{9B3621FF-2C00-4CC3-B4B3-D8AAC5F1A0D1}"/>
    <cellStyle name="Euro 3 3 6 2 2" xfId="3518" xr:uid="{9695DE75-7C56-4356-92EE-692C349961DB}"/>
    <cellStyle name="Euro 3 3 6 3" xfId="3243" xr:uid="{628EC495-5D12-4C01-B202-0D6023CDF205}"/>
    <cellStyle name="Euro 3 3 7" xfId="2032" xr:uid="{B1135C08-2258-4CB1-956A-83DAAD108F87}"/>
    <cellStyle name="Euro 3 3 8" xfId="2802" xr:uid="{FE8DB830-5B74-4E88-987A-446FF3F96AF8}"/>
    <cellStyle name="Euro 3 3 8 2" xfId="3391" xr:uid="{5AE65F84-5E80-4C73-883B-D333E0965457}"/>
    <cellStyle name="Euro 3 3 9" xfId="3116" xr:uid="{6621F18F-CDE5-4C08-A5C5-BCC8D0008350}"/>
    <cellStyle name="Euro 3 4" xfId="110" xr:uid="{CAEAA9C4-B5D6-4948-A0CB-4716E1533C98}"/>
    <cellStyle name="Euro 3 4 2" xfId="253" xr:uid="{FD41B84A-A82F-4251-8724-3DFD61D05CDE}"/>
    <cellStyle name="Euro 3 4 2 2" xfId="366" xr:uid="{6286A3F3-1B30-4F59-97AD-3B9268340264}"/>
    <cellStyle name="Euro 3 4 2 2 2" xfId="673" xr:uid="{EFAE71F9-85D8-404A-A22C-924F734F1A22}"/>
    <cellStyle name="Euro 3 4 2 2 2 2" xfId="3049" xr:uid="{00901047-704E-4976-9061-0F07CF5D9C27}"/>
    <cellStyle name="Euro 3 4 2 2 2 2 2" xfId="3638" xr:uid="{A99E960B-CE18-4A1C-B148-1A3CCC830A12}"/>
    <cellStyle name="Euro 3 4 2 2 2 3" xfId="3363" xr:uid="{3B2E5BEE-692C-4F81-9097-9A04188ABC11}"/>
    <cellStyle name="Euro 3 4 2 2 3" xfId="2914" xr:uid="{48469AB4-B020-4AC0-B734-813D7B5ED1ED}"/>
    <cellStyle name="Euro 3 4 2 2 3 2" xfId="3503" xr:uid="{A8E99383-A2DB-47A5-AFE3-9CB38670B613}"/>
    <cellStyle name="Euro 3 4 2 2 4" xfId="3228" xr:uid="{8C080972-806B-4457-A9F9-A8753543C44F}"/>
    <cellStyle name="Euro 3 4 2 3" xfId="481" xr:uid="{17819AA1-CFFC-40FE-B776-C9C0D346CE9E}"/>
    <cellStyle name="Euro 3 4 2 3 2" xfId="2965" xr:uid="{10EE9DEB-959F-4EC2-94B2-888450E102C0}"/>
    <cellStyle name="Euro 3 4 2 3 2 2" xfId="3554" xr:uid="{3C00BED2-E76E-44CB-BD1A-4CCEDB1463D2}"/>
    <cellStyle name="Euro 3 4 2 3 3" xfId="3279" xr:uid="{C1F209F8-2205-439A-B8F9-2FA209467AED}"/>
    <cellStyle name="Euro 3 4 2 4" xfId="2864" xr:uid="{36017952-4556-4FE8-BE38-B4DF846882E8}"/>
    <cellStyle name="Euro 3 4 2 4 2" xfId="3453" xr:uid="{09B9706C-474E-4201-9FF0-9B9CF09F83FA}"/>
    <cellStyle name="Euro 3 4 2 5" xfId="3178" xr:uid="{8C021945-D918-469E-AA00-B35C9CC1FFAB}"/>
    <cellStyle name="Euro 3 4 3" xfId="295" xr:uid="{5D49C8FE-B9FA-4F57-AC69-BC5FECE63B91}"/>
    <cellStyle name="Euro 3 4 3 2" xfId="604" xr:uid="{16604D22-7180-4A09-BFDE-2751C712D09E}"/>
    <cellStyle name="Euro 3 4 3 2 2" xfId="3018" xr:uid="{5F9080D8-6A57-4CEE-BC96-6969E9003280}"/>
    <cellStyle name="Euro 3 4 3 2 2 2" xfId="3607" xr:uid="{26BCF45D-9C32-49D1-B8C6-14DA58215F60}"/>
    <cellStyle name="Euro 3 4 3 2 3" xfId="3332" xr:uid="{E07AB0BA-2F4A-4EE1-92D2-AF367F19CCA7}"/>
    <cellStyle name="Euro 3 4 3 3" xfId="2882" xr:uid="{A9654978-9C99-4C41-B89E-9E0D50E2D193}"/>
    <cellStyle name="Euro 3 4 3 3 2" xfId="3471" xr:uid="{4E84CF42-A308-465B-8AD4-5615CC2E8A11}"/>
    <cellStyle name="Euro 3 4 3 4" xfId="3196" xr:uid="{E601B702-7D66-4CFF-8C2E-3E229BA63E9F}"/>
    <cellStyle name="Euro 3 4 4" xfId="413" xr:uid="{D54E1E86-D1D3-45E6-9AE6-8A196EA47B6C}"/>
    <cellStyle name="Euro 3 4 4 2" xfId="2934" xr:uid="{0BDDC2D4-E15C-44AD-AC11-ECDC571B01F6}"/>
    <cellStyle name="Euro 3 4 4 2 2" xfId="3523" xr:uid="{F6EA9E18-4BD4-4E55-AD17-E829D91C10FF}"/>
    <cellStyle name="Euro 3 4 4 3" xfId="3248" xr:uid="{A75D278E-4DA7-4F35-8D7D-25C2F12A80AA}"/>
    <cellStyle name="Euro 3 4 5" xfId="2808" xr:uid="{D12D4847-4109-4E42-8A6F-C152FBF2F76C}"/>
    <cellStyle name="Euro 3 4 5 2" xfId="3397" xr:uid="{F9E310E4-F8C7-4934-9C0D-7D3486B9B15B}"/>
    <cellStyle name="Euro 3 4 6" xfId="3122" xr:uid="{212FC8DA-D8C6-4257-BCAE-0605802FEA15}"/>
    <cellStyle name="Euro 3 5" xfId="144" xr:uid="{14893E26-A6E0-4A7B-8C61-FF274CBAB5BA}"/>
    <cellStyle name="Euro 3 5 2" xfId="228" xr:uid="{BAC8111D-92B3-49BF-8E83-3B512FDEB1C7}"/>
    <cellStyle name="Euro 3 5 2 2" xfId="544" xr:uid="{BC9EB6AD-D724-4B32-AA90-5384EA306FB5}"/>
    <cellStyle name="Euro 3 5 2 2 2" xfId="2990" xr:uid="{84D9B9DD-0160-43DB-99AC-FA738B945820}"/>
    <cellStyle name="Euro 3 5 2 2 2 2" xfId="3579" xr:uid="{883E5AED-29B1-4DDD-85CF-6F05F69A7A3D}"/>
    <cellStyle name="Euro 3 5 2 2 3" xfId="3304" xr:uid="{3586B04D-0A4A-48BD-807F-F2FC34037A09}"/>
    <cellStyle name="Euro 3 5 2 3" xfId="2852" xr:uid="{BDAF0828-BFCE-401D-8581-C0A2BF0993AE}"/>
    <cellStyle name="Euro 3 5 2 3 2" xfId="3441" xr:uid="{E3804A3B-961F-403F-9CE7-8D26C092915A}"/>
    <cellStyle name="Euro 3 5 2 4" xfId="3166" xr:uid="{F918BA8E-9364-4BF0-99AC-FD6C35EB44ED}"/>
    <cellStyle name="Euro 3 5 3" xfId="341" xr:uid="{67262E4F-8B4F-4E62-B0C2-79D4CB0C16FC}"/>
    <cellStyle name="Euro 3 5 3 2" xfId="649" xr:uid="{DAB03176-55F5-428B-8908-BC2FD8B2A075}"/>
    <cellStyle name="Euro 3 5 3 2 2" xfId="3038" xr:uid="{41309712-49CE-4BED-9A58-3913BB88CE79}"/>
    <cellStyle name="Euro 3 5 3 2 2 2" xfId="3627" xr:uid="{F0D30FDD-9704-4AF5-BDF7-0FD20057B7E3}"/>
    <cellStyle name="Euro 3 5 3 2 3" xfId="3352" xr:uid="{5EFC3DB7-EA89-4A57-88A8-8502338E7368}"/>
    <cellStyle name="Euro 3 5 3 3" xfId="2902" xr:uid="{166EB64C-E770-45EF-9F6C-B42B0142F689}"/>
    <cellStyle name="Euro 3 5 3 3 2" xfId="3491" xr:uid="{26329135-E728-4204-A179-F45B838377B0}"/>
    <cellStyle name="Euro 3 5 3 4" xfId="3216" xr:uid="{30F4696B-98C0-483A-AF81-D5EB696F78F5}"/>
    <cellStyle name="Euro 3 5 4" xfId="456" xr:uid="{E5E0A69B-13E1-4E70-9D67-65A00E0F3FE6}"/>
    <cellStyle name="Euro 3 5 4 2" xfId="2953" xr:uid="{E11F504A-BCD8-4912-ADCC-888BA69C82E7}"/>
    <cellStyle name="Euro 3 5 4 2 2" xfId="3542" xr:uid="{3DC6B4BB-A3C0-4D8D-974F-834C561CEE59}"/>
    <cellStyle name="Euro 3 5 4 3" xfId="3267" xr:uid="{8FF273AC-A99E-4B07-A0D6-265A5C6D1719}"/>
    <cellStyle name="Euro 3 5 5" xfId="2823" xr:uid="{4BC58CC0-EB9E-47A2-BE4B-431081ADAAAC}"/>
    <cellStyle name="Euro 3 5 5 2" xfId="3412" xr:uid="{1E6C478C-6E0E-4A59-BFAF-39336EB338D5}"/>
    <cellStyle name="Euro 3 5 6" xfId="3137" xr:uid="{91C7FEE7-D3DF-4C5C-A8DC-D279F8FA51DD}"/>
    <cellStyle name="Euro 3 6" xfId="193" xr:uid="{A2CA0A77-3DA6-4A57-A964-469677C277CC}"/>
    <cellStyle name="Euro 3 6 2" xfId="310" xr:uid="{1ABD221F-2D95-43BD-B3A2-DB6A07356CBB}"/>
    <cellStyle name="Euro 3 6 2 2" xfId="619" xr:uid="{932CD2A5-7962-4377-A1E1-6945970848A9}"/>
    <cellStyle name="Euro 3 6 2 2 2" xfId="3024" xr:uid="{3FB50B12-E67E-4124-A14A-8ACBA1F2B7AA}"/>
    <cellStyle name="Euro 3 6 2 2 2 2" xfId="3613" xr:uid="{3CAFC750-0763-4C05-978B-D91E86F0A1F0}"/>
    <cellStyle name="Euro 3 6 2 2 3" xfId="3338" xr:uid="{98178AC7-DEF7-4180-A2A5-8301B785EA79}"/>
    <cellStyle name="Euro 3 6 2 3" xfId="2888" xr:uid="{5E9538F6-1F32-48D0-BE2A-A851B19F0FCA}"/>
    <cellStyle name="Euro 3 6 2 3 2" xfId="3477" xr:uid="{512CD125-C7EA-44A2-A2C5-4A353AEE193D}"/>
    <cellStyle name="Euro 3 6 2 4" xfId="3202" xr:uid="{DE54D67C-436F-4F2A-8F8D-750A40D14AC0}"/>
    <cellStyle name="Euro 3 6 3" xfId="427" xr:uid="{E8AB4005-F59A-446E-80B6-C45391FAF953}"/>
    <cellStyle name="Euro 3 6 3 2" xfId="2940" xr:uid="{0108494E-0E6A-428F-B3ED-C44135F61453}"/>
    <cellStyle name="Euro 3 6 3 2 2" xfId="3529" xr:uid="{83339D6B-1FA7-4C84-BFCC-F97614361F8A}"/>
    <cellStyle name="Euro 3 6 3 3" xfId="3254" xr:uid="{E1FFF8FE-9CFE-4712-96E3-CE61E4D90F8D}"/>
    <cellStyle name="Euro 3 6 4" xfId="2838" xr:uid="{CABA9411-4D7D-4F1E-BE1E-E4B3F817807F}"/>
    <cellStyle name="Euro 3 6 4 2" xfId="3427" xr:uid="{7918B8A5-E10D-4BBF-ADC3-332E8922BBFB}"/>
    <cellStyle name="Euro 3 6 5" xfId="3152" xr:uid="{D1111D1E-B7D9-49A8-8251-5AAFB7E90C8F}"/>
    <cellStyle name="Euro 3 7" xfId="268" xr:uid="{C71E53CE-8EF8-42F4-8153-B238A2230613}"/>
    <cellStyle name="Euro 3 7 2" xfId="577" xr:uid="{BB9D60CB-B113-4535-8C16-825838E1BD31}"/>
    <cellStyle name="Euro 3 7 2 2" xfId="3005" xr:uid="{C2D985D0-FE5C-4615-A20B-2596D3602806}"/>
    <cellStyle name="Euro 3 7 2 2 2" xfId="3594" xr:uid="{EBC22BE9-2B34-47C2-91F2-6AB21A74CC66}"/>
    <cellStyle name="Euro 3 7 2 3" xfId="3319" xr:uid="{663C0AEA-33A9-45C0-B9B2-C0636E788998}"/>
    <cellStyle name="Euro 3 7 3" xfId="2869" xr:uid="{7E84801B-EDDE-4749-BC6F-082EFF30E424}"/>
    <cellStyle name="Euro 3 7 3 2" xfId="3458" xr:uid="{3840BFAB-4F5D-46A6-9B5F-5F281FC32777}"/>
    <cellStyle name="Euro 3 7 4" xfId="3183" xr:uid="{30AB8BA3-B4CE-4507-B391-7BF067170D6C}"/>
    <cellStyle name="Euro 3 8" xfId="377" xr:uid="{95A63525-CE2E-4EBF-B476-837B712F6D95}"/>
    <cellStyle name="Euro 3 8 2" xfId="2918" xr:uid="{2C8F64A6-7AE4-494E-8A74-96F986EA3E6A}"/>
    <cellStyle name="Euro 3 8 2 2" xfId="3507" xr:uid="{C4EF1FC5-F29E-4862-9984-A8F71A6C0B1A}"/>
    <cellStyle name="Euro 3 8 3" xfId="3232" xr:uid="{CF263360-A9C4-45BA-9F82-43BB701726A2}"/>
    <cellStyle name="Euro 3 9" xfId="497" xr:uid="{FB6F2EBD-212B-43DB-957F-7C59CECD794B}"/>
    <cellStyle name="Euro 3 9 2" xfId="2970" xr:uid="{933E05A8-CCBE-444A-A568-1E8ADAC38846}"/>
    <cellStyle name="Euro 3 9 2 2" xfId="3559" xr:uid="{627E7C62-8FBA-416A-BAB4-306E6E7B897C}"/>
    <cellStyle name="Euro 3 9 3" xfId="3284" xr:uid="{FD30AA61-3BC1-4389-927A-34BCFB35ADAE}"/>
    <cellStyle name="Euro 4" xfId="73" xr:uid="{667440AA-D222-48E3-A70D-26DF631704FC}"/>
    <cellStyle name="Euro 4 10" xfId="2791" xr:uid="{6CC73172-2ECB-4ECF-A4FC-E67B23338398}"/>
    <cellStyle name="Euro 4 10 2" xfId="3380" xr:uid="{036C2498-5D4F-49B5-8675-D7139B154448}"/>
    <cellStyle name="Euro 4 11" xfId="3105" xr:uid="{DD8E5BF7-6D3A-40E4-84A5-8E56844E17FB}"/>
    <cellStyle name="Euro 4 2" xfId="105" xr:uid="{58F20461-D0DB-433D-82F7-71F831AAEBDC}"/>
    <cellStyle name="Euro 4 2 2" xfId="226" xr:uid="{93C4BD26-96B6-4274-B637-DD8C72400672}"/>
    <cellStyle name="Euro 4 2 2 2" xfId="542" xr:uid="{2CCBEBD1-1BE8-4B87-B788-09B1FAD93C1B}"/>
    <cellStyle name="Euro 4 2 2 2 2" xfId="2989" xr:uid="{392CA80F-EBB7-46CD-B14B-DAE37EE9DAF5}"/>
    <cellStyle name="Euro 4 2 2 2 2 2" xfId="3578" xr:uid="{99A88868-F286-483C-A2DF-DC5A9B4E94F1}"/>
    <cellStyle name="Euro 4 2 2 2 3" xfId="3303" xr:uid="{5CA47F53-1D6A-4D07-AAFD-8F236B4E918F}"/>
    <cellStyle name="Euro 4 2 2 3" xfId="2035" xr:uid="{73F66A2E-52D8-4270-BA87-63B221D09056}"/>
    <cellStyle name="Euro 4 2 2 4" xfId="2851" xr:uid="{6827805C-F8BC-40D9-B4BE-F5BC0BAAEAFE}"/>
    <cellStyle name="Euro 4 2 2 4 2" xfId="3440" xr:uid="{6FEAB129-F93A-415F-BBC8-AB1ED7729604}"/>
    <cellStyle name="Euro 4 2 2 5" xfId="3165" xr:uid="{795473EE-64EF-40AA-A22E-9AA9282B647C}"/>
    <cellStyle name="Euro 4 2 3" xfId="339" xr:uid="{060B1B7D-7166-4EAB-8239-99766A960A6B}"/>
    <cellStyle name="Euro 4 2 3 2" xfId="647" xr:uid="{72486CCE-412D-400C-B0F2-C32DA96B6F62}"/>
    <cellStyle name="Euro 4 2 3 2 2" xfId="3037" xr:uid="{252B4D5C-72D7-415B-B6E7-DF88BA70B764}"/>
    <cellStyle name="Euro 4 2 3 2 2 2" xfId="3626" xr:uid="{BF2B60E1-74BA-4521-99D3-44FDACF7C421}"/>
    <cellStyle name="Euro 4 2 3 2 3" xfId="3351" xr:uid="{89377F5F-5CDE-4247-AA91-349812505811}"/>
    <cellStyle name="Euro 4 2 3 3" xfId="2901" xr:uid="{9E3E5529-C0FB-4AB2-A9DF-AFEFB5F9ABAC}"/>
    <cellStyle name="Euro 4 2 3 3 2" xfId="3490" xr:uid="{E720DF00-9525-4F83-9007-ED490BFA3D8C}"/>
    <cellStyle name="Euro 4 2 3 4" xfId="3215" xr:uid="{2C28C20B-D2AB-4C5A-8C7D-B39E0F5D7C5A}"/>
    <cellStyle name="Euro 4 2 4" xfId="393" xr:uid="{533DA0F7-C55A-4B47-BF10-64F9344416DB}"/>
    <cellStyle name="Euro 4 2 4 2" xfId="2924" xr:uid="{6842B4E0-E774-4E32-9DD0-E62F9FB9B5C8}"/>
    <cellStyle name="Euro 4 2 4 2 2" xfId="3513" xr:uid="{776757B8-BD0E-4C2D-8C38-A404D57F01A7}"/>
    <cellStyle name="Euro 4 2 4 3" xfId="3238" xr:uid="{6749837A-0C14-4820-B9DE-0CE599A810E1}"/>
    <cellStyle name="Euro 4 2 5" xfId="507" xr:uid="{C22752E9-9C74-4FE0-A66A-DC8530B64DFA}"/>
    <cellStyle name="Euro 4 2 5 2" xfId="2974" xr:uid="{EFF2D2CC-4DBF-4C09-840D-F170DAF0E60E}"/>
    <cellStyle name="Euro 4 2 5 2 2" xfId="3563" xr:uid="{594DF6EA-C18C-4B9E-85AF-9830F97AE3ED}"/>
    <cellStyle name="Euro 4 2 5 3" xfId="3288" xr:uid="{2B4FCA69-5FB6-4D4C-814B-B9C69B9E8A8D}"/>
    <cellStyle name="Euro 4 2 6" xfId="699" xr:uid="{308BA360-10AD-4041-B840-E187F89E427E}"/>
    <cellStyle name="Euro 4 2 6 2" xfId="3059" xr:uid="{F2EF44FF-E1B5-4A40-82E0-EF8F9FF24506}"/>
    <cellStyle name="Euro 4 2 6 2 2" xfId="3648" xr:uid="{2768A30D-2C6A-4925-B141-8D4DC75AE651}"/>
    <cellStyle name="Euro 4 2 6 3" xfId="3373" xr:uid="{4462F204-4B13-4F83-A505-11C278401D17}"/>
    <cellStyle name="Euro 4 2 7" xfId="1037" xr:uid="{0FA86B4B-097A-4355-A5EE-165A42DB2E76}"/>
    <cellStyle name="Euro 4 2 8" xfId="2805" xr:uid="{7DAC6406-86D2-4573-B509-2CB608647193}"/>
    <cellStyle name="Euro 4 2 8 2" xfId="3394" xr:uid="{4E59B6E3-BB99-4180-8C64-938F355B4E56}"/>
    <cellStyle name="Euro 4 2 9" xfId="3119" xr:uid="{639F8D21-51D7-43E0-94B7-D98A465A3349}"/>
    <cellStyle name="Euro 4 3" xfId="139" xr:uid="{D943830B-60FB-487B-8AFC-73BFEEF22CAC}"/>
    <cellStyle name="Euro 4 3 2" xfId="305" xr:uid="{32542105-1F90-41A4-9DD3-D506290A33EF}"/>
    <cellStyle name="Euro 4 3 2 2" xfId="614" xr:uid="{2196DECC-F1AC-4F2D-BD00-8D1CB5D58CDC}"/>
    <cellStyle name="Euro 4 3 2 2 2" xfId="3021" xr:uid="{F0AB3CC3-0CD5-48CA-AEDD-A23E9C9A88C9}"/>
    <cellStyle name="Euro 4 3 2 2 2 2" xfId="3610" xr:uid="{356C21B9-7029-41C2-BB71-3733EC939133}"/>
    <cellStyle name="Euro 4 3 2 2 3" xfId="3335" xr:uid="{4D619840-5D2F-42CC-8C33-A6448DB80C8D}"/>
    <cellStyle name="Euro 4 3 2 3" xfId="2036" xr:uid="{86396804-9890-4A51-A475-D51CC52CABE1}"/>
    <cellStyle name="Euro 4 3 2 4" xfId="2885" xr:uid="{ED120297-6BB4-409C-8A9B-599040CB60D0}"/>
    <cellStyle name="Euro 4 3 2 4 2" xfId="3474" xr:uid="{DA420D12-E8D4-4687-9773-FFA411971FD0}"/>
    <cellStyle name="Euro 4 3 2 5" xfId="3199" xr:uid="{DF508F8C-2799-48D7-9C5F-CC535092EB00}"/>
    <cellStyle name="Euro 4 3 3" xfId="422" xr:uid="{9077215B-A6C5-41F5-A611-69C93F57882F}"/>
    <cellStyle name="Euro 4 3 3 2" xfId="2937" xr:uid="{9F737E10-8060-43C6-88EE-AF67D1C70EA5}"/>
    <cellStyle name="Euro 4 3 3 2 2" xfId="3526" xr:uid="{0F4A205E-E75C-4916-B15C-2F9BAFB2DD26}"/>
    <cellStyle name="Euro 4 3 3 3" xfId="3251" xr:uid="{16C4BD37-1F11-4600-9E46-D28D41F44282}"/>
    <cellStyle name="Euro 4 3 4" xfId="1038" xr:uid="{65781A0F-C4AE-41BE-9A11-1C98782857FE}"/>
    <cellStyle name="Euro 4 3 5" xfId="2820" xr:uid="{D4F87A1B-2005-4CBE-82E1-5F241DFA8554}"/>
    <cellStyle name="Euro 4 3 5 2" xfId="3409" xr:uid="{AD90434C-10EA-4F0B-8289-3F260ECB2D07}"/>
    <cellStyle name="Euro 4 3 6" xfId="3134" xr:uid="{2401C2CF-96C0-4B23-A715-260524F47DD2}"/>
    <cellStyle name="Euro 4 4" xfId="188" xr:uid="{7BC6D028-14A4-4FE5-B952-220324F224A8}"/>
    <cellStyle name="Euro 4 4 2" xfId="513" xr:uid="{0622A379-5AD4-493B-8F0F-287A1305A7A6}"/>
    <cellStyle name="Euro 4 4 2 2" xfId="2975" xr:uid="{94C7C4CA-E63D-42CD-8AB2-2D4F46BA9DB0}"/>
    <cellStyle name="Euro 4 4 2 2 2" xfId="3564" xr:uid="{BEDB07EC-7F0C-4D77-82C5-AC4658382396}"/>
    <cellStyle name="Euro 4 4 2 3" xfId="3289" xr:uid="{61EFCCAD-36AF-4CBE-9949-C6D2B98A98FA}"/>
    <cellStyle name="Euro 4 4 3" xfId="2034" xr:uid="{BAA2756F-5F08-47BD-A3B2-A73CD14FB05D}"/>
    <cellStyle name="Euro 4 4 4" xfId="2835" xr:uid="{9525F25F-6D6D-4089-98DF-D1E1C064E4D4}"/>
    <cellStyle name="Euro 4 4 4 2" xfId="3424" xr:uid="{7D106A45-8167-4F18-BDD6-595D2D17A0A8}"/>
    <cellStyle name="Euro 4 4 5" xfId="3149" xr:uid="{1A023B67-4D13-4AFE-9D30-C9A76EB80453}"/>
    <cellStyle name="Euro 4 5" xfId="263" xr:uid="{5D5F1302-B8E6-45F8-A2D8-E2EDA0937493}"/>
    <cellStyle name="Euro 4 5 2" xfId="572" xr:uid="{E5DE3655-180E-4603-AAF6-5694D24F0D69}"/>
    <cellStyle name="Euro 4 5 2 2" xfId="3002" xr:uid="{B8EB5FFF-3199-4C60-B061-6005BBDC3DF5}"/>
    <cellStyle name="Euro 4 5 2 2 2" xfId="3591" xr:uid="{679A55FA-BDFB-4121-8F28-770748C0E2F8}"/>
    <cellStyle name="Euro 4 5 2 3" xfId="3316" xr:uid="{6E6E54FE-8F26-4AC4-83E7-78CDD7273A16}"/>
    <cellStyle name="Euro 4 5 3" xfId="2866" xr:uid="{2ACD786B-1EBD-4D71-9E8C-B5D6FEF43F35}"/>
    <cellStyle name="Euro 4 5 3 2" xfId="3455" xr:uid="{63A51A20-60B4-43EB-A675-AC283FEDF06E}"/>
    <cellStyle name="Euro 4 5 4" xfId="3180" xr:uid="{97E9FAC1-F927-4915-A254-1948A3AAB01F}"/>
    <cellStyle name="Euro 4 6" xfId="381" xr:uid="{F4C78E4D-7462-42A2-9294-D587DD5AF0FF}"/>
    <cellStyle name="Euro 4 6 2" xfId="2919" xr:uid="{CA66126F-A415-485B-8475-B92ECE76B0B1}"/>
    <cellStyle name="Euro 4 6 2 2" xfId="3508" xr:uid="{AAE81262-7B1E-4223-B664-435DB5C69427}"/>
    <cellStyle name="Euro 4 6 3" xfId="3233" xr:uid="{55A2BBFA-DAAB-4E89-932D-07E05D9CFE69}"/>
    <cellStyle name="Euro 4 7" xfId="492" xr:uid="{4346428B-9798-4570-B8A3-65FC08AF87C6}"/>
    <cellStyle name="Euro 4 7 2" xfId="2967" xr:uid="{1378428A-94D1-4E59-BAB1-52A1DE4523B1}"/>
    <cellStyle name="Euro 4 7 2 2" xfId="3556" xr:uid="{D51A47B5-0687-4851-A65C-51F8B22F2386}"/>
    <cellStyle name="Euro 4 7 3" xfId="3281" xr:uid="{0F049174-5317-425A-B453-0F030721E5C3}"/>
    <cellStyle name="Euro 4 8" xfId="688" xr:uid="{0EA80EFD-E6E3-49C0-9078-BAC9949F260C}"/>
    <cellStyle name="Euro 4 8 2" xfId="3054" xr:uid="{8A10CC25-45FD-4863-87D1-7FE22E8143C6}"/>
    <cellStyle name="Euro 4 8 2 2" xfId="3643" xr:uid="{33B45C70-802E-48DE-8A8D-7ED2A5AB49B2}"/>
    <cellStyle name="Euro 4 8 3" xfId="3368" xr:uid="{30C3E050-3596-4548-8D43-304D5561B417}"/>
    <cellStyle name="Euro 4 9" xfId="1036" xr:uid="{B85F3E58-8F57-4CFA-8E7E-A494796B5A30}"/>
    <cellStyle name="Euro 4_ANNÉE 2015" xfId="1039" xr:uid="{3CF19042-4B85-4AA1-94A3-CB9595E89A49}"/>
    <cellStyle name="Euro 5" xfId="83" xr:uid="{902EA395-A85D-4909-9299-AB1EFBE987A6}"/>
    <cellStyle name="Euro 5 10" xfId="2795" xr:uid="{7A2E5932-B444-41A3-AB91-D784AC710E69}"/>
    <cellStyle name="Euro 5 10 2" xfId="3384" xr:uid="{1809CA2A-2289-4856-915E-910091014BB6}"/>
    <cellStyle name="Euro 5 11" xfId="3109" xr:uid="{776A5F6E-C33E-4320-B451-A86F97002A23}"/>
    <cellStyle name="Euro 5 2" xfId="113" xr:uid="{803697AA-17ED-4A88-84C5-C2718320FFEF}"/>
    <cellStyle name="Euro 5 2 2" xfId="231" xr:uid="{B9760F7F-71C2-4CA6-A570-8CDE90D2226A}"/>
    <cellStyle name="Euro 5 2 2 2" xfId="547" xr:uid="{C5BC84D5-1301-426B-9A70-4E222CE6C74D}"/>
    <cellStyle name="Euro 5 2 2 2 2" xfId="2991" xr:uid="{5F879DF9-BDFE-4464-AB0F-627C7AA43285}"/>
    <cellStyle name="Euro 5 2 2 2 2 2" xfId="3580" xr:uid="{6FF895C6-C638-4877-9782-02D696B02045}"/>
    <cellStyle name="Euro 5 2 2 2 3" xfId="3305" xr:uid="{D7D72F51-1FDB-4BB8-8BCC-4116F966F7F0}"/>
    <cellStyle name="Euro 5 2 2 3" xfId="2853" xr:uid="{987D89AE-7CB4-44E4-9E2F-4042B571D502}"/>
    <cellStyle name="Euro 5 2 2 3 2" xfId="3442" xr:uid="{92869795-55AE-465A-B45F-4215505CF2DE}"/>
    <cellStyle name="Euro 5 2 2 4" xfId="3167" xr:uid="{211696D6-0F9F-4DF4-B158-825C05296530}"/>
    <cellStyle name="Euro 5 2 3" xfId="344" xr:uid="{9AFE37B9-C91D-4CE3-9201-2A9B68DFF709}"/>
    <cellStyle name="Euro 5 2 3 2" xfId="652" xr:uid="{96D35FD6-199A-4B04-9298-9663093A9823}"/>
    <cellStyle name="Euro 5 2 3 2 2" xfId="3039" xr:uid="{3FB6A055-5995-47B8-A6DC-442E31566E09}"/>
    <cellStyle name="Euro 5 2 3 2 2 2" xfId="3628" xr:uid="{30316503-23A5-4A64-B081-C242E8B72DD8}"/>
    <cellStyle name="Euro 5 2 3 2 3" xfId="3353" xr:uid="{5FA5B15A-24FC-4DC9-82CA-C1CD776C68E5}"/>
    <cellStyle name="Euro 5 2 3 3" xfId="2903" xr:uid="{F9BAB114-A4C2-436F-8D64-B64DB0C4201F}"/>
    <cellStyle name="Euro 5 2 3 3 2" xfId="3492" xr:uid="{8F1D2D47-45BB-43B2-BDFB-2B8301ECE8AE}"/>
    <cellStyle name="Euro 5 2 3 4" xfId="3217" xr:uid="{F19E1562-B3CF-4FB0-A5A2-B3D5FA49F080}"/>
    <cellStyle name="Euro 5 2 4" xfId="459" xr:uid="{125DB4CB-CEBA-4514-B35E-CD3A28CB4E8E}"/>
    <cellStyle name="Euro 5 2 4 2" xfId="2954" xr:uid="{5A289EC2-2A2A-4062-9558-0A95BCEA5F1B}"/>
    <cellStyle name="Euro 5 2 4 2 2" xfId="3543" xr:uid="{95049476-62D2-43BF-ACDD-4EBA3D3D85C0}"/>
    <cellStyle name="Euro 5 2 4 3" xfId="3268" xr:uid="{50F8CFD8-12A6-4F43-811D-CF7EEC421004}"/>
    <cellStyle name="Euro 5 2 5" xfId="2037" xr:uid="{7FDDCB47-EA17-4F57-A4C9-88F521E3F4F9}"/>
    <cellStyle name="Euro 5 2 6" xfId="2809" xr:uid="{719256DC-58C2-4435-8707-2D1C86F05CD9}"/>
    <cellStyle name="Euro 5 2 6 2" xfId="3398" xr:uid="{13CF6A1D-1FE5-47A4-93F6-4F702663C6FC}"/>
    <cellStyle name="Euro 5 2 7" xfId="3123" xr:uid="{D29EF98E-7E61-4A06-9097-33CB86A2961F}"/>
    <cellStyle name="Euro 5 3" xfId="147" xr:uid="{1DBFAB3D-4F4B-476E-B3A5-75A3D1B1D993}"/>
    <cellStyle name="Euro 5 3 2" xfId="313" xr:uid="{7ACF4064-AEA0-4ADE-A046-078CBEC99790}"/>
    <cellStyle name="Euro 5 3 2 2" xfId="622" xr:uid="{9EF33247-B88E-4DF3-9851-0E57BEBA3BBC}"/>
    <cellStyle name="Euro 5 3 2 2 2" xfId="3025" xr:uid="{3C245BD3-90A7-4A84-B88D-2ABBC912DF50}"/>
    <cellStyle name="Euro 5 3 2 2 2 2" xfId="3614" xr:uid="{AC1D2F9E-85AE-4193-8913-7CB6126BF359}"/>
    <cellStyle name="Euro 5 3 2 2 3" xfId="3339" xr:uid="{40F44B2B-AA19-428A-A087-9BC3A5D7CB30}"/>
    <cellStyle name="Euro 5 3 2 3" xfId="2889" xr:uid="{2725FFE9-976B-4235-8A44-E26FA3F3D8F2}"/>
    <cellStyle name="Euro 5 3 2 3 2" xfId="3478" xr:uid="{C1BAC425-AC9D-41F3-A7DE-FBBE09364204}"/>
    <cellStyle name="Euro 5 3 2 4" xfId="3203" xr:uid="{711C7283-3B52-4325-B59C-228DA4F0BD9A}"/>
    <cellStyle name="Euro 5 3 3" xfId="430" xr:uid="{522A2373-AA7D-4775-85D1-00270AF46814}"/>
    <cellStyle name="Euro 5 3 3 2" xfId="2941" xr:uid="{D6974B4A-D189-47CA-B8C5-302AD4D03E34}"/>
    <cellStyle name="Euro 5 3 3 2 2" xfId="3530" xr:uid="{554F7B6D-8556-4EF1-836F-8F322D7EA227}"/>
    <cellStyle name="Euro 5 3 3 3" xfId="3255" xr:uid="{92957DB0-1758-4711-9B37-F788FCC5D584}"/>
    <cellStyle name="Euro 5 3 4" xfId="2824" xr:uid="{93850A33-058F-45F8-AD83-1AFA4FAFD323}"/>
    <cellStyle name="Euro 5 3 4 2" xfId="3413" xr:uid="{2FFEDE96-51E6-418A-B8CD-7D9F9B68D16E}"/>
    <cellStyle name="Euro 5 3 5" xfId="3138" xr:uid="{9C7ECEA8-0862-4EF0-A04B-7CA3400D101F}"/>
    <cellStyle name="Euro 5 4" xfId="196" xr:uid="{9B59B6A1-6E5F-4A55-9EEE-12A98CB72CE4}"/>
    <cellStyle name="Euro 5 4 2" xfId="519" xr:uid="{C65F92B8-70D5-47D6-A732-7CCE2023E654}"/>
    <cellStyle name="Euro 5 4 2 2" xfId="2978" xr:uid="{2D25DD85-1EBB-4B2F-B373-235AE10923F9}"/>
    <cellStyle name="Euro 5 4 2 2 2" xfId="3567" xr:uid="{A7D724B3-2CFB-4B05-945E-6A096C706C4A}"/>
    <cellStyle name="Euro 5 4 2 3" xfId="3292" xr:uid="{608F1D11-0A4F-43E4-AB86-C426EF8ACB48}"/>
    <cellStyle name="Euro 5 4 3" xfId="2839" xr:uid="{FACC70D6-4D04-4874-A410-70DF632A50F3}"/>
    <cellStyle name="Euro 5 4 3 2" xfId="3428" xr:uid="{E281D3B4-A040-4583-96A2-7BB907CD9C27}"/>
    <cellStyle name="Euro 5 4 4" xfId="3153" xr:uid="{CB48F38B-9C76-4121-887C-3DC00B2447B4}"/>
    <cellStyle name="Euro 5 5" xfId="271" xr:uid="{20E78C11-BC37-4561-84C7-09EA1AFA45FA}"/>
    <cellStyle name="Euro 5 5 2" xfId="580" xr:uid="{EEABE2AF-FD6E-4D4D-9154-D67C817CD30F}"/>
    <cellStyle name="Euro 5 5 2 2" xfId="3006" xr:uid="{00D73C6A-8361-48A8-92A8-4A863B9A069A}"/>
    <cellStyle name="Euro 5 5 2 2 2" xfId="3595" xr:uid="{7105805D-FAF6-4AF5-AB67-94F966061254}"/>
    <cellStyle name="Euro 5 5 2 3" xfId="3320" xr:uid="{F17CD934-A284-4A8A-9301-2A88A0C6DAAF}"/>
    <cellStyle name="Euro 5 5 3" xfId="2870" xr:uid="{31A60ED1-C05B-4A1D-9A7C-BF6CA2F52E4E}"/>
    <cellStyle name="Euro 5 5 3 2" xfId="3459" xr:uid="{AAD7B0C2-C242-4B3E-A14E-B962856C1C0E}"/>
    <cellStyle name="Euro 5 5 4" xfId="3184" xr:uid="{653D5D81-A990-45EE-BC11-68F9F6C2AE90}"/>
    <cellStyle name="Euro 5 6" xfId="384" xr:uid="{DE69640E-1ADF-494F-B611-CAA23DA36B8C}"/>
    <cellStyle name="Euro 5 6 2" xfId="2920" xr:uid="{5B1CF530-56A6-4B7E-AC68-01B3FCBBC61D}"/>
    <cellStyle name="Euro 5 6 2 2" xfId="3509" xr:uid="{562B702F-ED92-40E7-BEFF-58204F246358}"/>
    <cellStyle name="Euro 5 6 3" xfId="3234" xr:uid="{48072901-9FB7-437E-9607-27C562F658B7}"/>
    <cellStyle name="Euro 5 7" xfId="500" xr:uid="{109F499F-0877-4887-845E-B62F06327BFC}"/>
    <cellStyle name="Euro 5 7 2" xfId="2971" xr:uid="{AC5E3E09-5D5A-40E6-BFE7-93297C5EDF4A}"/>
    <cellStyle name="Euro 5 7 2 2" xfId="3560" xr:uid="{07E7878A-57F7-4A83-9885-5A0CD9B15A76}"/>
    <cellStyle name="Euro 5 7 3" xfId="3285" xr:uid="{14BB2704-11CD-4B7F-85FD-20843D7F2BA0}"/>
    <cellStyle name="Euro 5 8" xfId="691" xr:uid="{06756C3E-E0C2-4959-8A1D-20DB8438D912}"/>
    <cellStyle name="Euro 5 8 2" xfId="3055" xr:uid="{CE331B5B-9451-4749-A5C1-178BB5951807}"/>
    <cellStyle name="Euro 5 8 2 2" xfId="3644" xr:uid="{3A010D33-E9F7-43AA-B6DF-D3C8F391954F}"/>
    <cellStyle name="Euro 5 8 3" xfId="3369" xr:uid="{18635524-070F-46FA-B101-36F71C93E78E}"/>
    <cellStyle name="Euro 5 9" xfId="1040" xr:uid="{A1697E61-0CCF-4BAA-A231-04CC0B7A2CFC}"/>
    <cellStyle name="Euro 6" xfId="91" xr:uid="{ABB13CD5-AD2C-4B8C-ABF7-2CD01F2A83C5}"/>
    <cellStyle name="Euro 6 2" xfId="121" xr:uid="{C1CD1F04-5EF3-4AEE-908F-012D73ADBC27}"/>
    <cellStyle name="Euro 6 2 2" xfId="239" xr:uid="{1B7A4EB5-3B27-4E76-8E47-F83F9469225D}"/>
    <cellStyle name="Euro 6 2 2 2" xfId="555" xr:uid="{F600B218-7AFD-4DA1-AA9B-1DF322F51F68}"/>
    <cellStyle name="Euro 6 2 2 2 2" xfId="2995" xr:uid="{94072ACC-065A-4595-87FF-5C377BB2DD2E}"/>
    <cellStyle name="Euro 6 2 2 2 2 2" xfId="3584" xr:uid="{8EC1C0B0-F446-45E0-837D-DE25B60FA55F}"/>
    <cellStyle name="Euro 6 2 2 2 3" xfId="3309" xr:uid="{F26D8EAF-B342-469C-812C-49C5A3365E07}"/>
    <cellStyle name="Euro 6 2 2 3" xfId="2857" xr:uid="{E3E6842F-9DFD-414E-8FDB-E5EE18CAAE06}"/>
    <cellStyle name="Euro 6 2 2 3 2" xfId="3446" xr:uid="{89E79DEE-2175-40A1-A150-09FA43B761C6}"/>
    <cellStyle name="Euro 6 2 2 4" xfId="3171" xr:uid="{47CDC802-D6F8-40F0-B802-5A5E73249BC4}"/>
    <cellStyle name="Euro 6 2 3" xfId="352" xr:uid="{1DFF8CD5-52A6-436D-B3CB-49AB2CC4449D}"/>
    <cellStyle name="Euro 6 2 3 2" xfId="660" xr:uid="{BAE93959-A645-43A7-83D8-A4E34881A9C9}"/>
    <cellStyle name="Euro 6 2 3 2 2" xfId="3043" xr:uid="{626C151B-82DD-46CC-9917-8D5630261EC5}"/>
    <cellStyle name="Euro 6 2 3 2 2 2" xfId="3632" xr:uid="{02AF4812-098C-4B97-B9B8-526E4E0AF2D8}"/>
    <cellStyle name="Euro 6 2 3 2 3" xfId="3357" xr:uid="{B1BB940B-A766-43F6-837C-A962C6DC9374}"/>
    <cellStyle name="Euro 6 2 3 3" xfId="2907" xr:uid="{C64DEF68-D175-478D-9DB3-FA51D3524049}"/>
    <cellStyle name="Euro 6 2 3 3 2" xfId="3496" xr:uid="{39ECD8E9-9324-4E1B-8FE8-33AF1907E9BC}"/>
    <cellStyle name="Euro 6 2 3 4" xfId="3221" xr:uid="{0C240E8C-E994-4C56-A7CA-ED13F4780976}"/>
    <cellStyle name="Euro 6 2 4" xfId="467" xr:uid="{072681A5-2CD0-471D-9557-41C325A74567}"/>
    <cellStyle name="Euro 6 2 4 2" xfId="2958" xr:uid="{8A9EAC4E-2145-470B-846B-763248F76C35}"/>
    <cellStyle name="Euro 6 2 4 2 2" xfId="3547" xr:uid="{D5992C1E-85C3-43EF-8DDA-5861FABFE65F}"/>
    <cellStyle name="Euro 6 2 4 3" xfId="3272" xr:uid="{5DCC306D-5C4E-4C74-A77D-C39EC623C1AE}"/>
    <cellStyle name="Euro 6 2 5" xfId="2038" xr:uid="{3EE4EFFA-7A67-4A22-8F0A-E55758D0B6A5}"/>
    <cellStyle name="Euro 6 2 6" xfId="2813" xr:uid="{F6B19C8C-78F8-4D4F-BAAE-328F8F3ADC60}"/>
    <cellStyle name="Euro 6 2 6 2" xfId="3402" xr:uid="{21E9D30C-8EB4-4041-895E-39BE3123D272}"/>
    <cellStyle name="Euro 6 2 7" xfId="3127" xr:uid="{E35E0917-CB97-4603-84B1-CD3805E60F05}"/>
    <cellStyle name="Euro 6 3" xfId="155" xr:uid="{0C3B6209-24BA-4EC4-BA98-39145030730D}"/>
    <cellStyle name="Euro 6 3 2" xfId="321" xr:uid="{BB7D24E7-C613-472E-9D91-82AE314F6136}"/>
    <cellStyle name="Euro 6 3 2 2" xfId="630" xr:uid="{99DCB5B2-97F1-4942-AE9E-0B4FDCB32E56}"/>
    <cellStyle name="Euro 6 3 2 2 2" xfId="3029" xr:uid="{05AF4B14-6AC4-459F-A742-E3887B5F27E9}"/>
    <cellStyle name="Euro 6 3 2 2 2 2" xfId="3618" xr:uid="{8BD257B4-EC34-4298-A11B-122EA21B332F}"/>
    <cellStyle name="Euro 6 3 2 2 3" xfId="3343" xr:uid="{95C60362-1DD0-4C1C-B06F-542447D07AD7}"/>
    <cellStyle name="Euro 6 3 2 3" xfId="2893" xr:uid="{33AF4908-C242-425A-8428-DA7ED6C931F9}"/>
    <cellStyle name="Euro 6 3 2 3 2" xfId="3482" xr:uid="{2D49C813-E5A5-4EA4-9FB2-1F4D9538E1C8}"/>
    <cellStyle name="Euro 6 3 2 4" xfId="3207" xr:uid="{B6F93D91-EDF3-4CC1-BCA0-6FC3C93F5865}"/>
    <cellStyle name="Euro 6 3 3" xfId="438" xr:uid="{B15AC3B8-2F96-4AB4-AE25-2FC3C228100B}"/>
    <cellStyle name="Euro 6 3 3 2" xfId="2945" xr:uid="{D174921C-CCA3-4046-9082-3DEB61DD163E}"/>
    <cellStyle name="Euro 6 3 3 2 2" xfId="3534" xr:uid="{40713A95-95D4-4A3F-B454-C4C5D45D6581}"/>
    <cellStyle name="Euro 6 3 3 3" xfId="3259" xr:uid="{A5CF11CA-3620-48B9-95E5-AA97969C296B}"/>
    <cellStyle name="Euro 6 3 4" xfId="2828" xr:uid="{A9A6BDE0-DE3D-4293-9062-EC091AA420BB}"/>
    <cellStyle name="Euro 6 3 4 2" xfId="3417" xr:uid="{F66909F8-C020-4508-8765-C27F49FED451}"/>
    <cellStyle name="Euro 6 3 5" xfId="3142" xr:uid="{CDC7137E-11D7-40EB-840F-F7092A203C11}"/>
    <cellStyle name="Euro 6 4" xfId="204" xr:uid="{5125FC75-4974-46E9-8CE6-B1D2EC0E5FE3}"/>
    <cellStyle name="Euro 6 4 2" xfId="527" xr:uid="{61C4AA3A-29C3-4E2E-B8A6-AF90210588C3}"/>
    <cellStyle name="Euro 6 4 2 2" xfId="2982" xr:uid="{9AFC0665-4923-46CC-A474-C01307CDC270}"/>
    <cellStyle name="Euro 6 4 2 2 2" xfId="3571" xr:uid="{D1CBA775-C814-44C0-83C7-22DB46BADED5}"/>
    <cellStyle name="Euro 6 4 2 3" xfId="3296" xr:uid="{B7C450B9-722B-42ED-B29C-8A28B0C3B20B}"/>
    <cellStyle name="Euro 6 4 3" xfId="2843" xr:uid="{8CB378DB-5ACB-42A4-BC8D-FBE5E0EA8DA4}"/>
    <cellStyle name="Euro 6 4 3 2" xfId="3432" xr:uid="{84F983BE-4F23-43D0-81D9-E43454A9B5C3}"/>
    <cellStyle name="Euro 6 4 4" xfId="3157" xr:uid="{C151FB2F-DAF6-4762-BFAD-BFAFF5AFE814}"/>
    <cellStyle name="Euro 6 5" xfId="279" xr:uid="{EFB95808-82FF-48FD-94DF-27708CCFBEA4}"/>
    <cellStyle name="Euro 6 5 2" xfId="588" xr:uid="{16840852-ABA9-4CAF-8432-4FF6A639CAA1}"/>
    <cellStyle name="Euro 6 5 2 2" xfId="3010" xr:uid="{D0717FCB-E053-4ECB-BE85-196784A0A5B0}"/>
    <cellStyle name="Euro 6 5 2 2 2" xfId="3599" xr:uid="{DDD1435B-6CB1-49B6-AB77-B8E2BE3EB937}"/>
    <cellStyle name="Euro 6 5 2 3" xfId="3324" xr:uid="{D1B00E62-57B9-41EB-B054-3C4AAF042DB9}"/>
    <cellStyle name="Euro 6 5 3" xfId="2874" xr:uid="{0D1BC528-DDC7-4FDC-9FEA-F086FCAF5108}"/>
    <cellStyle name="Euro 6 5 3 2" xfId="3463" xr:uid="{F97692C3-028F-4182-9B31-35A50563DE24}"/>
    <cellStyle name="Euro 6 5 4" xfId="3188" xr:uid="{594B9D92-95BE-4049-A12B-A41C303AED96}"/>
    <cellStyle name="Euro 6 6" xfId="397" xr:uid="{BC22F4B8-8309-4FAE-93D8-D1D28EC5E439}"/>
    <cellStyle name="Euro 6 6 2" xfId="2926" xr:uid="{8F9A17B6-7E82-4D3D-ACCD-DEC6512B6B79}"/>
    <cellStyle name="Euro 6 6 2 2" xfId="3515" xr:uid="{AD4180B1-D1D9-4642-9E65-F4B4FAD9E9CA}"/>
    <cellStyle name="Euro 6 6 3" xfId="3240" xr:uid="{DABF43AF-0607-4D16-B269-2DAA2A083919}"/>
    <cellStyle name="Euro 6 7" xfId="1041" xr:uid="{6A6C978E-F7A6-4A2F-9414-97589FC2C7E7}"/>
    <cellStyle name="Euro 6 8" xfId="2799" xr:uid="{8726CD15-3A13-4862-B39A-910120B3328C}"/>
    <cellStyle name="Euro 6 8 2" xfId="3388" xr:uid="{35DBC735-EB67-4263-89F6-CB9CC8F4DDFB}"/>
    <cellStyle name="Euro 6 9" xfId="3113" xr:uid="{3F67E627-BA56-4DD4-8FC0-720039673225}"/>
    <cellStyle name="Euro 7" xfId="99" xr:uid="{6D314027-9AD6-48C9-905E-DB462CD1263B}"/>
    <cellStyle name="Euro 7 2" xfId="129" xr:uid="{42901145-57EA-423B-B0EA-089757653897}"/>
    <cellStyle name="Euro 7 2 2" xfId="247" xr:uid="{F6117307-2B18-4B5F-8F76-A032E3B18A33}"/>
    <cellStyle name="Euro 7 2 2 2" xfId="563" xr:uid="{B8F5ED30-4D39-44BB-8B51-808D6565DE53}"/>
    <cellStyle name="Euro 7 2 2 2 2" xfId="2999" xr:uid="{0DBE0ADA-14D9-4501-B2D0-C69DC9FE9572}"/>
    <cellStyle name="Euro 7 2 2 2 2 2" xfId="3588" xr:uid="{B9613D1E-1B8F-4654-8DF4-B688E990CADA}"/>
    <cellStyle name="Euro 7 2 2 2 3" xfId="3313" xr:uid="{8E2EEA7D-2068-45F1-8FC8-5A24B7122CDD}"/>
    <cellStyle name="Euro 7 2 2 3" xfId="2861" xr:uid="{4246D974-C8A4-49D3-8773-204C2AC9A6F4}"/>
    <cellStyle name="Euro 7 2 2 3 2" xfId="3450" xr:uid="{7F85E635-7516-412C-A4FB-A057C074810A}"/>
    <cellStyle name="Euro 7 2 2 4" xfId="3175" xr:uid="{6DB74CA2-A0D3-4FAA-9B3B-D7DDFB57FE5F}"/>
    <cellStyle name="Euro 7 2 3" xfId="360" xr:uid="{A7C472ED-9ADF-4924-84FD-9BA495CBE128}"/>
    <cellStyle name="Euro 7 2 3 2" xfId="668" xr:uid="{C697D986-A991-4508-A9DE-D37ABD8534B2}"/>
    <cellStyle name="Euro 7 2 3 2 2" xfId="3047" xr:uid="{9D85F103-B271-44FB-8429-4A6D50226DAB}"/>
    <cellStyle name="Euro 7 2 3 2 2 2" xfId="3636" xr:uid="{04A994ED-7C0F-42F5-87A3-F34436FC8970}"/>
    <cellStyle name="Euro 7 2 3 2 3" xfId="3361" xr:uid="{06DC48AC-E596-4462-8EAB-606C74B06B0D}"/>
    <cellStyle name="Euro 7 2 3 3" xfId="2911" xr:uid="{DF1B7865-B6AB-4831-87E3-3A0AAB39D835}"/>
    <cellStyle name="Euro 7 2 3 3 2" xfId="3500" xr:uid="{7D1D2D1C-1B4D-4D68-BFFB-8EB033C18EFE}"/>
    <cellStyle name="Euro 7 2 3 4" xfId="3225" xr:uid="{C8F39318-C2AF-4BEF-A2BC-7B8A820D112E}"/>
    <cellStyle name="Euro 7 2 4" xfId="475" xr:uid="{ECC8CA9D-765F-4C1E-BF98-62FD48077316}"/>
    <cellStyle name="Euro 7 2 4 2" xfId="2962" xr:uid="{95237E2C-C631-4EDC-B84B-2CAAFC0E7704}"/>
    <cellStyle name="Euro 7 2 4 2 2" xfId="3551" xr:uid="{D3693CD6-9EB4-44A8-BAE8-B708CB8B300E}"/>
    <cellStyle name="Euro 7 2 4 3" xfId="3276" xr:uid="{C055A250-EDCC-4075-919F-13CA7C0050B8}"/>
    <cellStyle name="Euro 7 2 5" xfId="2039" xr:uid="{03B38D25-D954-4489-955C-5F2B6AE1E440}"/>
    <cellStyle name="Euro 7 2 6" xfId="2817" xr:uid="{B57B751D-88BE-4A99-AFFF-1A87D8977583}"/>
    <cellStyle name="Euro 7 2 6 2" xfId="3406" xr:uid="{17480289-B45F-477E-9164-6C376EDCEA9F}"/>
    <cellStyle name="Euro 7 2 7" xfId="3131" xr:uid="{2D861C54-8F68-482E-9A6C-3A3777C49C5D}"/>
    <cellStyle name="Euro 7 3" xfId="163" xr:uid="{6DE03716-9AAD-4925-AF2F-52976428BE45}"/>
    <cellStyle name="Euro 7 3 2" xfId="329" xr:uid="{8A0C31A5-8511-4D88-B540-53F6970FEEC0}"/>
    <cellStyle name="Euro 7 3 2 2" xfId="638" xr:uid="{64340923-4BE1-48D7-884B-E2B3890D1FD6}"/>
    <cellStyle name="Euro 7 3 2 2 2" xfId="3033" xr:uid="{EC31A15C-4ECA-44EA-9847-B56AF5DEF230}"/>
    <cellStyle name="Euro 7 3 2 2 2 2" xfId="3622" xr:uid="{1CBB1A36-83E8-4134-A11D-E3E17E14B578}"/>
    <cellStyle name="Euro 7 3 2 2 3" xfId="3347" xr:uid="{DFD264A4-0842-4986-A624-0E41FFA6E0DE}"/>
    <cellStyle name="Euro 7 3 2 3" xfId="2897" xr:uid="{38C02B8A-5D17-4A66-890F-013BF0F638AC}"/>
    <cellStyle name="Euro 7 3 2 3 2" xfId="3486" xr:uid="{F88C4331-EA87-4876-A7FC-FDB626D5B7D0}"/>
    <cellStyle name="Euro 7 3 2 4" xfId="3211" xr:uid="{2C5DA2CA-AF70-4620-91E1-DB99BA155746}"/>
    <cellStyle name="Euro 7 3 3" xfId="446" xr:uid="{F59F54B6-8CDA-405E-AE5D-33E67271C61F}"/>
    <cellStyle name="Euro 7 3 3 2" xfId="2949" xr:uid="{1CD4F8E8-A80C-43C8-ABF3-775F6D414BDB}"/>
    <cellStyle name="Euro 7 3 3 2 2" xfId="3538" xr:uid="{645AAFD5-490E-47D0-A1A5-ECEFFA053421}"/>
    <cellStyle name="Euro 7 3 3 3" xfId="3263" xr:uid="{0852C78F-EF9B-4CA6-B584-4B18E6DD29B3}"/>
    <cellStyle name="Euro 7 3 4" xfId="2832" xr:uid="{5B0DD362-AEF7-49AA-967A-201B30F3B52F}"/>
    <cellStyle name="Euro 7 3 4 2" xfId="3421" xr:uid="{A220ABF6-DD2D-45F9-83A2-952A81362502}"/>
    <cellStyle name="Euro 7 3 5" xfId="3146" xr:uid="{7AA1DB95-978F-4750-A617-78ABFDE8FCA4}"/>
    <cellStyle name="Euro 7 4" xfId="212" xr:uid="{B4AF881B-0616-4B5B-914F-CD1C1688280F}"/>
    <cellStyle name="Euro 7 4 2" xfId="535" xr:uid="{6F6919D7-1BF0-46AA-A096-4CA0AEDF9785}"/>
    <cellStyle name="Euro 7 4 2 2" xfId="2986" xr:uid="{77331691-2DBB-4D11-B01B-F4A01975FB79}"/>
    <cellStyle name="Euro 7 4 2 2 2" xfId="3575" xr:uid="{E600552D-62E4-4BCA-BAED-701D778B99CC}"/>
    <cellStyle name="Euro 7 4 2 3" xfId="3300" xr:uid="{CA3999D1-5E91-4115-8B38-9A8ADC3FCD2B}"/>
    <cellStyle name="Euro 7 4 3" xfId="2847" xr:uid="{8B85051E-BC1C-4DF6-94A9-D2FB6EA1FCFF}"/>
    <cellStyle name="Euro 7 4 3 2" xfId="3436" xr:uid="{27337E41-7937-4C16-81E7-DA22ADEAE9B0}"/>
    <cellStyle name="Euro 7 4 4" xfId="3161" xr:uid="{06D22783-C7C7-477B-AB00-9A9E598CCE9F}"/>
    <cellStyle name="Euro 7 5" xfId="287" xr:uid="{654D4022-9B04-456B-A029-DCFDCBB7872D}"/>
    <cellStyle name="Euro 7 5 2" xfId="596" xr:uid="{E1134014-2355-48E6-B789-78B03CB3B19B}"/>
    <cellStyle name="Euro 7 5 2 2" xfId="3014" xr:uid="{380E4FA7-A887-4889-A7C1-9196AB36DD70}"/>
    <cellStyle name="Euro 7 5 2 2 2" xfId="3603" xr:uid="{A2ADC2A6-9F9F-48DE-A52F-6272465F0F2A}"/>
    <cellStyle name="Euro 7 5 2 3" xfId="3328" xr:uid="{CE7B9AF1-6381-4781-84D3-43EFCFCEAA08}"/>
    <cellStyle name="Euro 7 5 3" xfId="2878" xr:uid="{EA422E37-75CF-4B87-94A8-F30DE5C0772A}"/>
    <cellStyle name="Euro 7 5 3 2" xfId="3467" xr:uid="{35E9B392-244E-4163-828E-675F00843674}"/>
    <cellStyle name="Euro 7 5 4" xfId="3192" xr:uid="{A6952A7B-62A1-4DD5-9E01-18E44F9FD116}"/>
    <cellStyle name="Euro 7 6" xfId="405" xr:uid="{B922E29E-9AF2-4332-8122-D0640706AC81}"/>
    <cellStyle name="Euro 7 6 2" xfId="2930" xr:uid="{892C7BFE-D969-46EA-8825-6BFBFE490883}"/>
    <cellStyle name="Euro 7 6 2 2" xfId="3519" xr:uid="{ED61EAA0-9D48-4963-A6EC-8C258E4BC3E9}"/>
    <cellStyle name="Euro 7 6 3" xfId="3244" xr:uid="{A22AAE80-07C8-4282-8DFD-2669E9D8F677}"/>
    <cellStyle name="Euro 7 7" xfId="1042" xr:uid="{DFAFEC22-4086-4943-AE08-9AB576D58690}"/>
    <cellStyle name="Euro 7 8" xfId="2803" xr:uid="{745872AB-3B11-4E5A-AED1-BA66D80DAAB5}"/>
    <cellStyle name="Euro 7 8 2" xfId="3392" xr:uid="{AF9AF40E-3B98-4DDC-BF3F-A0F1B03E6547}"/>
    <cellStyle name="Euro 7 9" xfId="3117" xr:uid="{0BA1C8E6-C568-45F0-8C01-D173569C9C3F}"/>
    <cellStyle name="Euro 8" xfId="102" xr:uid="{28C97D32-B0DC-4287-A219-FF2F9213395C}"/>
    <cellStyle name="Euro 8 2" xfId="136" xr:uid="{5854D869-4516-4798-BD6F-CC09795AD30C}"/>
    <cellStyle name="Euro 8 2 2" xfId="250" xr:uid="{3A741D1D-1FFB-4FF8-8EF4-7820E8C8802C}"/>
    <cellStyle name="Euro 8 2 2 2" xfId="566" xr:uid="{0A2CB250-D377-4F1F-B178-BF2A99FE4A89}"/>
    <cellStyle name="Euro 8 2 2 2 2" xfId="3000" xr:uid="{C95DE290-4DD1-4619-95EB-4E40CDBDF2F9}"/>
    <cellStyle name="Euro 8 2 2 2 2 2" xfId="3589" xr:uid="{FC7F0F20-37FA-44FC-B601-E23D79B8573C}"/>
    <cellStyle name="Euro 8 2 2 2 3" xfId="3314" xr:uid="{5AAEA351-2D94-49CC-9ECC-0271B509BB9E}"/>
    <cellStyle name="Euro 8 2 2 3" xfId="2862" xr:uid="{4D7201EA-82D6-47A2-8C5F-1520997F32CE}"/>
    <cellStyle name="Euro 8 2 2 3 2" xfId="3451" xr:uid="{08B5C567-84FC-40C0-942B-5295DD406A56}"/>
    <cellStyle name="Euro 8 2 2 4" xfId="3176" xr:uid="{5BA978AA-2232-462B-91CF-56B5FCB086D1}"/>
    <cellStyle name="Euro 8 2 3" xfId="363" xr:uid="{B4FC44D9-22F5-416D-8242-00FA3957FC52}"/>
    <cellStyle name="Euro 8 2 3 2" xfId="671" xr:uid="{DDE06690-5FFB-47DA-995D-193ABC4D6DD9}"/>
    <cellStyle name="Euro 8 2 3 2 2" xfId="3048" xr:uid="{1C127B48-AEAB-4DA7-B41D-A554CCA3B7FA}"/>
    <cellStyle name="Euro 8 2 3 2 2 2" xfId="3637" xr:uid="{20C56E7A-3636-4EFA-B31C-CE67966EABA6}"/>
    <cellStyle name="Euro 8 2 3 2 3" xfId="3362" xr:uid="{C09F6A9F-5895-47A1-80A9-36CA5DA2A9B5}"/>
    <cellStyle name="Euro 8 2 3 3" xfId="2912" xr:uid="{7A13A246-BCA4-412B-BDBB-860952B71FA1}"/>
    <cellStyle name="Euro 8 2 3 3 2" xfId="3501" xr:uid="{37ED0C60-BB11-42DA-8375-D4A474B0630C}"/>
    <cellStyle name="Euro 8 2 3 4" xfId="3226" xr:uid="{C50056F4-4794-4F9D-BBDF-50DF25AB4E65}"/>
    <cellStyle name="Euro 8 2 4" xfId="478" xr:uid="{0C788D9B-C6F4-402D-BD8E-E317D3E63CA7}"/>
    <cellStyle name="Euro 8 2 4 2" xfId="2963" xr:uid="{05637F6F-28D9-4164-83D2-997D5DD86AE0}"/>
    <cellStyle name="Euro 8 2 4 2 2" xfId="3552" xr:uid="{56159DB0-DDEB-4808-9678-F5120A16AE86}"/>
    <cellStyle name="Euro 8 2 4 3" xfId="3277" xr:uid="{00CEA7EA-0929-4E9C-B9A6-471D5BC2C4B4}"/>
    <cellStyle name="Euro 8 2 5" xfId="2040" xr:uid="{BFE167FD-176A-4658-AA9E-BA1626A8FCC5}"/>
    <cellStyle name="Euro 8 2 6" xfId="2819" xr:uid="{58418DA8-297D-44CC-868D-70681B7C997E}"/>
    <cellStyle name="Euro 8 2 6 2" xfId="3408" xr:uid="{FBF9EAD1-3F37-4A61-A21F-DF8DEE4A340B}"/>
    <cellStyle name="Euro 8 2 7" xfId="3133" xr:uid="{B674F8FA-108A-4520-A316-390290B93718}"/>
    <cellStyle name="Euro 8 3" xfId="185" xr:uid="{B29CEB53-DDBA-435B-81BA-C9630572F658}"/>
    <cellStyle name="Euro 8 3 2" xfId="302" xr:uid="{BC6BA503-F284-4060-8E35-CE8796E2D84D}"/>
    <cellStyle name="Euro 8 3 2 2" xfId="611" xr:uid="{807442DD-7B15-4B76-9291-F3ACA7F96ED6}"/>
    <cellStyle name="Euro 8 3 2 2 2" xfId="3020" xr:uid="{B75FB512-BC89-428E-907C-61DE203F3FFF}"/>
    <cellStyle name="Euro 8 3 2 2 2 2" xfId="3609" xr:uid="{ED046DFE-C62E-4703-A415-3D1C1FE350BB}"/>
    <cellStyle name="Euro 8 3 2 2 3" xfId="3334" xr:uid="{59A40B98-B1A0-4F35-88C8-5F1D749A8BE2}"/>
    <cellStyle name="Euro 8 3 2 3" xfId="2884" xr:uid="{749F09A3-8EEE-4253-B898-CCD4CB63DFF1}"/>
    <cellStyle name="Euro 8 3 2 3 2" xfId="3473" xr:uid="{9ECA1610-18F0-476D-A67E-9CBCB8E0DF8E}"/>
    <cellStyle name="Euro 8 3 2 4" xfId="3198" xr:uid="{0DE1B103-6DD9-4ABD-B22B-076B3AB27C3C}"/>
    <cellStyle name="Euro 8 3 3" xfId="419" xr:uid="{61BC38E3-C939-48F9-9ECA-246870E4C6EA}"/>
    <cellStyle name="Euro 8 3 3 2" xfId="2936" xr:uid="{A16D1A83-E3FA-498A-B966-B6829B97245E}"/>
    <cellStyle name="Euro 8 3 3 2 2" xfId="3525" xr:uid="{6958F396-D264-4C95-96BB-7957B55986F4}"/>
    <cellStyle name="Euro 8 3 3 3" xfId="3250" xr:uid="{7B7B0B18-6B9B-44D9-A78E-FA4E820AF7D8}"/>
    <cellStyle name="Euro 8 3 4" xfId="2834" xr:uid="{94290402-D182-463D-9DD5-563FBF653B69}"/>
    <cellStyle name="Euro 8 3 4 2" xfId="3423" xr:uid="{B218C066-A540-403A-ACE9-565E642CEFE0}"/>
    <cellStyle name="Euro 8 3 5" xfId="3148" xr:uid="{16985E64-4363-4B85-8685-D881C0F6740C}"/>
    <cellStyle name="Euro 8 4" xfId="290" xr:uid="{800FA1EA-E52A-4B1E-A9BE-82BE91635048}"/>
    <cellStyle name="Euro 8 4 2" xfId="599" xr:uid="{9D296298-2FBB-4E6F-B45A-4E507BE5B775}"/>
    <cellStyle name="Euro 8 4 2 2" xfId="3015" xr:uid="{624A1E9B-D3F9-4D1B-9543-751D3CC99A88}"/>
    <cellStyle name="Euro 8 4 2 2 2" xfId="3604" xr:uid="{FFA31515-50B1-447B-8E29-F36A8BF096FE}"/>
    <cellStyle name="Euro 8 4 2 3" xfId="3329" xr:uid="{ED4D7C3B-6341-4B61-97B5-376C66D6FF72}"/>
    <cellStyle name="Euro 8 4 3" xfId="2879" xr:uid="{6A4ED0B6-E6D7-4140-8BBF-C9978489AE2A}"/>
    <cellStyle name="Euro 8 4 3 2" xfId="3468" xr:uid="{CE330FB0-C112-410D-9D96-396031119874}"/>
    <cellStyle name="Euro 8 4 4" xfId="3193" xr:uid="{95A8077F-0CBC-4788-A829-AAF853BF4D71}"/>
    <cellStyle name="Euro 8 5" xfId="408" xr:uid="{F7A510C4-5042-411C-8847-298D5131ED4D}"/>
    <cellStyle name="Euro 8 5 2" xfId="2931" xr:uid="{1DA25E0A-4BA3-4554-B061-ADF4C6B8798D}"/>
    <cellStyle name="Euro 8 5 2 2" xfId="3520" xr:uid="{91D9E337-DA39-424B-A3AE-D6E794C4D1C9}"/>
    <cellStyle name="Euro 8 5 3" xfId="3245" xr:uid="{4F15531C-18BA-404A-B7F7-86DB0C98EF0A}"/>
    <cellStyle name="Euro 8 6" xfId="1043" xr:uid="{8194826A-410B-464C-A59D-32497966B34A}"/>
    <cellStyle name="Euro 8 7" xfId="2804" xr:uid="{D1D01327-C514-4AA4-8115-7CB7FD62988F}"/>
    <cellStyle name="Euro 8 7 2" xfId="3393" xr:uid="{218EAEC9-7D0B-4C20-BB23-B03921A11ADB}"/>
    <cellStyle name="Euro 8 8" xfId="3118" xr:uid="{3B7A5CCD-6D8A-4ADD-92CB-59C8E0CA31B2}"/>
    <cellStyle name="Euro 9" xfId="132" xr:uid="{20C8EF23-CD13-4117-980E-D368BD885801}"/>
    <cellStyle name="Euro 9 2" xfId="219" xr:uid="{14A5818B-7500-4DFC-B416-269E7DD999BA}"/>
    <cellStyle name="Euro 9 2 2" xfId="538" xr:uid="{755A2359-1E79-41A7-B05A-89B0D762224B}"/>
    <cellStyle name="Euro 9 2 2 2" xfId="2987" xr:uid="{5CB16A08-66D5-4F67-8722-3902DAA1FFBA}"/>
    <cellStyle name="Euro 9 2 2 2 2" xfId="3576" xr:uid="{AC47146B-13A2-4B9C-AF41-9A44304205D3}"/>
    <cellStyle name="Euro 9 2 2 3" xfId="3301" xr:uid="{99A9911C-DAF0-4C5C-AF47-5240FE8D8A36}"/>
    <cellStyle name="Euro 9 2 3" xfId="2041" xr:uid="{9BF60196-620B-4EEA-B3EA-D34FE12CD936}"/>
    <cellStyle name="Euro 9 2 4" xfId="2848" xr:uid="{079D5203-58E7-4905-ADC2-CB0FDF716363}"/>
    <cellStyle name="Euro 9 2 4 2" xfId="3437" xr:uid="{34339794-3E2B-417C-B5CB-F7FAA3DBBEDB}"/>
    <cellStyle name="Euro 9 2 5" xfId="3162" xr:uid="{17BBA00F-475F-47C0-83CB-EB3BF332DB49}"/>
    <cellStyle name="Euro 9 3" xfId="333" xr:uid="{3E7E60DD-F5B4-4A13-A034-886B688DF9A5}"/>
    <cellStyle name="Euro 9 3 2" xfId="641" xr:uid="{90D8ECDE-BECC-499B-A87F-C3F5335B5D7F}"/>
    <cellStyle name="Euro 9 3 2 2" xfId="3034" xr:uid="{814F6AD7-DF6E-4E86-B310-E3EC08A355E8}"/>
    <cellStyle name="Euro 9 3 2 2 2" xfId="3623" xr:uid="{BC1653BF-14C8-4E84-AC81-2BD74510FB28}"/>
    <cellStyle name="Euro 9 3 2 3" xfId="3348" xr:uid="{D841E4FB-4D98-4E06-B590-53603350D6ED}"/>
    <cellStyle name="Euro 9 3 3" xfId="2898" xr:uid="{50236480-41FC-4AC5-A695-A8EC381A9B25}"/>
    <cellStyle name="Euro 9 3 3 2" xfId="3487" xr:uid="{10D7C1DB-8FFB-43C9-82B0-7FC5257C814E}"/>
    <cellStyle name="Euro 9 3 4" xfId="3212" xr:uid="{F30F9678-A32A-4FB1-BE1C-D59730FCBD67}"/>
    <cellStyle name="Euro 9 4" xfId="449" xr:uid="{7F0832C5-13F4-4069-93DA-6903884C5BC4}"/>
    <cellStyle name="Euro 9 4 2" xfId="2950" xr:uid="{19F44780-1AE0-4CC4-BCD9-DC5BE2685418}"/>
    <cellStyle name="Euro 9 4 2 2" xfId="3539" xr:uid="{7F66302B-316E-420E-92FE-7E3D365970AD}"/>
    <cellStyle name="Euro 9 4 3" xfId="3264" xr:uid="{12DFB2A6-2BF3-49BE-9BA0-562BCD07887D}"/>
    <cellStyle name="Euro 9 5" xfId="1044" xr:uid="{B991D162-9C5B-4AE1-BFC4-F2B03AFA3255}"/>
    <cellStyle name="Euro 9 6" xfId="2818" xr:uid="{EBC76325-F789-4C4E-801F-E82ABA162D42}"/>
    <cellStyle name="Euro 9 6 2" xfId="3407" xr:uid="{6B763507-510B-4C37-898F-2D33B796D9CF}"/>
    <cellStyle name="Euro 9 7" xfId="3132" xr:uid="{06FCE7E8-273F-4519-B6AB-6770B6D5D6DC}"/>
    <cellStyle name="Euro_ANNÉE 2015" xfId="1045" xr:uid="{546EBDB3-93C4-4345-8F57-ED21D1DFFF1A}"/>
    <cellStyle name="Excel Built-in Explanatory Text" xfId="701" xr:uid="{3569BE87-3FB4-48F1-8A21-D84F339EF28E}"/>
    <cellStyle name="Excel Built-in Explanatory Text 2" xfId="2043" xr:uid="{28FF6604-7783-47ED-9DC4-6376A23B7C48}"/>
    <cellStyle name="Excel Built-in Explanatory Text 3" xfId="1047" xr:uid="{040D951C-505C-4135-9251-E4D23CE95EA7}"/>
    <cellStyle name="Excel.Chart" xfId="1046" xr:uid="{3B8E8833-1429-4284-B7A2-C5D386161442}"/>
    <cellStyle name="Excel.Chart 2" xfId="2042" xr:uid="{6A701583-2B37-4015-ABC3-DD03885AD140}"/>
    <cellStyle name="Excel_BuiltIn_Comma" xfId="2742" xr:uid="{D66ACA57-3639-4B4B-95D4-047838DDCCE7}"/>
    <cellStyle name="Explanatory Text" xfId="1048" xr:uid="{70EC4A76-1154-42C0-B5D0-C52CDE602350}"/>
    <cellStyle name="Explanatory Text 2" xfId="2044" xr:uid="{777E5C12-C500-425B-9CFF-9F0D54B980C8}"/>
    <cellStyle name="F5" xfId="1049" xr:uid="{C4853D0B-993C-41D3-A65C-97C3C8764112}"/>
    <cellStyle name="F5 2" xfId="2045" xr:uid="{9AA87865-47E7-4B71-9B27-655BC59F14DB}"/>
    <cellStyle name="Financier" xfId="1050" xr:uid="{4C3557A9-8BC9-481D-AB1D-97C8C9FD968A}"/>
    <cellStyle name="Financier 2" xfId="1051" xr:uid="{1D7FF09D-123C-4892-8C04-8A33FA44EEEB}"/>
    <cellStyle name="Financier 2 2" xfId="2047" xr:uid="{D5BD1EF2-529A-4B7B-A55C-E886B17908E4}"/>
    <cellStyle name="Financier 3" xfId="2046" xr:uid="{7E662ED4-8DA0-4C74-B656-67C3D5EB50FA}"/>
    <cellStyle name="Financier0" xfId="1052" xr:uid="{D10E1A66-FC7F-455D-9F7A-55BBEA04D8A7}"/>
    <cellStyle name="Financier0 2" xfId="1053" xr:uid="{EE6BEEF8-8B55-476B-AE0D-1B6E3362DF74}"/>
    <cellStyle name="Financier0 2 2" xfId="2049" xr:uid="{AF709544-270A-4218-B617-9E6BDA207C45}"/>
    <cellStyle name="Financier0 3" xfId="2048" xr:uid="{A1A1EC4B-7A7E-4B56-93BC-E23A6A3CE092}"/>
    <cellStyle name="Footnote" xfId="2743" xr:uid="{2D04BA3E-CD82-4A87-92C9-7A702080C5F6}"/>
    <cellStyle name="Good" xfId="1054" xr:uid="{9B81A2C7-C8FC-43A8-A52B-42CF35778177}"/>
    <cellStyle name="Good 2" xfId="2050" xr:uid="{09D83EF0-968D-425E-B8AD-F7427E875C45}"/>
    <cellStyle name="Good 3" xfId="2744" xr:uid="{6E8788BD-2687-4062-BDD8-90078B40A800}"/>
    <cellStyle name="Heading" xfId="1055" xr:uid="{EAC52C5C-6858-4E4F-A4A0-568FA2B980D0}"/>
    <cellStyle name="Heading (user)" xfId="1056" xr:uid="{78F2B827-3545-4312-A2C5-D532C10C90C0}"/>
    <cellStyle name="Heading (user) 2" xfId="2052" xr:uid="{5AB849A9-F704-46AC-82A6-4A9716256573}"/>
    <cellStyle name="Heading (user) 3" xfId="2746" xr:uid="{B4BD01E3-82B7-421B-B9D1-AADCEDB9596D}"/>
    <cellStyle name="Heading 1" xfId="1057" xr:uid="{2D7F711D-ABD0-46DE-A009-B5DF8A4EC921}"/>
    <cellStyle name="Heading 1 2" xfId="2053" xr:uid="{4E380E3B-AD35-48EB-A88F-6F2F5EB99AAB}"/>
    <cellStyle name="Heading 1 3" xfId="2747" xr:uid="{88F34FB2-5DE7-4FC6-859E-7615E192633A}"/>
    <cellStyle name="Heading 2" xfId="1058" xr:uid="{AF78B4A1-3D93-41C0-AE2A-234185DF3397}"/>
    <cellStyle name="Heading 2 2" xfId="2054" xr:uid="{96A3649A-C08F-494E-B4F7-4C7AF1C66EBE}"/>
    <cellStyle name="Heading 2 3" xfId="2748" xr:uid="{E471AB20-CF17-4614-9063-C26284DDD164}"/>
    <cellStyle name="Heading 3" xfId="1059" xr:uid="{960D9544-92B5-45A2-9658-B955D7D65731}"/>
    <cellStyle name="Heading 3 2" xfId="2055" xr:uid="{5911B5B8-993D-496B-8D24-88C09BC31C8A}"/>
    <cellStyle name="Heading 4" xfId="1060" xr:uid="{42D945BC-F202-41D8-8E64-CBF3ED9953F7}"/>
    <cellStyle name="Heading 4 2" xfId="2056" xr:uid="{B21B8BF9-C362-43DA-9244-A31C484EDB4C}"/>
    <cellStyle name="Heading 5" xfId="2051" xr:uid="{AF0FB806-D26D-45D7-BDDC-F88B06C33917}"/>
    <cellStyle name="Heading 6" xfId="2702" xr:uid="{86ABC745-7B38-42A2-B7B5-9094CE4742DB}"/>
    <cellStyle name="Heading 7" xfId="2745" xr:uid="{61AB002F-022C-4CB7-87A5-4E222CC3F904}"/>
    <cellStyle name="Heading1" xfId="1061" xr:uid="{A788663D-DA8E-4C01-9B4D-B8EE790936CA}"/>
    <cellStyle name="Heading1 (user)" xfId="1062" xr:uid="{8AE0FBF9-F5D9-4521-BD13-9EA04BBD6DA6}"/>
    <cellStyle name="Heading1 (user) 2" xfId="2058" xr:uid="{59F4EF85-0853-4A96-877B-887BD05E9174}"/>
    <cellStyle name="Heading1 2" xfId="2057" xr:uid="{0A235124-4013-4BC4-B086-54E91C18DEAD}"/>
    <cellStyle name="Heading1 3" xfId="2703" xr:uid="{CA632DD6-9D9A-4856-B8BF-4E8B79146FE4}"/>
    <cellStyle name="Heading1 4" xfId="2749" xr:uid="{1F142DAC-0752-4079-B5CB-B0A0846A8F30}"/>
    <cellStyle name="Hyperlink" xfId="2750" xr:uid="{9D7F9B09-4C3A-4A06-9CFF-FA3233E873D2}"/>
    <cellStyle name="Incorrecto" xfId="1063" xr:uid="{E4BA5D1D-D551-4376-9953-7B56A7D39690}"/>
    <cellStyle name="Incorrecto 2" xfId="2059" xr:uid="{33DBCF2A-FC74-441D-B9F0-C7427C79FA94}"/>
    <cellStyle name="Input" xfId="1064" xr:uid="{BD4E5DD0-A014-46F2-813E-5A94B69DE5D8}"/>
    <cellStyle name="Input 2" xfId="2060" xr:uid="{CC3E4537-81DD-4E2D-9EDA-7B198C153F6D}"/>
    <cellStyle name="Insatisfaisant" xfId="8" builtinId="27" customBuiltin="1"/>
    <cellStyle name="Insatisfaisant 2" xfId="1065" xr:uid="{50AA93B6-6912-4D71-9FC5-741D17B0A8C4}"/>
    <cellStyle name="Insatisfaisant 2 2" xfId="2061" xr:uid="{C519F2D3-7915-4572-B529-A1C420858B4B}"/>
    <cellStyle name="Lien hypertexte 2" xfId="49" xr:uid="{117BF394-892B-4FE3-99B1-3C1E06E7F4BE}"/>
    <cellStyle name="Lien hypertexte 2 2" xfId="486" xr:uid="{5315DEBB-78C1-4372-BBE4-6CB1334F838D}"/>
    <cellStyle name="Lien hypertexte 2 2 2" xfId="2063" xr:uid="{BCA5D91B-B972-4181-980D-3BD0D34E6566}"/>
    <cellStyle name="Lien hypertexte 2 2 3" xfId="1067" xr:uid="{C9C184ED-0AEF-4610-85E2-AB4D157B0061}"/>
    <cellStyle name="Lien hypertexte 2 3" xfId="716" xr:uid="{8356AEED-DD61-47A4-A427-A8346D58D1DC}"/>
    <cellStyle name="Lien hypertexte 2 3 2" xfId="2064" xr:uid="{5D8698A8-B4CB-484D-BAB3-EDF6A011FDED}"/>
    <cellStyle name="Lien hypertexte 2 3 3" xfId="1068" xr:uid="{0D9B2360-AB4C-47EA-A45D-9FD3FC74F1D2}"/>
    <cellStyle name="Lien hypertexte 2 4" xfId="2062" xr:uid="{E6022110-556D-4CE2-AFF2-92AC9891EA6E}"/>
    <cellStyle name="Lien hypertexte 2 5" xfId="2776" xr:uid="{D15663D1-4EDB-4B80-836F-CDF544014D5D}"/>
    <cellStyle name="Lien hypertexte 2 6" xfId="1066" xr:uid="{4871F51E-2D93-449C-A4A3-C99595815AA5}"/>
    <cellStyle name="Lien hypertexte 3" xfId="56" xr:uid="{94F69117-23D2-4B98-A769-7256B4DDAFD5}"/>
    <cellStyle name="Lien hypertexte 3 2" xfId="714" xr:uid="{17F90FEE-53D1-4C8E-BBF1-CDD4524E4019}"/>
    <cellStyle name="Lien hypertexte 3 2 2" xfId="2065" xr:uid="{72C0F350-49B0-4DEC-B194-9266885F8F39}"/>
    <cellStyle name="Lien hypertexte 3 3" xfId="1069" xr:uid="{B5B32BF1-99D3-42DA-8E8A-B88A02B5AA94}"/>
    <cellStyle name="Lien hypertexte 4" xfId="47" xr:uid="{519A44D8-D8D4-40FD-B370-A732B2004A9A}"/>
    <cellStyle name="Ligne détail" xfId="1070" xr:uid="{BD52A152-D253-437B-AB5D-ABC0A7DD6DB5}"/>
    <cellStyle name="Ligne détail 2" xfId="1071" xr:uid="{7AC3E7D0-267F-468D-95CA-DCEE65F3B370}"/>
    <cellStyle name="Ligne détail 2 2" xfId="2067" xr:uid="{BB7D4E50-5E08-4E2A-839A-7613D768FA04}"/>
    <cellStyle name="Ligne détail 3" xfId="1072" xr:uid="{91DF0DA6-215B-4C22-9BDF-CDC00C8D3B04}"/>
    <cellStyle name="Ligne détail 3 2" xfId="2068" xr:uid="{E11E51C8-F2A5-4B63-AA88-143E531B68D4}"/>
    <cellStyle name="Ligne détail 4" xfId="1073" xr:uid="{24577AF8-4AE6-46E4-91C9-569334BAAB85}"/>
    <cellStyle name="Ligne détail 4 2" xfId="2069" xr:uid="{1668ABCD-2EBC-46D2-A8B6-17A6B5BA0C31}"/>
    <cellStyle name="Ligne détail 5" xfId="2066" xr:uid="{CB84CE03-8AEE-4925-8B9D-86F3C4614323}"/>
    <cellStyle name="ligne_titre_0" xfId="1074" xr:uid="{F778C891-72EE-42DA-9D0D-040C440ECBB1}"/>
    <cellStyle name="Linked Cell" xfId="1075" xr:uid="{3A036E11-9292-4AC1-AA3F-530F19A99DDE}"/>
    <cellStyle name="Linked Cell 2" xfId="2070" xr:uid="{8117F4E2-FDA1-40E6-A03C-7725E584EBF2}"/>
    <cellStyle name="MEV1" xfId="1076" xr:uid="{10E9A70D-CF37-4AC8-AB50-2EA3ADF7C51A}"/>
    <cellStyle name="MEV1 2" xfId="1077" xr:uid="{229B2A48-CE86-42A6-AF64-870CDB8C9D13}"/>
    <cellStyle name="MEV1 2 2" xfId="2072" xr:uid="{787939C0-0E41-4EBA-9D07-F5938147292C}"/>
    <cellStyle name="MEV1 3" xfId="1078" xr:uid="{5F3E0090-140D-471C-A101-ABB620D311B1}"/>
    <cellStyle name="MEV1 3 2" xfId="2073" xr:uid="{8251D568-7A51-4F77-9055-F69CA7375BB6}"/>
    <cellStyle name="MEV1 4" xfId="2071" xr:uid="{971ED820-F907-4799-BE7C-DE34D8F52078}"/>
    <cellStyle name="MEV2" xfId="1079" xr:uid="{E27BC85D-7885-4DCF-874A-4AB7E5EF302D}"/>
    <cellStyle name="MEV2 2" xfId="1080" xr:uid="{BA1B74FD-E262-493A-AAA9-F2E945851CF7}"/>
    <cellStyle name="MEV2 2 2" xfId="2075" xr:uid="{790740A3-4E2A-4EBE-897E-538F96EF3D7D}"/>
    <cellStyle name="MEV2 3" xfId="1081" xr:uid="{2188DA45-4194-461E-8BC5-4EEA6F3B60C4}"/>
    <cellStyle name="MEV2 3 2" xfId="2076" xr:uid="{0963DF63-A700-4BE5-AF1F-E5B8189A8424}"/>
    <cellStyle name="MEV2 4" xfId="2074" xr:uid="{43F81825-C639-4610-8FD5-7CA314E3A628}"/>
    <cellStyle name="MEV3" xfId="1082" xr:uid="{31DB690A-FCE2-424F-9F53-081D375B672F}"/>
    <cellStyle name="MEV3 2" xfId="1083" xr:uid="{CB9423CB-9E4F-4341-A5F0-B03D03119B32}"/>
    <cellStyle name="MEV3 2 2" xfId="2078" xr:uid="{E0CFB99E-CDC2-4A8D-9554-D8AC2F044C16}"/>
    <cellStyle name="MEV3 3" xfId="1084" xr:uid="{10C27812-6611-4026-831A-AE90E64F3304}"/>
    <cellStyle name="MEV3 3 2" xfId="2079" xr:uid="{838DC3E2-54B8-432C-B478-EAC9B4D0D715}"/>
    <cellStyle name="MEV3 4" xfId="2077" xr:uid="{A2FA95C6-C882-4AB6-A606-31DA16D6AA6A}"/>
    <cellStyle name="MEV4" xfId="1085" xr:uid="{00AA41A9-D9E7-4E8C-9D17-D023C680916A}"/>
    <cellStyle name="MEV4 2" xfId="2080" xr:uid="{12137655-97F0-4E4C-9487-FC54F1625023}"/>
    <cellStyle name="MEV5" xfId="1086" xr:uid="{F2484A04-073A-4FAF-9706-E26156CED853}"/>
    <cellStyle name="MEV5 2" xfId="2081" xr:uid="{F00B43F8-80F1-405B-8DC2-55FFD2A64B14}"/>
    <cellStyle name="Milliers" xfId="3657" builtinId="3"/>
    <cellStyle name="Milliers 10" xfId="131" xr:uid="{0EED16E7-37C1-44E6-91C2-995A1BD40A92}"/>
    <cellStyle name="Milliers 10 2" xfId="298" xr:uid="{4987460B-E0F0-4AD9-B953-C6378752B087}"/>
    <cellStyle name="Milliers 10 2 2" xfId="607" xr:uid="{36571122-2AD5-474A-BB17-AD9A95102FBE}"/>
    <cellStyle name="Milliers 10 2 3" xfId="2082" xr:uid="{E3D1D7A6-E95D-42E0-A38D-564C25E4F5EC}"/>
    <cellStyle name="Milliers 10 3" xfId="415" xr:uid="{05B614BB-2641-48C1-AF63-F7A949BC77DD}"/>
    <cellStyle name="Milliers 10 4" xfId="1087" xr:uid="{E052721E-FF12-4560-AF04-0C64CA1695A2}"/>
    <cellStyle name="Milliers 11" xfId="181" xr:uid="{2809FF8A-1A0A-4BCE-A382-45DA217ACAD9}"/>
    <cellStyle name="Milliers 11 2" xfId="511" xr:uid="{834FFC7E-6F85-464E-972B-8764D839408C}"/>
    <cellStyle name="Milliers 12" xfId="259" xr:uid="{1A87C6D9-BD01-4D22-84F9-9FFC2ED84FEF}"/>
    <cellStyle name="Milliers 12 2" xfId="568" xr:uid="{E320E731-1EA5-4817-9B6C-A1A4544EEA49}"/>
    <cellStyle name="Milliers 13" xfId="369" xr:uid="{80F6E54F-5C85-4709-9CA8-48A90462DAA6}"/>
    <cellStyle name="Milliers 14" xfId="484" xr:uid="{C72D0894-D875-404C-A56F-CDBC16EED551}"/>
    <cellStyle name="Milliers 15" xfId="678" xr:uid="{48E06281-F158-4321-B9F4-C829BC79D09D}"/>
    <cellStyle name="Milliers 16" xfId="54" xr:uid="{F738295E-A100-42CC-B040-BBCF7C5C2155}"/>
    <cellStyle name="Milliers 17" xfId="702" xr:uid="{2731E07D-8E44-4007-A0A7-BF9CB2134A06}"/>
    <cellStyle name="Milliers 17 2" xfId="3060" xr:uid="{C654063C-8EB4-4C81-832B-869B70E6F4A5}"/>
    <cellStyle name="Milliers 17 2 2" xfId="3649" xr:uid="{1DC54A1C-6C27-4A83-A15F-7B5C78BB3383}"/>
    <cellStyle name="Milliers 17 3" xfId="3374" xr:uid="{345DEDCE-1279-4F90-909D-D39F28A50337}"/>
    <cellStyle name="Milliers 18" xfId="704" xr:uid="{E6812898-2EFC-4AFE-9D0A-9C7CD640C880}"/>
    <cellStyle name="Milliers 18 2" xfId="3061" xr:uid="{32A36A6A-1A86-4A7C-AAF5-35AFF5BFB818}"/>
    <cellStyle name="Milliers 18 2 2" xfId="3650" xr:uid="{D553C188-05D3-415E-AF0E-617B7C6628A3}"/>
    <cellStyle name="Milliers 18 3" xfId="3375" xr:uid="{822FCC5C-459B-480C-B670-EF85B048D5E8}"/>
    <cellStyle name="Milliers 19" xfId="706" xr:uid="{FB9744B1-8ABF-49CF-978E-D4A335CE63CE}"/>
    <cellStyle name="Milliers 19 2" xfId="3062" xr:uid="{202AE61F-486D-478C-94C7-28735BCEEA0B}"/>
    <cellStyle name="Milliers 19 2 2" xfId="3651" xr:uid="{AF17DF10-44FF-4CC4-A775-1BEA6D12ADE2}"/>
    <cellStyle name="Milliers 19 3" xfId="3376" xr:uid="{CBC2CA40-A5C5-4F6E-91F1-47D55B6D90AC}"/>
    <cellStyle name="Milliers 2" xfId="60" xr:uid="{529D9DCE-CB92-4B79-B467-EBFD2A01C568}"/>
    <cellStyle name="Milliers 2 10" xfId="261" xr:uid="{953F605B-85D4-43BA-A9E6-7E64443B2801}"/>
    <cellStyle name="Milliers 2 10 2" xfId="570" xr:uid="{75FB4340-45B9-4833-B9E5-A57A3D5984C7}"/>
    <cellStyle name="Milliers 2 11" xfId="373" xr:uid="{E819EDE5-09B7-414B-8084-D8189B521685}"/>
    <cellStyle name="Milliers 2 12" xfId="488" xr:uid="{F88CB61A-F5A9-4E16-BA7C-98D5ABBCA0DE}"/>
    <cellStyle name="Milliers 2 13" xfId="680" xr:uid="{3C4F327A-5E05-4AC6-912D-CDEA9391BBD5}"/>
    <cellStyle name="Milliers 2 14" xfId="708" xr:uid="{5CA227A9-40AA-474D-B4A9-88EA363E8434}"/>
    <cellStyle name="Milliers 2 14 2" xfId="3063" xr:uid="{DCF2111E-F663-43A1-8380-B75BF07053DA}"/>
    <cellStyle name="Milliers 2 14 2 2" xfId="3652" xr:uid="{0F9F5843-F982-4ECC-997D-EA84CB0E167E}"/>
    <cellStyle name="Milliers 2 14 3" xfId="3377" xr:uid="{CFAD0441-0018-4A19-8717-D7B4306E435C}"/>
    <cellStyle name="Milliers 2 15" xfId="1088" xr:uid="{9B2C3E07-881C-4E7A-99CA-F22059B75220}"/>
    <cellStyle name="Milliers 2 2" xfId="79" xr:uid="{51D0560F-60E3-45C9-B7DF-B258786E4961}"/>
    <cellStyle name="Milliers 2 2 10" xfId="683" xr:uid="{1FB0F648-5E7F-45A4-8D2D-1C0A81410B97}"/>
    <cellStyle name="Milliers 2 2 11" xfId="1089" xr:uid="{64ABC9B2-2B0A-43BA-86EB-18ADDF0D7F82}"/>
    <cellStyle name="Milliers 2 2 2" xfId="87" xr:uid="{310A9DBC-46E9-4484-9DAC-DFB3F1EBDD5A}"/>
    <cellStyle name="Milliers 2 2 2 2" xfId="117" xr:uid="{0687149D-ADB4-485C-A019-C5E4A1CF4810}"/>
    <cellStyle name="Milliers 2 2 2 2 2" xfId="235" xr:uid="{1D31B521-1F3A-40D3-A3DA-74E7DAA360BD}"/>
    <cellStyle name="Milliers 2 2 2 2 2 2" xfId="551" xr:uid="{A0FA2104-41BB-445D-8C7B-EE912EAC8ACF}"/>
    <cellStyle name="Milliers 2 2 2 2 3" xfId="348" xr:uid="{2E220976-39BC-4C2D-AA76-0A0DA3FBA138}"/>
    <cellStyle name="Milliers 2 2 2 2 3 2" xfId="656" xr:uid="{6EDE80FF-B155-4855-A140-D0FBB5213BBC}"/>
    <cellStyle name="Milliers 2 2 2 2 4" xfId="463" xr:uid="{042DC11A-7D34-49F3-BCA0-5C1AD5EBA5BA}"/>
    <cellStyle name="Milliers 2 2 2 3" xfId="151" xr:uid="{D27F00EE-EAF9-499B-92C4-56F3461F6962}"/>
    <cellStyle name="Milliers 2 2 2 3 2" xfId="317" xr:uid="{8316C52C-C5BE-49C2-A4D4-249C6705B91F}"/>
    <cellStyle name="Milliers 2 2 2 3 2 2" xfId="626" xr:uid="{3FB39BB8-C13F-4863-8746-4E61E48B15CF}"/>
    <cellStyle name="Milliers 2 2 2 3 3" xfId="434" xr:uid="{030057E2-F2D7-4C2D-BF68-BB35E9399520}"/>
    <cellStyle name="Milliers 2 2 2 4" xfId="200" xr:uid="{3D411382-B0A4-43D1-BD7D-1274C58AAB52}"/>
    <cellStyle name="Milliers 2 2 2 4 2" xfId="523" xr:uid="{66E55BDC-6BDE-4BDC-9646-A110B1F48DD8}"/>
    <cellStyle name="Milliers 2 2 2 5" xfId="275" xr:uid="{1071535B-D6C5-4D4D-978C-702B3B5C11D3}"/>
    <cellStyle name="Milliers 2 2 2 5 2" xfId="584" xr:uid="{3BE09B81-2E78-4A12-A1F4-1C338A4BE616}"/>
    <cellStyle name="Milliers 2 2 2 6" xfId="388" xr:uid="{DFF7FF97-B983-49CA-9E9D-2AE596A4EF42}"/>
    <cellStyle name="Milliers 2 2 2 7" xfId="502" xr:uid="{D2B92FFA-9541-4832-9E35-4CEA0049A54A}"/>
    <cellStyle name="Milliers 2 2 2 8" xfId="695" xr:uid="{D506952E-B496-429A-AF79-B9125BF4E5CC}"/>
    <cellStyle name="Milliers 2 2 2 9" xfId="2084" xr:uid="{70D6DC66-9AF0-44A0-889F-D3E9F73819AA}"/>
    <cellStyle name="Milliers 2 2 3" xfId="95" xr:uid="{6F02FB09-218C-45AA-A152-ED78D32A2230}"/>
    <cellStyle name="Milliers 2 2 3 2" xfId="125" xr:uid="{D4FDC25E-A8EF-4799-B6DB-F6379CCE00DB}"/>
    <cellStyle name="Milliers 2 2 3 2 2" xfId="243" xr:uid="{90791753-2E55-4DB6-9972-1DFE746058C2}"/>
    <cellStyle name="Milliers 2 2 3 2 2 2" xfId="559" xr:uid="{2B1DB052-84E1-44AC-BC6D-E90F2165159C}"/>
    <cellStyle name="Milliers 2 2 3 2 3" xfId="356" xr:uid="{A80F31BC-4403-4158-ACE8-97EEC4BBC000}"/>
    <cellStyle name="Milliers 2 2 3 2 3 2" xfId="664" xr:uid="{C4ED6203-C4BD-4F70-85A1-B3E13185C711}"/>
    <cellStyle name="Milliers 2 2 3 2 4" xfId="471" xr:uid="{5EE9612F-6B76-4222-B503-164E2AEF800B}"/>
    <cellStyle name="Milliers 2 2 3 3" xfId="159" xr:uid="{C2BA6B85-A4C2-4173-AB81-68BB3C16647D}"/>
    <cellStyle name="Milliers 2 2 3 3 2" xfId="325" xr:uid="{EE8C1D13-0209-4F7A-9D4E-6EDFF29BD6AE}"/>
    <cellStyle name="Milliers 2 2 3 3 2 2" xfId="634" xr:uid="{08451B7B-7A2A-47D8-ABC6-CEECC176A37D}"/>
    <cellStyle name="Milliers 2 2 3 3 3" xfId="442" xr:uid="{CD02F613-95D2-4451-88C2-A7F5D442757C}"/>
    <cellStyle name="Milliers 2 2 3 4" xfId="208" xr:uid="{1F896305-57C1-4405-9B56-ADE9615B9AA6}"/>
    <cellStyle name="Milliers 2 2 3 4 2" xfId="531" xr:uid="{E890CEA3-A844-421A-8E83-DC65D06007E3}"/>
    <cellStyle name="Milliers 2 2 3 5" xfId="283" xr:uid="{8F1114A6-82B3-4E5C-9642-3FF942551C63}"/>
    <cellStyle name="Milliers 2 2 3 5 2" xfId="592" xr:uid="{EBBCEFD3-3218-4F47-8C2A-6D7EF9093FA8}"/>
    <cellStyle name="Milliers 2 2 3 6" xfId="401" xr:uid="{64AE3494-A0CD-4165-B886-EBE034CA5A2E}"/>
    <cellStyle name="Milliers 2 2 4" xfId="109" xr:uid="{CC86638D-344B-4160-B318-CC24C61D0959}"/>
    <cellStyle name="Milliers 2 2 4 2" xfId="222" xr:uid="{2F8BF10E-DB34-40A1-B59D-D19B26EFCD9A}"/>
    <cellStyle name="Milliers 2 2 4 2 2" xfId="336" xr:uid="{5AFFBDF0-6EC8-417D-829F-64F2D1CAAECE}"/>
    <cellStyle name="Milliers 2 2 4 2 2 2" xfId="644" xr:uid="{78A68017-48E5-4EFF-A0C6-8BE293F6E307}"/>
    <cellStyle name="Milliers 2 2 4 2 3" xfId="452" xr:uid="{16F13B26-1122-49CA-B5A8-ABEA6CD1F823}"/>
    <cellStyle name="Milliers 2 2 4 3" xfId="294" xr:uid="{E018F6E3-178D-442B-861F-45086CF69B46}"/>
    <cellStyle name="Milliers 2 2 4 3 2" xfId="603" xr:uid="{2651FEDA-0ACB-4EA4-961F-9454C3EB0304}"/>
    <cellStyle name="Milliers 2 2 4 4" xfId="412" xr:uid="{CC2B98E9-492C-41F8-B04A-595ADC4185D4}"/>
    <cellStyle name="Milliers 2 2 5" xfId="143" xr:uid="{338F7D4A-EA39-4722-BC92-7FED275E4D0A}"/>
    <cellStyle name="Milliers 2 2 5 2" xfId="309" xr:uid="{D450EF06-A6D4-48B3-9C93-FDE3FFA47201}"/>
    <cellStyle name="Milliers 2 2 5 2 2" xfId="618" xr:uid="{111407F1-0BD7-4836-902E-06E86D34D8E4}"/>
    <cellStyle name="Milliers 2 2 5 3" xfId="426" xr:uid="{60F736A5-D909-4ECD-A85F-EB293CD966B2}"/>
    <cellStyle name="Milliers 2 2 6" xfId="192" xr:uid="{68B42E6C-6904-4512-8318-DD73FE0672DE}"/>
    <cellStyle name="Milliers 2 2 6 2" xfId="517" xr:uid="{4DD7A3AC-E998-45DA-BA7D-CCDD48C39BB5}"/>
    <cellStyle name="Milliers 2 2 7" xfId="267" xr:uid="{08F20320-5613-4C45-9ED6-7D6BFC3BC21F}"/>
    <cellStyle name="Milliers 2 2 7 2" xfId="576" xr:uid="{2A4EEED0-71D2-484A-9C0E-ABB8BDD3D4CD}"/>
    <cellStyle name="Milliers 2 2 8" xfId="376" xr:uid="{98E3E381-4213-49AA-88B9-7E32B257511E}"/>
    <cellStyle name="Milliers 2 2 9" xfId="496" xr:uid="{A140D21E-A493-4157-B520-DDB066E44F61}"/>
    <cellStyle name="Milliers 2 3" xfId="74" xr:uid="{51B74B0E-859D-4FBB-8966-D75F268B9F89}"/>
    <cellStyle name="Milliers 2 3 2" xfId="106" xr:uid="{3C591812-E9EB-48AE-BF8A-8AB62985C4C6}"/>
    <cellStyle name="Milliers 2 3 2 2" xfId="227" xr:uid="{FEC6A270-C1D6-4BEE-B4BF-1BCCEA771A3B}"/>
    <cellStyle name="Milliers 2 3 2 2 2" xfId="543" xr:uid="{1CB70107-EBE2-4BF9-9A42-ADE8FD8A8932}"/>
    <cellStyle name="Milliers 2 3 2 3" xfId="340" xr:uid="{47D259DA-FF8E-472C-BA44-3054B2EE7513}"/>
    <cellStyle name="Milliers 2 3 2 3 2" xfId="648" xr:uid="{F0D04CA2-C332-4DEA-BC4D-AFA95E8F7699}"/>
    <cellStyle name="Milliers 2 3 2 4" xfId="455" xr:uid="{199A3F2C-A06C-45F7-9729-D461218FAF5E}"/>
    <cellStyle name="Milliers 2 3 2 5" xfId="2085" xr:uid="{03ACFC58-D06E-492A-A10A-C3853A831D4A}"/>
    <cellStyle name="Milliers 2 3 3" xfId="140" xr:uid="{8DD1FC14-6CBF-4720-95DF-DEBE7FB023B4}"/>
    <cellStyle name="Milliers 2 3 3 2" xfId="306" xr:uid="{DA903756-0E72-4E1D-A7D6-072911323EE3}"/>
    <cellStyle name="Milliers 2 3 3 2 2" xfId="615" xr:uid="{122E66AF-9A2C-46A9-B014-084FE649BBA3}"/>
    <cellStyle name="Milliers 2 3 3 3" xfId="423" xr:uid="{5A899687-B30B-4EE1-9350-E2F0D45A0303}"/>
    <cellStyle name="Milliers 2 3 4" xfId="189" xr:uid="{49E0FF75-5A28-4BB1-BB86-F07CC846E3C5}"/>
    <cellStyle name="Milliers 2 3 4 2" xfId="514" xr:uid="{DB194C56-98F3-4CB1-A577-0B8938A501D5}"/>
    <cellStyle name="Milliers 2 3 5" xfId="264" xr:uid="{571C8F56-46D8-4E61-B181-ABF2BBFA20C6}"/>
    <cellStyle name="Milliers 2 3 5 2" xfId="573" xr:uid="{878A2833-E45B-4934-9FD0-38AF440A7BB4}"/>
    <cellStyle name="Milliers 2 3 6" xfId="385" xr:uid="{64CB3F2D-1139-420A-B074-226CA3E8E54F}"/>
    <cellStyle name="Milliers 2 3 7" xfId="493" xr:uid="{D804A8B3-5D9D-4C24-B9BB-DCD74E6DA8F8}"/>
    <cellStyle name="Milliers 2 3 8" xfId="692" xr:uid="{993DA44C-4ACC-4CB7-9BAE-0DE1060DD655}"/>
    <cellStyle name="Milliers 2 3 9" xfId="1090" xr:uid="{B2865EE1-E1D6-466B-8996-EBF29F6D56F8}"/>
    <cellStyle name="Milliers 2 4" xfId="84" xr:uid="{1B186C44-D1C4-4E1C-B692-E4D95CB10598}"/>
    <cellStyle name="Milliers 2 4 2" xfId="114" xr:uid="{839516CC-D39E-4C97-85F2-C1A22E362B92}"/>
    <cellStyle name="Milliers 2 4 2 2" xfId="232" xr:uid="{D2A965F9-78E2-4BF5-86A2-929D76A0F908}"/>
    <cellStyle name="Milliers 2 4 2 2 2" xfId="548" xr:uid="{7EC5D454-E4EF-47A3-A48D-8F236B9859AE}"/>
    <cellStyle name="Milliers 2 4 2 3" xfId="345" xr:uid="{135106FC-F2A9-4DF0-9BAF-13C10BEE441F}"/>
    <cellStyle name="Milliers 2 4 2 3 2" xfId="653" xr:uid="{AD391C31-A40D-49B1-AAE3-0B62AAE892E6}"/>
    <cellStyle name="Milliers 2 4 2 4" xfId="460" xr:uid="{DD6E8466-69CB-431D-B9DF-2DD3FCDFF4F3}"/>
    <cellStyle name="Milliers 2 4 3" xfId="148" xr:uid="{09DCA843-8094-4CC7-A8BF-A04068FEED19}"/>
    <cellStyle name="Milliers 2 4 3 2" xfId="314" xr:uid="{C4CB1648-F0C6-4C8D-A7B1-F970BEBE3559}"/>
    <cellStyle name="Milliers 2 4 3 2 2" xfId="623" xr:uid="{0FA6DABD-AB54-432D-9E65-B1A00D551343}"/>
    <cellStyle name="Milliers 2 4 3 3" xfId="431" xr:uid="{73AE33F6-4DF8-458B-A024-FB9E34930073}"/>
    <cellStyle name="Milliers 2 4 4" xfId="197" xr:uid="{71C5B64C-2044-4FE9-8D23-757CA1D90A9B}"/>
    <cellStyle name="Milliers 2 4 4 2" xfId="520" xr:uid="{CB1C7E13-3853-4C9C-9A3F-EC29E9CBADF1}"/>
    <cellStyle name="Milliers 2 4 5" xfId="272" xr:uid="{7B999429-A2EE-4C16-B319-EAB62DC4F6D8}"/>
    <cellStyle name="Milliers 2 4 5 2" xfId="581" xr:uid="{818E63BE-0F34-4A61-8852-1FD6DF77AB4C}"/>
    <cellStyle name="Milliers 2 4 6" xfId="370" xr:uid="{8741FD02-51EC-486F-9E0B-1613A1F5B2F5}"/>
    <cellStyle name="Milliers 2 4 7" xfId="2083" xr:uid="{1D5258B5-570A-47A7-8AE4-834FAF7FD89F}"/>
    <cellStyle name="Milliers 2 5" xfId="92" xr:uid="{3B576550-EBAC-4235-A370-FBEEE9FD8CCE}"/>
    <cellStyle name="Milliers 2 5 2" xfId="122" xr:uid="{10632C0F-2A47-445D-AE33-12662AD550DC}"/>
    <cellStyle name="Milliers 2 5 2 2" xfId="240" xr:uid="{12D4D2ED-06ED-4ED5-86D5-BFF7752BF03F}"/>
    <cellStyle name="Milliers 2 5 2 2 2" xfId="556" xr:uid="{99342DC2-E3FD-4D35-AD3C-7CFEA15CABFD}"/>
    <cellStyle name="Milliers 2 5 2 3" xfId="353" xr:uid="{7773D73A-8739-4F50-B890-5A8B4C9CFAA9}"/>
    <cellStyle name="Milliers 2 5 2 3 2" xfId="661" xr:uid="{FBF7A5CC-5E6E-4A19-AC81-1EB7A1037180}"/>
    <cellStyle name="Milliers 2 5 2 4" xfId="468" xr:uid="{80F100C6-FF08-4317-BCF9-A8B2773BDF17}"/>
    <cellStyle name="Milliers 2 5 3" xfId="156" xr:uid="{54373317-FB64-4853-8521-37CFFD02D814}"/>
    <cellStyle name="Milliers 2 5 3 2" xfId="322" xr:uid="{DC5D159F-0F84-4AB4-90B4-50BDFB2C0D75}"/>
    <cellStyle name="Milliers 2 5 3 2 2" xfId="631" xr:uid="{D6BF894F-CD05-4B78-A858-8462AC9E7BEA}"/>
    <cellStyle name="Milliers 2 5 3 3" xfId="439" xr:uid="{26728793-E148-41C9-9F75-D67B8FEE57CC}"/>
    <cellStyle name="Milliers 2 5 4" xfId="205" xr:uid="{4AECC5ED-C85A-4000-BB5A-C642C5C8EFB3}"/>
    <cellStyle name="Milliers 2 5 4 2" xfId="528" xr:uid="{FCAD0F5D-85E8-4CA5-A048-2F1B4714FB90}"/>
    <cellStyle name="Milliers 2 5 5" xfId="280" xr:uid="{B6C3C09B-4357-4697-8443-C1C3DA8C13D9}"/>
    <cellStyle name="Milliers 2 5 5 2" xfId="589" xr:uid="{4696727E-2464-4740-963B-18DF8B22173B}"/>
    <cellStyle name="Milliers 2 5 6" xfId="398" xr:uid="{1DCAE88C-6A23-4054-BC01-8002A80DBC18}"/>
    <cellStyle name="Milliers 2 5 7" xfId="2764" xr:uid="{44C9F505-E847-48B1-B39C-4D3A3BC0A903}"/>
    <cellStyle name="Milliers 2 6" xfId="100" xr:uid="{0C35AE06-E4BF-4DF1-A7D8-4C099DCF23F3}"/>
    <cellStyle name="Milliers 2 6 2" xfId="130" xr:uid="{DF40BE93-FE97-4911-A49F-B2CBB8747200}"/>
    <cellStyle name="Milliers 2 6 2 2" xfId="248" xr:uid="{BB4E2D2E-2CFE-45FD-8BC0-392071DD0989}"/>
    <cellStyle name="Milliers 2 6 2 2 2" xfId="564" xr:uid="{DC3F6774-6BBE-4A1C-AD94-46A56D7F8DF9}"/>
    <cellStyle name="Milliers 2 6 2 3" xfId="361" xr:uid="{DEE498BE-C515-43BD-9368-CA23C8563C3F}"/>
    <cellStyle name="Milliers 2 6 2 3 2" xfId="669" xr:uid="{B0D81277-8B63-4291-AC1A-44A5C9184A71}"/>
    <cellStyle name="Milliers 2 6 2 4" xfId="476" xr:uid="{A6B88A3E-942A-4490-BAC1-08FCCFA0704C}"/>
    <cellStyle name="Milliers 2 6 3" xfId="164" xr:uid="{C19D62EC-3F2E-4E12-A706-159E4D5CE182}"/>
    <cellStyle name="Milliers 2 6 3 2" xfId="330" xr:uid="{2706DE87-0716-423C-BB05-EB006C6873C3}"/>
    <cellStyle name="Milliers 2 6 3 2 2" xfId="639" xr:uid="{CD427486-B236-40EE-A232-795B77CF9250}"/>
    <cellStyle name="Milliers 2 6 3 3" xfId="447" xr:uid="{63CE2AE9-F6DB-49F4-9079-6BFE11AD7508}"/>
    <cellStyle name="Milliers 2 6 4" xfId="213" xr:uid="{F7457C3D-D7EF-45AB-9C2B-C4CCE63F2D20}"/>
    <cellStyle name="Milliers 2 6 4 2" xfId="536" xr:uid="{C5D810E8-7D00-4AD7-A05D-83C192EEA6A4}"/>
    <cellStyle name="Milliers 2 6 5" xfId="288" xr:uid="{A3BF60E6-872E-4EF8-85AD-EA907D5A8377}"/>
    <cellStyle name="Milliers 2 6 5 2" xfId="597" xr:uid="{5689B252-D33B-4DB2-9D3D-BE8E2A6513F5}"/>
    <cellStyle name="Milliers 2 6 6" xfId="406" xr:uid="{DCAD4CFA-2B34-4701-91D6-304CBD62BD56}"/>
    <cellStyle name="Milliers 2 7" xfId="103" xr:uid="{ED0FC299-39E6-442F-B8D0-45C662F4E0BF}"/>
    <cellStyle name="Milliers 2 7 2" xfId="137" xr:uid="{23D16BC8-57D6-4CDE-A187-249967D40965}"/>
    <cellStyle name="Milliers 2 7 2 2" xfId="251" xr:uid="{95A4EB4C-AA90-47B0-806B-5296F7ABDB49}"/>
    <cellStyle name="Milliers 2 7 2 2 2" xfId="567" xr:uid="{AA26440E-30B7-4564-8347-0C83AA026F4B}"/>
    <cellStyle name="Milliers 2 7 2 3" xfId="364" xr:uid="{E2F85314-E945-4E39-9A0F-60C0DE14D394}"/>
    <cellStyle name="Milliers 2 7 2 3 2" xfId="672" xr:uid="{4E8F93AE-7A06-426A-94D2-F2BAB0BC25A6}"/>
    <cellStyle name="Milliers 2 7 2 4" xfId="479" xr:uid="{FF689D62-4EBB-47DB-B5EF-AA870809B7EB}"/>
    <cellStyle name="Milliers 2 7 3" xfId="186" xr:uid="{A376BF76-E605-4876-9B00-A57E55A5BB74}"/>
    <cellStyle name="Milliers 2 7 3 2" xfId="303" xr:uid="{23D28041-468C-4866-AE24-36B2D8B1DF17}"/>
    <cellStyle name="Milliers 2 7 3 2 2" xfId="612" xr:uid="{94F1A2DD-930C-48D5-860D-823634B2A0B3}"/>
    <cellStyle name="Milliers 2 7 3 3" xfId="420" xr:uid="{514D64C7-544E-482D-9933-26AA96ACD4A6}"/>
    <cellStyle name="Milliers 2 7 4" xfId="291" xr:uid="{52E3F34B-012E-45F2-B383-19AE3E4AC795}"/>
    <cellStyle name="Milliers 2 7 4 2" xfId="600" xr:uid="{0661EBAB-17A0-4A13-81F3-10AF9A03174B}"/>
    <cellStyle name="Milliers 2 7 5" xfId="409" xr:uid="{64DDE22E-3502-475F-9B36-DA740C98BF86}"/>
    <cellStyle name="Milliers 2 8" xfId="133" xr:uid="{4E856189-B066-4FDE-8837-861B09EB5ADA}"/>
    <cellStyle name="Milliers 2 8 2" xfId="221" xr:uid="{5DA982B2-A29F-4CD3-8057-6CE3483D8DC0}"/>
    <cellStyle name="Milliers 2 8 2 2" xfId="539" xr:uid="{793F05F4-C4F1-46D9-9D10-9A623AA4E470}"/>
    <cellStyle name="Milliers 2 8 3" xfId="335" xr:uid="{E2FD203D-FCC7-471E-9920-9472AD32CCC4}"/>
    <cellStyle name="Milliers 2 8 3 2" xfId="643" xr:uid="{3366F8EC-0340-4227-BE43-A4732BAEDB1D}"/>
    <cellStyle name="Milliers 2 8 4" xfId="451" xr:uid="{778A8A03-513F-44DF-AD25-B6128EF20B24}"/>
    <cellStyle name="Milliers 2 8 5" xfId="509" xr:uid="{A37B1A05-E759-44A2-AAD1-FA817576D0DA}"/>
    <cellStyle name="Milliers 2 9" xfId="183" xr:uid="{3DA27A88-0E0F-4583-808D-8D9485500037}"/>
    <cellStyle name="Milliers 2 9 2" xfId="300" xr:uid="{484E7F30-CA6E-403B-BEC7-0E3809152859}"/>
    <cellStyle name="Milliers 2 9 2 2" xfId="609" xr:uid="{F38E7A7E-5F27-429D-901F-0BBD926DFD2C}"/>
    <cellStyle name="Milliers 2 9 3" xfId="417" xr:uid="{AF4C9DCC-0D38-4290-AD8C-4F90F76C4861}"/>
    <cellStyle name="Milliers 2_ANNÉE 2015" xfId="1091" xr:uid="{394AB062-4A12-4EE6-A254-6701B74D7CF0}"/>
    <cellStyle name="Milliers 20" xfId="718" xr:uid="{98DD9F8A-8B81-4AB8-94E8-ECE51E1FDD1F}"/>
    <cellStyle name="Milliers 21" xfId="2785" xr:uid="{26F71DC6-A501-41F3-A316-FFDEE03AF6A0}"/>
    <cellStyle name="Milliers 22" xfId="2787" xr:uid="{2EB288E7-5F9A-4E6B-9C6A-AB03F77C2ECB}"/>
    <cellStyle name="Milliers 23" xfId="2789" xr:uid="{F5CBA251-A708-46F8-A9C3-2254253704B3}"/>
    <cellStyle name="Milliers 23 2" xfId="3378" xr:uid="{1F080E02-4479-4AEB-9832-DFEF9A62D538}"/>
    <cellStyle name="Milliers 24" xfId="3101" xr:uid="{92633E58-E794-4F95-B9FA-324CA7671078}"/>
    <cellStyle name="Milliers 25" xfId="48" xr:uid="{CAF9F3CB-1790-43C5-B189-1EDF3A9036E4}"/>
    <cellStyle name="Milliers 3" xfId="81" xr:uid="{403E5564-7E01-459B-BED6-77FBA7EC9203}"/>
    <cellStyle name="Milliers 3 10" xfId="685" xr:uid="{133A9080-990A-4343-9BA0-1192C87AB5A4}"/>
    <cellStyle name="Milliers 3 11" xfId="1092" xr:uid="{84AC154E-EAC0-4A5F-A630-A193D34C3C82}"/>
    <cellStyle name="Milliers 3 2" xfId="89" xr:uid="{8BF3202C-A598-459E-8A1F-2D35D462FA2D}"/>
    <cellStyle name="Milliers 3 2 2" xfId="119" xr:uid="{647AF0A1-79C6-4C4C-A988-00832659CD6C}"/>
    <cellStyle name="Milliers 3 2 2 2" xfId="237" xr:uid="{E03FF58B-D32E-4A6A-976A-62DD3FF0A876}"/>
    <cellStyle name="Milliers 3 2 2 2 2" xfId="553" xr:uid="{C8D61ADA-9A00-43C3-A4E7-AED2161CFB06}"/>
    <cellStyle name="Milliers 3 2 2 3" xfId="350" xr:uid="{2EB54900-2764-445F-9E43-B3D572A50D45}"/>
    <cellStyle name="Milliers 3 2 2 3 2" xfId="658" xr:uid="{F612F6F7-B1F0-4A01-9A05-507C6D96649B}"/>
    <cellStyle name="Milliers 3 2 2 4" xfId="465" xr:uid="{4E43F292-5C34-4DF1-AFD3-25D85FFCE97A}"/>
    <cellStyle name="Milliers 3 2 3" xfId="153" xr:uid="{306BB8D7-4573-45B7-A5C8-048C417E7E89}"/>
    <cellStyle name="Milliers 3 2 3 2" xfId="319" xr:uid="{BE3A742A-4EA1-4BE2-86C8-B6DBDF0B5BD2}"/>
    <cellStyle name="Milliers 3 2 3 2 2" xfId="628" xr:uid="{AF3C169B-8CB0-45DC-86E6-3330F2E7824B}"/>
    <cellStyle name="Milliers 3 2 3 3" xfId="436" xr:uid="{07CB7B0B-0632-4813-AE59-F286382FCC09}"/>
    <cellStyle name="Milliers 3 2 4" xfId="202" xr:uid="{6CBF4EEB-63B4-4FF4-BB44-7F97C05547D3}"/>
    <cellStyle name="Milliers 3 2 4 2" xfId="525" xr:uid="{4026C433-F65A-47D1-B884-4315455A71FC}"/>
    <cellStyle name="Milliers 3 2 5" xfId="277" xr:uid="{BA905B64-C322-4C55-A9A3-A6FE49555B8D}"/>
    <cellStyle name="Milliers 3 2 5 2" xfId="586" xr:uid="{11252C09-97B1-41D8-BDF9-4FEB09906681}"/>
    <cellStyle name="Milliers 3 2 6" xfId="391" xr:uid="{50E25F17-9AE3-49D1-BE60-E16FDFD3908E}"/>
    <cellStyle name="Milliers 3 2 7" xfId="504" xr:uid="{344C216B-DAD8-4BAD-A11A-ED47072D2296}"/>
    <cellStyle name="Milliers 3 2 8" xfId="697" xr:uid="{9D028A00-66B7-4135-AB09-1B6289E25CD8}"/>
    <cellStyle name="Milliers 3 2 9" xfId="2086" xr:uid="{3CA86122-08FF-46D0-BF35-B55E5880AB0C}"/>
    <cellStyle name="Milliers 3 3" xfId="97" xr:uid="{22A7C8E0-4C39-4A8A-865D-9B0FF5862367}"/>
    <cellStyle name="Milliers 3 3 2" xfId="127" xr:uid="{4CB8968D-7C28-495F-8777-D5900CBBD018}"/>
    <cellStyle name="Milliers 3 3 2 2" xfId="245" xr:uid="{317131A9-0F6B-45DA-9298-564D08CDFCCA}"/>
    <cellStyle name="Milliers 3 3 2 2 2" xfId="561" xr:uid="{A2FAE774-1774-498F-A2DC-CF4B0D7E5C6A}"/>
    <cellStyle name="Milliers 3 3 2 3" xfId="358" xr:uid="{76812E5A-ACCA-4251-8A2E-2783D96625F8}"/>
    <cellStyle name="Milliers 3 3 2 3 2" xfId="666" xr:uid="{111E693B-FBE5-419D-B22B-E67213548578}"/>
    <cellStyle name="Milliers 3 3 2 4" xfId="473" xr:uid="{D104EE75-CC83-4583-B251-C78BD10F27F1}"/>
    <cellStyle name="Milliers 3 3 3" xfId="161" xr:uid="{81A5C45C-FA9C-4CE9-A0A9-EF32957B68F9}"/>
    <cellStyle name="Milliers 3 3 3 2" xfId="327" xr:uid="{F7D50558-00DE-4D81-828A-22ABE106F49E}"/>
    <cellStyle name="Milliers 3 3 3 2 2" xfId="636" xr:uid="{F96C4B7F-C806-4C83-87F9-AE56257DF519}"/>
    <cellStyle name="Milliers 3 3 3 3" xfId="444" xr:uid="{F27BA863-A1A2-4AB0-83F6-4FD6DFA8E789}"/>
    <cellStyle name="Milliers 3 3 4" xfId="210" xr:uid="{4A012507-92FB-4F5C-BBD1-5B55BB79DD7D}"/>
    <cellStyle name="Milliers 3 3 4 2" xfId="533" xr:uid="{06B904CE-9D7E-423D-88E3-DC465175294B}"/>
    <cellStyle name="Milliers 3 3 5" xfId="285" xr:uid="{E3E1A4C1-50D1-414A-A559-6C69A075E754}"/>
    <cellStyle name="Milliers 3 3 5 2" xfId="594" xr:uid="{1E5A4A54-8359-42EA-97A7-39EDF8C0C317}"/>
    <cellStyle name="Milliers 3 3 6" xfId="403" xr:uid="{A9EF54BF-8E1F-4919-ACEA-D46EA99D58FD}"/>
    <cellStyle name="Milliers 3 4" xfId="111" xr:uid="{53ABB0BC-722C-45C6-939C-363D861A1997}"/>
    <cellStyle name="Milliers 3 4 2" xfId="254" xr:uid="{FF82D1A9-AEE9-44B5-8A8E-6CA8FF8368B6}"/>
    <cellStyle name="Milliers 3 4 2 2" xfId="367" xr:uid="{8F15AE5F-3E84-4E21-B51C-6D95284A5D5D}"/>
    <cellStyle name="Milliers 3 4 2 2 2" xfId="674" xr:uid="{FD18D4F7-827C-4DA0-9446-8647A317833A}"/>
    <cellStyle name="Milliers 3 4 2 3" xfId="482" xr:uid="{730DC519-2713-4B31-93C0-DC5D6E66F24C}"/>
    <cellStyle name="Milliers 3 4 3" xfId="296" xr:uid="{8A26B7DD-D0AA-4104-BBF6-F3610BEAAE24}"/>
    <cellStyle name="Milliers 3 4 3 2" xfId="605" xr:uid="{BEF0BE3B-0F3B-4C35-AD20-48762ACE8EDB}"/>
    <cellStyle name="Milliers 3 4 4" xfId="414" xr:uid="{3A4E3830-D5D9-4DB7-86DA-B1E8ED8C25E0}"/>
    <cellStyle name="Milliers 3 5" xfId="145" xr:uid="{EE0F1AB1-868B-47CB-918A-FD36AE94FA76}"/>
    <cellStyle name="Milliers 3 5 2" xfId="229" xr:uid="{3B44F737-AA93-432F-9072-7059CCDADACB}"/>
    <cellStyle name="Milliers 3 5 2 2" xfId="545" xr:uid="{2D08D565-FCBB-4127-ABD1-27C2852217C6}"/>
    <cellStyle name="Milliers 3 5 3" xfId="342" xr:uid="{A13C616F-892E-4419-9803-4BEF5507FD2E}"/>
    <cellStyle name="Milliers 3 5 3 2" xfId="650" xr:uid="{300EAFD1-5511-4E2F-8094-A19F7E6EAF30}"/>
    <cellStyle name="Milliers 3 5 4" xfId="457" xr:uid="{51C137B6-1804-4C10-AE44-9AF47690207D}"/>
    <cellStyle name="Milliers 3 6" xfId="194" xr:uid="{4B417665-8522-4C5E-855E-27BBBD729C6F}"/>
    <cellStyle name="Milliers 3 6 2" xfId="311" xr:uid="{BCF90E3D-B5F8-4419-B61A-B677BDC40712}"/>
    <cellStyle name="Milliers 3 6 2 2" xfId="620" xr:uid="{AC38A886-7AAB-40C0-BB0E-785ACDB6E31F}"/>
    <cellStyle name="Milliers 3 6 3" xfId="428" xr:uid="{EE55FBEF-D45A-464A-B46D-4FD60732FEB1}"/>
    <cellStyle name="Milliers 3 7" xfId="269" xr:uid="{43BCDAAE-B1B7-499E-9652-33FB88A6302F}"/>
    <cellStyle name="Milliers 3 7 2" xfId="578" xr:uid="{977C4D8F-1017-4F86-A9F6-0CF11ADD536D}"/>
    <cellStyle name="Milliers 3 8" xfId="378" xr:uid="{D1269665-1C13-423C-8B21-3AFD67EADF45}"/>
    <cellStyle name="Milliers 3 9" xfId="498" xr:uid="{CB255950-0A59-40BC-9DEE-0ACC60FAEB0E}"/>
    <cellStyle name="Milliers 4" xfId="55" xr:uid="{F92500C0-4174-49E6-9478-64B92881117A}"/>
    <cellStyle name="Milliers 4 10" xfId="687" xr:uid="{F7710113-3085-423A-8F46-2E297E2E1D22}"/>
    <cellStyle name="Milliers 4 11" xfId="711" xr:uid="{ABB0110A-1124-45A1-AD50-F2300EBC0882}"/>
    <cellStyle name="Milliers 4 12" xfId="1093" xr:uid="{87962003-2594-4546-AA4C-7E005475CEAF}"/>
    <cellStyle name="Milliers 4 2" xfId="71" xr:uid="{A0781532-7398-403A-AECA-9237D4B3006E}"/>
    <cellStyle name="Milliers 4 2 2" xfId="256" xr:uid="{49DEABE2-8517-43D2-B09C-6CBBFFA9597F}"/>
    <cellStyle name="Milliers 4 2 2 2" xfId="368" xr:uid="{5BE1EEF2-0624-4B09-B707-EF81CDEBA54F}"/>
    <cellStyle name="Milliers 4 2 2 2 2" xfId="675" xr:uid="{560280EF-5592-4578-AFE4-A10DDC8979C7}"/>
    <cellStyle name="Milliers 4 2 2 3" xfId="483" xr:uid="{A4960C67-262E-4EE5-B453-8686913092B6}"/>
    <cellStyle name="Milliers 4 2 3" xfId="297" xr:uid="{5EF8AFAD-FD18-4C84-96A7-F22FB6D06216}"/>
    <cellStyle name="Milliers 4 2 3 2" xfId="606" xr:uid="{F6EBCBD0-02D8-457F-BA3E-758C333EED69}"/>
    <cellStyle name="Milliers 4 2 4" xfId="392" xr:uid="{9A2C5E75-FDAA-4FC6-8156-28A9ABBCF3F0}"/>
    <cellStyle name="Milliers 4 2 5" xfId="491" xr:uid="{184F3E11-6FA4-4AC5-B60E-E87DCF1580B9}"/>
    <cellStyle name="Milliers 4 2 6" xfId="698" xr:uid="{E0669CA7-65FE-46F1-99E7-960E945DF554}"/>
    <cellStyle name="Milliers 4 2 7" xfId="2087" xr:uid="{80FCC9D4-3300-437D-953C-2ECB348EC41D}"/>
    <cellStyle name="Milliers 4 3" xfId="104" xr:uid="{409606EC-F41E-49E4-865D-4B2CCE92885E}"/>
    <cellStyle name="Milliers 4 3 2" xfId="225" xr:uid="{1A48479C-7EE1-402F-B710-3E88EE18CFEB}"/>
    <cellStyle name="Milliers 4 3 2 2" xfId="541" xr:uid="{B9F2A021-FCA7-4E3B-9063-CDB6CE7ACB67}"/>
    <cellStyle name="Milliers 4 3 3" xfId="338" xr:uid="{A69CFA64-739C-457C-AB1F-8721D5F231F8}"/>
    <cellStyle name="Milliers 4 3 3 2" xfId="646" xr:uid="{9998FCF5-06D8-4192-A2B5-C5A124AA5E52}"/>
    <cellStyle name="Milliers 4 3 4" xfId="454" xr:uid="{204D52B2-D378-4F84-AC75-2AED3B86223B}"/>
    <cellStyle name="Milliers 4 4" xfId="138" xr:uid="{7801BC5E-ECC1-4874-8B4A-DC3F61D05103}"/>
    <cellStyle name="Milliers 4 4 2" xfId="304" xr:uid="{3B7AF0CE-D052-4AA7-B732-D3587D897B7C}"/>
    <cellStyle name="Milliers 4 4 2 2" xfId="613" xr:uid="{0B0BD759-DEAA-4ECF-ABF9-6E1642BC2B15}"/>
    <cellStyle name="Milliers 4 4 3" xfId="421" xr:uid="{E88954E6-A42A-47E1-BA6B-96263DB1AEAD}"/>
    <cellStyle name="Milliers 4 5" xfId="187" xr:uid="{B24E7C51-6A9B-40B1-86F9-9FE7738B2390}"/>
    <cellStyle name="Milliers 4 5 2" xfId="512" xr:uid="{1944CEED-5BC1-414E-9A23-7E0C814541E3}"/>
    <cellStyle name="Milliers 4 6" xfId="262" xr:uid="{C256D3F6-7A39-4384-91D2-C4ECF12AE9C1}"/>
    <cellStyle name="Milliers 4 6 2" xfId="571" xr:uid="{D1E3F63C-F3C1-44B7-AD8D-A3C84D6970EF}"/>
    <cellStyle name="Milliers 4 7" xfId="380" xr:uid="{6DF14415-6A4C-4395-8F81-6AECF6F5B076}"/>
    <cellStyle name="Milliers 4 7 2" xfId="677" xr:uid="{8B805DBB-8FA6-4102-A513-8C3F0C4E8D1C}"/>
    <cellStyle name="Milliers 4 8" xfId="395" xr:uid="{E0CFEADD-995A-46C1-BD9E-5B1BEF45C0CA}"/>
    <cellStyle name="Milliers 4 9" xfId="485" xr:uid="{1FE0B714-BCA3-450B-BE12-AEF020A32B84}"/>
    <cellStyle name="Milliers 5" xfId="82" xr:uid="{9BFAB56A-713E-489F-B960-9F027DB2AD57}"/>
    <cellStyle name="Milliers 5 10" xfId="1094" xr:uid="{CE278879-C91B-46D7-BB13-79870F44FB40}"/>
    <cellStyle name="Milliers 5 2" xfId="112" xr:uid="{2E0A6823-5E7D-471B-B1FE-9DD7B2495648}"/>
    <cellStyle name="Milliers 5 2 2" xfId="230" xr:uid="{D798E703-94C0-4FCC-8F9F-E1C7579DE1E3}"/>
    <cellStyle name="Milliers 5 2 2 2" xfId="546" xr:uid="{CE81B18A-78C8-4C17-B495-0F77E7E4EB9E}"/>
    <cellStyle name="Milliers 5 2 3" xfId="343" xr:uid="{1BD469D6-E132-4250-9FCE-454454AFA3C2}"/>
    <cellStyle name="Milliers 5 2 3 2" xfId="651" xr:uid="{F25DEE8D-2F62-4C82-8DCD-87518F989D5B}"/>
    <cellStyle name="Milliers 5 2 4" xfId="394" xr:uid="{F1556B29-A7CC-485C-9DA5-E2DA0DD645E8}"/>
    <cellStyle name="Milliers 5 2 5" xfId="458" xr:uid="{F1299C2A-A956-41E9-A7D7-AB10693E15FF}"/>
    <cellStyle name="Milliers 5 2 6" xfId="508" xr:uid="{E7B1E695-6312-4EC0-BEFB-E8B78F7B6BDB}"/>
    <cellStyle name="Milliers 5 2 7" xfId="700" xr:uid="{D39C9288-E697-4D1F-A523-AA2C9FD33EAE}"/>
    <cellStyle name="Milliers 5 2 8" xfId="2088" xr:uid="{0D8553FC-B918-4A27-9E73-62BD442A6D16}"/>
    <cellStyle name="Milliers 5 3" xfId="146" xr:uid="{77AC6BB3-1033-4AF0-8961-5267B938891F}"/>
    <cellStyle name="Milliers 5 3 2" xfId="312" xr:uid="{3EB4BF08-C945-462E-8922-5DD58C15E358}"/>
    <cellStyle name="Milliers 5 3 2 2" xfId="621" xr:uid="{BB6AA95C-3B02-4DF0-B1AD-94D5AFE98939}"/>
    <cellStyle name="Milliers 5 3 3" xfId="429" xr:uid="{0994A9F0-7E7D-42EE-AA5F-4F54F0F3AF08}"/>
    <cellStyle name="Milliers 5 4" xfId="195" xr:uid="{E9C5CC0B-CB94-459D-AEB6-CC530AE3A231}"/>
    <cellStyle name="Milliers 5 4 2" xfId="518" xr:uid="{C64849AE-2F0B-44D0-AF13-65B4AD1970F0}"/>
    <cellStyle name="Milliers 5 5" xfId="270" xr:uid="{A9E39840-948D-4198-998C-7E480519AFC2}"/>
    <cellStyle name="Milliers 5 5 2" xfId="579" xr:uid="{B7B06E44-8596-4047-894D-884F6BAD0814}"/>
    <cellStyle name="Milliers 5 6" xfId="382" xr:uid="{274272AC-2EE8-4A57-9475-170C3225690F}"/>
    <cellStyle name="Milliers 5 7" xfId="371" xr:uid="{37C60233-1311-44CB-ACA8-1811730F7F59}"/>
    <cellStyle name="Milliers 5 8" xfId="499" xr:uid="{C9B93BAC-2690-4CDE-A564-D00ABF70D689}"/>
    <cellStyle name="Milliers 5 9" xfId="689" xr:uid="{B0A5A00F-BB44-4094-A26F-CDE2ADDC0968}"/>
    <cellStyle name="Milliers 6" xfId="90" xr:uid="{4EE2877C-2D23-452E-A517-C5982D2D6BF5}"/>
    <cellStyle name="Milliers 6 2" xfId="120" xr:uid="{221BA9F1-11B8-4027-B19F-4CA0E3E948DA}"/>
    <cellStyle name="Milliers 6 2 2" xfId="238" xr:uid="{6897CE02-C25D-4391-B345-51EB55B3AA7F}"/>
    <cellStyle name="Milliers 6 2 2 2" xfId="554" xr:uid="{664EC7B5-8474-4863-9EA1-E9DD2E22851F}"/>
    <cellStyle name="Milliers 6 2 3" xfId="351" xr:uid="{1C18EA68-5266-43DB-82E9-D33DA76B5013}"/>
    <cellStyle name="Milliers 6 2 3 2" xfId="659" xr:uid="{575F955B-600C-479A-90FC-C5EE11AD262F}"/>
    <cellStyle name="Milliers 6 2 4" xfId="466" xr:uid="{13C2FBD5-8D00-4D8C-95DB-48BEE46A8660}"/>
    <cellStyle name="Milliers 6 2 5" xfId="2089" xr:uid="{2FB514E0-AD41-4FE1-9CE7-19A8C637A6AA}"/>
    <cellStyle name="Milliers 6 3" xfId="154" xr:uid="{85D6C7A7-3C59-4514-9A81-5A5030D0F465}"/>
    <cellStyle name="Milliers 6 3 2" xfId="320" xr:uid="{9F0ED823-115B-405C-851A-F1CCBC62F427}"/>
    <cellStyle name="Milliers 6 3 2 2" xfId="629" xr:uid="{32F3CC18-9822-4905-B965-71610E23F2E8}"/>
    <cellStyle name="Milliers 6 3 3" xfId="437" xr:uid="{03E5B9E5-E91B-42F4-8BB4-7A66EF595237}"/>
    <cellStyle name="Milliers 6 4" xfId="203" xr:uid="{C0AFFEEA-A2DE-4C37-A190-61986B36107B}"/>
    <cellStyle name="Milliers 6 4 2" xfId="526" xr:uid="{06EA8BBC-91C1-4DD0-B900-5E8A191DE126}"/>
    <cellStyle name="Milliers 6 5" xfId="278" xr:uid="{7FE3BE93-28A4-465E-B6FB-80F21237A879}"/>
    <cellStyle name="Milliers 6 5 2" xfId="587" xr:uid="{96937459-2915-41B9-86C9-3000E28F795C}"/>
    <cellStyle name="Milliers 6 6" xfId="383" xr:uid="{B5707F83-459F-463F-B897-7EAEE8EA4161}"/>
    <cellStyle name="Milliers 6 7" xfId="505" xr:uid="{AFCCB00F-26A9-42FC-A4D9-CA3311FD133D}"/>
    <cellStyle name="Milliers 6 8" xfId="690" xr:uid="{D315EE8E-C369-48B1-A4E1-49AABB43D14F}"/>
    <cellStyle name="Milliers 6 9" xfId="1095" xr:uid="{CA5CBF8C-8EBD-4106-90FE-D1C6860676AF}"/>
    <cellStyle name="Milliers 7" xfId="98" xr:uid="{450968E9-B68F-4AC6-BF99-2A2D150A4062}"/>
    <cellStyle name="Milliers 7 2" xfId="128" xr:uid="{60266C82-C9E7-4C0E-919A-500F844D4C79}"/>
    <cellStyle name="Milliers 7 2 2" xfId="246" xr:uid="{FB5287EE-C372-428B-B453-6B51976D0065}"/>
    <cellStyle name="Milliers 7 2 2 2" xfId="562" xr:uid="{FF70DF13-0D8C-4FD0-848D-4F348CBE4573}"/>
    <cellStyle name="Milliers 7 2 3" xfId="359" xr:uid="{BAF60D75-C29B-40B8-96AA-CCE1DDFA4F57}"/>
    <cellStyle name="Milliers 7 2 3 2" xfId="667" xr:uid="{0DA50F9D-B656-4755-905A-08020FD98413}"/>
    <cellStyle name="Milliers 7 2 4" xfId="474" xr:uid="{53653037-32BC-4DCD-9581-D7E4AC94F6A1}"/>
    <cellStyle name="Milliers 7 2 5" xfId="2090" xr:uid="{6163B8D5-D8A6-4CE6-9F2C-7946B8B2A4BF}"/>
    <cellStyle name="Milliers 7 3" xfId="162" xr:uid="{065EE5F0-62EB-4806-9D0A-4D524CD72C14}"/>
    <cellStyle name="Milliers 7 3 2" xfId="328" xr:uid="{B8A1A393-031E-426F-8E2F-8ED788DC03DA}"/>
    <cellStyle name="Milliers 7 3 2 2" xfId="637" xr:uid="{5CA84D59-200D-4467-9BF3-D8C4D685FC9D}"/>
    <cellStyle name="Milliers 7 3 3" xfId="445" xr:uid="{956F4A39-5DEB-4C1E-9ABD-4E1815B25D83}"/>
    <cellStyle name="Milliers 7 4" xfId="211" xr:uid="{BCECC20E-80BA-4097-852F-F149D20D595C}"/>
    <cellStyle name="Milliers 7 4 2" xfId="534" xr:uid="{A487EB67-82A2-4BB6-AA69-2635D7433F3C}"/>
    <cellStyle name="Milliers 7 5" xfId="286" xr:uid="{9885DD56-6F1C-4C6A-8799-5EC52D0A4937}"/>
    <cellStyle name="Milliers 7 5 2" xfId="595" xr:uid="{41F5BBD9-62D9-4E8F-A765-DE8CEE7B898A}"/>
    <cellStyle name="Milliers 7 6" xfId="404" xr:uid="{BFD26E78-5179-4E1E-9805-D4145AEBD433}"/>
    <cellStyle name="Milliers 7 7" xfId="1096" xr:uid="{3788317E-3AA0-4BFF-BADA-1CAAC3C6A6CE}"/>
    <cellStyle name="Milliers 8" xfId="57" xr:uid="{1FADFAA5-AF62-4121-ADFF-4662DA89306B}"/>
    <cellStyle name="Milliers 8 2" xfId="134" xr:uid="{226F7BCD-D424-4304-9CBF-F70C0438BF7F}"/>
    <cellStyle name="Milliers 8 2 2" xfId="249" xr:uid="{7B78D9CE-5A5A-4A2A-8AE6-8EB5DED5F57D}"/>
    <cellStyle name="Milliers 8 2 2 2" xfId="565" xr:uid="{E8AF48F8-68E7-4953-AEAA-3E6B54D32357}"/>
    <cellStyle name="Milliers 8 2 3" xfId="362" xr:uid="{99A45D62-ECEC-4B07-9005-39B67FA9D6B6}"/>
    <cellStyle name="Milliers 8 2 3 2" xfId="670" xr:uid="{8BBDEB9C-0A1D-4AB9-82CE-81B7ABE79B06}"/>
    <cellStyle name="Milliers 8 2 4" xfId="477" xr:uid="{77775380-AD9A-4B64-B9EF-9A5BBF7556DD}"/>
    <cellStyle name="Milliers 8 2 5" xfId="2091" xr:uid="{200500FC-9A37-4DA0-9BAE-48503AF4A6F7}"/>
    <cellStyle name="Milliers 8 3" xfId="184" xr:uid="{2ACAB7BC-61EF-4239-BA8B-BAABB43CBDE9}"/>
    <cellStyle name="Milliers 8 3 2" xfId="301" xr:uid="{587B785F-EECD-418F-8B64-7ECA20AF7E94}"/>
    <cellStyle name="Milliers 8 3 2 2" xfId="610" xr:uid="{58E8ECE3-9F02-431B-AA20-06DDA3586355}"/>
    <cellStyle name="Milliers 8 3 3" xfId="418" xr:uid="{B018C692-AAE0-43A8-91F4-CEC10E58A635}"/>
    <cellStyle name="Milliers 8 4" xfId="289" xr:uid="{94ABFB53-535C-4CC1-920E-57D5D90CB6E1}"/>
    <cellStyle name="Milliers 8 4 2" xfId="598" xr:uid="{3E919038-7F9F-4265-A80A-411BC2C3B410}"/>
    <cellStyle name="Milliers 8 5" xfId="407" xr:uid="{8486DE09-E4AE-4F8D-BD83-6FFAB2AE16F5}"/>
    <cellStyle name="Milliers 8 6" xfId="1097" xr:uid="{45BED5E5-8A90-4D63-9FA8-6B9121C2170B}"/>
    <cellStyle name="Milliers 9" xfId="101" xr:uid="{52D1D44E-D64D-467B-9FBC-712B1A2038B4}"/>
    <cellStyle name="Milliers 9 2" xfId="214" xr:uid="{3B6A6255-180A-40DF-8702-0E0E23CB1CC6}"/>
    <cellStyle name="Milliers 9 2 2" xfId="537" xr:uid="{C2B76D52-3921-41A0-A6EC-CEBF1BB9465A}"/>
    <cellStyle name="Milliers 9 2 3" xfId="2092" xr:uid="{1CBC9CBA-EA2D-42FC-A78A-72DBAF2C1946}"/>
    <cellStyle name="Milliers 9 3" xfId="332" xr:uid="{0F5D66B6-C316-4998-8D7A-181E7BC6ACD5}"/>
    <cellStyle name="Milliers 9 3 2" xfId="640" xr:uid="{EF547EBE-52A0-4C5A-A6BC-9E6EEADC2778}"/>
    <cellStyle name="Milliers 9 4" xfId="448" xr:uid="{090332B8-EADD-4D80-817A-C3C681A39087}"/>
    <cellStyle name="Milliers 9 5" xfId="506" xr:uid="{6FB3D885-1BB6-4F3E-9240-3C2028949DF3}"/>
    <cellStyle name="Milliers 9 6" xfId="1098" xr:uid="{B7F2BB41-D859-4774-B4D6-4CA235F9814D}"/>
    <cellStyle name="Monétaire 2" xfId="76" xr:uid="{498762EB-67B9-4F84-93C8-6954E99B2CBB}"/>
    <cellStyle name="Monétaire 2 10" xfId="1099" xr:uid="{D438A88B-486D-4F04-BB74-145F334D7BF5}"/>
    <cellStyle name="Monétaire 2 11" xfId="2792" xr:uid="{BE852C6D-0288-40BF-8E1D-700B759BC2DD}"/>
    <cellStyle name="Monétaire 2 11 2" xfId="3381" xr:uid="{7FE1D4A6-4A0D-4620-8026-1B77EEAD9130}"/>
    <cellStyle name="Monétaire 2 12" xfId="3106" xr:uid="{ED88CEBD-2AFE-430F-9D76-70D93BED106D}"/>
    <cellStyle name="Monétaire 2 2" xfId="107" xr:uid="{9BF4439C-E028-4E43-A20D-0E8AB58E08D4}"/>
    <cellStyle name="Monétaire 2 2 2" xfId="223" xr:uid="{9A154176-C8EA-4AE6-9BF2-129F9F2F4B6F}"/>
    <cellStyle name="Monétaire 2 2 2 2" xfId="540" xr:uid="{F7A67309-9070-47D1-A207-69D968A8AF77}"/>
    <cellStyle name="Monétaire 2 2 2 2 2" xfId="2988" xr:uid="{6FE98DF4-FA3C-4747-B1FF-E4FDC9FBF7DC}"/>
    <cellStyle name="Monétaire 2 2 2 2 2 2" xfId="3577" xr:uid="{4ACF4FF8-DE9E-41B7-AAEA-D563DD79D8A1}"/>
    <cellStyle name="Monétaire 2 2 2 2 3" xfId="3302" xr:uid="{6F9FFA52-60BE-4081-80B3-55836BA90EBA}"/>
    <cellStyle name="Monétaire 2 2 2 3" xfId="2850" xr:uid="{27669C8A-06CA-45F0-B48A-1065C6AEE47C}"/>
    <cellStyle name="Monétaire 2 2 2 3 2" xfId="3439" xr:uid="{996E34A5-B1F5-4C04-9E38-1ABEE619DF27}"/>
    <cellStyle name="Monétaire 2 2 2 4" xfId="3164" xr:uid="{23FFAB3A-F2D4-47D0-BF77-56B01076DE2B}"/>
    <cellStyle name="Monétaire 2 2 3" xfId="337" xr:uid="{A7A6CEB3-53F3-4773-8E0A-E4C1CBCAFE67}"/>
    <cellStyle name="Monétaire 2 2 3 2" xfId="645" xr:uid="{374DCBD7-68F4-4BF4-9A96-1DD8E6DB9C90}"/>
    <cellStyle name="Monétaire 2 2 3 2 2" xfId="3036" xr:uid="{DBBFC6A0-5188-4FA6-A600-87DA2DE5205F}"/>
    <cellStyle name="Monétaire 2 2 3 2 2 2" xfId="3625" xr:uid="{A86AB291-3458-44EA-A3B4-EFFB0E28A899}"/>
    <cellStyle name="Monétaire 2 2 3 2 3" xfId="3350" xr:uid="{F21A61C7-3BC1-470F-9103-3BAF053ECBE4}"/>
    <cellStyle name="Monétaire 2 2 3 3" xfId="2900" xr:uid="{EBB06F53-D5C0-4895-A954-DFE944DF92C7}"/>
    <cellStyle name="Monétaire 2 2 3 3 2" xfId="3489" xr:uid="{5DCB6983-56FD-4A25-99E3-F6CB8532F223}"/>
    <cellStyle name="Monétaire 2 2 3 4" xfId="3214" xr:uid="{548D1F6E-9257-4ADC-B054-8C1CDB0C01EC}"/>
    <cellStyle name="Monétaire 2 2 4" xfId="453" xr:uid="{481980AC-3BA4-4C82-9335-F9A7AFCE74DE}"/>
    <cellStyle name="Monétaire 2 2 4 2" xfId="2952" xr:uid="{1622F8DA-C179-4C3C-AAC2-816252982E1F}"/>
    <cellStyle name="Monétaire 2 2 4 2 2" xfId="3541" xr:uid="{D38D2652-5789-434A-B3BB-8380B3364F03}"/>
    <cellStyle name="Monétaire 2 2 4 3" xfId="3266" xr:uid="{84D3B9B0-9AB0-4DA4-816E-880FF37378EC}"/>
    <cellStyle name="Monétaire 2 2 5" xfId="2093" xr:uid="{218FDE94-4337-438C-A3BD-3701112478A2}"/>
    <cellStyle name="Monétaire 2 2 6" xfId="2806" xr:uid="{4A77F8A4-1095-4858-982A-33C9485509D4}"/>
    <cellStyle name="Monétaire 2 2 6 2" xfId="3395" xr:uid="{576361C0-6225-4CB8-838A-6C20DC21D5E8}"/>
    <cellStyle name="Monétaire 2 2 7" xfId="3120" xr:uid="{9FC2A3BA-A76D-48C8-A1FC-CB02D2D5E1D7}"/>
    <cellStyle name="Monétaire 2 3" xfId="141" xr:uid="{89A4CC9F-E841-45A1-9B67-88E10F12BB61}"/>
    <cellStyle name="Monétaire 2 3 2" xfId="307" xr:uid="{F00992D7-D920-44A0-840F-4CAEF8955C0B}"/>
    <cellStyle name="Monétaire 2 3 2 2" xfId="616" xr:uid="{A8BD6AF0-E26E-4C69-A1BA-7B33AA109401}"/>
    <cellStyle name="Monétaire 2 3 2 2 2" xfId="3022" xr:uid="{E23B73B6-E867-400F-842A-CCF89A068514}"/>
    <cellStyle name="Monétaire 2 3 2 2 2 2" xfId="3611" xr:uid="{73651020-ED9D-4403-80BE-4C278CA8A4B7}"/>
    <cellStyle name="Monétaire 2 3 2 2 3" xfId="3336" xr:uid="{273CE68D-1886-4E9D-AD17-425109B5804D}"/>
    <cellStyle name="Monétaire 2 3 2 3" xfId="2886" xr:uid="{512DB6BF-F150-4513-B1E6-EA6D954DA2E2}"/>
    <cellStyle name="Monétaire 2 3 2 3 2" xfId="3475" xr:uid="{CBDEAFF6-E84A-4FEE-8960-49F76A64CDF8}"/>
    <cellStyle name="Monétaire 2 3 2 4" xfId="3200" xr:uid="{C1E49272-10D7-4293-9E40-A4B2309B8216}"/>
    <cellStyle name="Monétaire 2 3 3" xfId="424" xr:uid="{C9839E27-E5B5-412C-844B-0AE929A2B169}"/>
    <cellStyle name="Monétaire 2 3 3 2" xfId="2938" xr:uid="{1B47979C-6504-48E2-BAC3-7825486A3E41}"/>
    <cellStyle name="Monétaire 2 3 3 2 2" xfId="3527" xr:uid="{75E13E53-E513-4A36-B544-9BCD32FFC0E2}"/>
    <cellStyle name="Monétaire 2 3 3 3" xfId="3252" xr:uid="{A5D47DDB-6515-4D8C-B006-85ECB5E9F817}"/>
    <cellStyle name="Monétaire 2 3 4" xfId="2821" xr:uid="{A37AB101-0B14-4102-A2E5-E56A22F0F7AA}"/>
    <cellStyle name="Monétaire 2 3 4 2" xfId="3410" xr:uid="{075560A0-21FC-4109-9F79-25C9BC7552DD}"/>
    <cellStyle name="Monétaire 2 3 5" xfId="3135" xr:uid="{3A6A49F7-9C3D-4556-B23B-5FD6B1B90D1D}"/>
    <cellStyle name="Monétaire 2 4" xfId="190" xr:uid="{277D7912-4796-40CA-9862-DA39983D7930}"/>
    <cellStyle name="Monétaire 2 4 2" xfId="515" xr:uid="{68CE9CEC-E6B2-448E-BA8A-B9FA7543D466}"/>
    <cellStyle name="Monétaire 2 4 2 2" xfId="2976" xr:uid="{731340AC-F6E3-48D7-85E7-E71EEB1A3CE8}"/>
    <cellStyle name="Monétaire 2 4 2 2 2" xfId="3565" xr:uid="{F7847083-892A-438A-8F40-11D1AC6BBFF2}"/>
    <cellStyle name="Monétaire 2 4 2 3" xfId="3290" xr:uid="{16D260AF-C530-463E-A4F1-98858CC5A4A8}"/>
    <cellStyle name="Monétaire 2 4 3" xfId="2836" xr:uid="{D642CA23-AC60-4841-A1B6-D794F5F76DB5}"/>
    <cellStyle name="Monétaire 2 4 3 2" xfId="3425" xr:uid="{6E10BACD-891A-407A-8D35-4EE3FB3A772D}"/>
    <cellStyle name="Monétaire 2 4 4" xfId="3150" xr:uid="{42CDA036-A2BB-43B2-AD9F-033B7E5A9892}"/>
    <cellStyle name="Monétaire 2 5" xfId="265" xr:uid="{18CE8F61-E0EF-4F82-BCBF-581FD251C9E0}"/>
    <cellStyle name="Monétaire 2 5 2" xfId="574" xr:uid="{30CF4F40-73DC-4F83-8079-770573A33279}"/>
    <cellStyle name="Monétaire 2 5 2 2" xfId="3003" xr:uid="{4362BF12-F6C2-4421-BB73-E92BBDFA7A2A}"/>
    <cellStyle name="Monétaire 2 5 2 2 2" xfId="3592" xr:uid="{AFAE71F2-5556-4D34-801E-75BC88FD8ACC}"/>
    <cellStyle name="Monétaire 2 5 2 3" xfId="3317" xr:uid="{5A9B27A9-5846-469A-BAB0-668559FBBB18}"/>
    <cellStyle name="Monétaire 2 5 3" xfId="2867" xr:uid="{4875EA60-88D2-46D5-B2D8-ACB98C15D7AC}"/>
    <cellStyle name="Monétaire 2 5 3 2" xfId="3456" xr:uid="{4CE4A278-67E2-4706-9982-397ECF4E35F9}"/>
    <cellStyle name="Monétaire 2 5 4" xfId="3181" xr:uid="{CBCE6BE1-A654-4198-B41F-A97E0FE75DF3}"/>
    <cellStyle name="Monétaire 2 6" xfId="386" xr:uid="{2DE8A5A6-7ABE-4AE6-B0C4-4B5EEB70BE56}"/>
    <cellStyle name="Monétaire 2 6 2" xfId="2921" xr:uid="{BB799C34-57BB-4DAB-90FC-0CC6975AAEC0}"/>
    <cellStyle name="Monétaire 2 6 2 2" xfId="3510" xr:uid="{17501964-C689-4A2F-BF63-E80E291AE567}"/>
    <cellStyle name="Monétaire 2 6 3" xfId="3235" xr:uid="{4E324BCA-4513-4231-846D-343F8D713491}"/>
    <cellStyle name="Monétaire 2 7" xfId="494" xr:uid="{28760F06-CC56-421B-8D85-53334C1B494D}"/>
    <cellStyle name="Monétaire 2 7 2" xfId="2968" xr:uid="{D6F1E965-828E-4624-8E45-D4D41443F1E4}"/>
    <cellStyle name="Monétaire 2 7 2 2" xfId="3557" xr:uid="{255CEBF3-997A-43F5-B157-3A1A780FC1F9}"/>
    <cellStyle name="Monétaire 2 7 3" xfId="3282" xr:uid="{D361E903-3B05-4445-B0DF-AC188E0D5C04}"/>
    <cellStyle name="Monétaire 2 8" xfId="693" xr:uid="{635AF7BC-63C3-48E2-969B-903ED5510D23}"/>
    <cellStyle name="Monétaire 2 8 2" xfId="3056" xr:uid="{20F43118-09D9-4D81-B710-BA56E8A1528D}"/>
    <cellStyle name="Monétaire 2 8 2 2" xfId="3645" xr:uid="{D7FC9350-333A-4AC0-8A5A-9324A85D9B00}"/>
    <cellStyle name="Monétaire 2 8 3" xfId="3370" xr:uid="{C46611AF-228A-42E9-AA64-63767B642E6F}"/>
    <cellStyle name="Monétaire 2 9" xfId="712" xr:uid="{32EEA546-F7C6-4C34-8622-2FABE3513700}"/>
    <cellStyle name="Monétaire 3" xfId="85" xr:uid="{9EE4BC3B-7CAB-48B5-8DAB-6998CDC7851A}"/>
    <cellStyle name="Monétaire 3 2" xfId="115" xr:uid="{3ABFA41A-D9E2-4C50-8042-44A428F089C7}"/>
    <cellStyle name="Monétaire 3 2 2" xfId="233" xr:uid="{C5D743F9-72CA-4548-BB5C-0AE130CFD009}"/>
    <cellStyle name="Monétaire 3 2 2 2" xfId="549" xr:uid="{713DD3C2-1E7D-40A1-A905-C3458F7E5223}"/>
    <cellStyle name="Monétaire 3 2 2 2 2" xfId="2992" xr:uid="{8221F476-2809-4BD1-AF52-843730873027}"/>
    <cellStyle name="Monétaire 3 2 2 2 2 2" xfId="3581" xr:uid="{5511034C-B1EA-4018-87C5-CCB76D21E73E}"/>
    <cellStyle name="Monétaire 3 2 2 2 3" xfId="3306" xr:uid="{866AA07D-6E15-43AA-A235-C5E259707023}"/>
    <cellStyle name="Monétaire 3 2 2 3" xfId="2854" xr:uid="{F1885EE8-6CE5-4B0C-A62C-06147A297221}"/>
    <cellStyle name="Monétaire 3 2 2 3 2" xfId="3443" xr:uid="{BF752067-6938-4C9D-9677-EDF89AE5685F}"/>
    <cellStyle name="Monétaire 3 2 2 4" xfId="3168" xr:uid="{9DA208CE-B4DA-4994-961E-5CF828DE11EB}"/>
    <cellStyle name="Monétaire 3 2 3" xfId="346" xr:uid="{A42C2785-EFBB-40DA-BFA6-D1C40EC4B9D6}"/>
    <cellStyle name="Monétaire 3 2 3 2" xfId="654" xr:uid="{888FD524-2256-457F-9F96-8839E657A31B}"/>
    <cellStyle name="Monétaire 3 2 3 2 2" xfId="3040" xr:uid="{40D77C99-5032-441D-B367-3B53BC963E0C}"/>
    <cellStyle name="Monétaire 3 2 3 2 2 2" xfId="3629" xr:uid="{C0989D8A-0B2D-4A20-B6CA-F19EA19C5D75}"/>
    <cellStyle name="Monétaire 3 2 3 2 3" xfId="3354" xr:uid="{59D4F43E-4BA8-4404-8DFA-E192BF689CF3}"/>
    <cellStyle name="Monétaire 3 2 3 3" xfId="2904" xr:uid="{A6F5AA74-03CE-4FF8-9A81-E62AC1EA8EE7}"/>
    <cellStyle name="Monétaire 3 2 3 3 2" xfId="3493" xr:uid="{9A3A926B-8439-4623-968E-A14566CE34C6}"/>
    <cellStyle name="Monétaire 3 2 3 4" xfId="3218" xr:uid="{D3FE27B8-A3C1-48D1-A162-8E52A03DAFDD}"/>
    <cellStyle name="Monétaire 3 2 4" xfId="461" xr:uid="{4D907BEF-7CD4-4945-AAD8-48D406A974CC}"/>
    <cellStyle name="Monétaire 3 2 4 2" xfId="2955" xr:uid="{8E5B9067-0E3C-4848-B717-CF9B00011BAD}"/>
    <cellStyle name="Monétaire 3 2 4 2 2" xfId="3544" xr:uid="{EDB486F1-554F-4ADE-90D7-9D6EA04563F0}"/>
    <cellStyle name="Monétaire 3 2 4 3" xfId="3269" xr:uid="{6056DEF1-EF13-4CBB-B73B-2F64147592E3}"/>
    <cellStyle name="Monétaire 3 2 5" xfId="2094" xr:uid="{56DC0FC4-0E5E-4F94-A4B0-DD3506DC609F}"/>
    <cellStyle name="Monétaire 3 2 6" xfId="2810" xr:uid="{A28C1683-A35E-4787-BA83-0A67EF10E489}"/>
    <cellStyle name="Monétaire 3 2 6 2" xfId="3399" xr:uid="{B691DD73-149C-44FE-8240-4842487F5587}"/>
    <cellStyle name="Monétaire 3 2 7" xfId="3124" xr:uid="{261E8607-791E-4DEE-AAD9-3F871E9C3945}"/>
    <cellStyle name="Monétaire 3 3" xfId="149" xr:uid="{4349F45B-7213-409C-9486-88CC6E61ED82}"/>
    <cellStyle name="Monétaire 3 3 2" xfId="315" xr:uid="{462ACAD8-03C4-460D-8E53-0E76E4B4C705}"/>
    <cellStyle name="Monétaire 3 3 2 2" xfId="624" xr:uid="{F0E09C65-C8A7-432A-A7A3-A79B6B07F6E8}"/>
    <cellStyle name="Monétaire 3 3 2 2 2" xfId="3026" xr:uid="{742637A7-BE80-4703-871B-E053F6230FDC}"/>
    <cellStyle name="Monétaire 3 3 2 2 2 2" xfId="3615" xr:uid="{052311B3-B8C5-4A52-8B71-B57154FEEB90}"/>
    <cellStyle name="Monétaire 3 3 2 2 3" xfId="3340" xr:uid="{C0A90247-91B4-4CEE-AC24-622FF7BED906}"/>
    <cellStyle name="Monétaire 3 3 2 3" xfId="2890" xr:uid="{169D15DB-A2D9-4961-AC41-A77F926F56F1}"/>
    <cellStyle name="Monétaire 3 3 2 3 2" xfId="3479" xr:uid="{C6694EF0-1887-4C63-A0D0-905233041BBB}"/>
    <cellStyle name="Monétaire 3 3 2 4" xfId="3204" xr:uid="{21F57DF9-2D44-4403-8435-76A145519A42}"/>
    <cellStyle name="Monétaire 3 3 3" xfId="432" xr:uid="{4E9DCA34-55B9-4F1B-8DCA-25E1C87142B0}"/>
    <cellStyle name="Monétaire 3 3 3 2" xfId="2942" xr:uid="{8165F758-0ED0-4DA7-88E3-EE136E616EAB}"/>
    <cellStyle name="Monétaire 3 3 3 2 2" xfId="3531" xr:uid="{EC2B2335-95AE-4E05-AA8C-B9CF4A2E86BA}"/>
    <cellStyle name="Monétaire 3 3 3 3" xfId="3256" xr:uid="{57B8650C-9126-4F39-ADD4-C09B077C2A08}"/>
    <cellStyle name="Monétaire 3 3 4" xfId="2825" xr:uid="{B3A1C1FD-2569-40A0-A805-99FFAE00DC90}"/>
    <cellStyle name="Monétaire 3 3 4 2" xfId="3414" xr:uid="{26A0C8A6-7ACB-47A6-BEEB-FB113BDA78E1}"/>
    <cellStyle name="Monétaire 3 3 5" xfId="3139" xr:uid="{93BC757B-0DB5-49BD-8224-EA5DB6AC8269}"/>
    <cellStyle name="Monétaire 3 4" xfId="198" xr:uid="{01B932CB-A760-4BAC-9B89-2B301A17BC88}"/>
    <cellStyle name="Monétaire 3 4 2" xfId="521" xr:uid="{5EBECB7F-BDBB-445B-AB5A-854F9937C74C}"/>
    <cellStyle name="Monétaire 3 4 2 2" xfId="2979" xr:uid="{3B8027EC-E6ED-462C-95B6-272EBA389B18}"/>
    <cellStyle name="Monétaire 3 4 2 2 2" xfId="3568" xr:uid="{2CC4FC5E-86D2-4A8A-98F3-DEE1C9A72342}"/>
    <cellStyle name="Monétaire 3 4 2 3" xfId="3293" xr:uid="{CDE3AAB8-6796-4AD9-B030-0D85ADBC6B8A}"/>
    <cellStyle name="Monétaire 3 4 3" xfId="2840" xr:uid="{198D95C4-F9B5-453E-A690-D7EFE7018C0C}"/>
    <cellStyle name="Monétaire 3 4 3 2" xfId="3429" xr:uid="{B9FD9AD8-ECC6-4820-861A-B89B4BE84A3E}"/>
    <cellStyle name="Monétaire 3 4 4" xfId="3154" xr:uid="{81905D28-E69F-4D57-954F-E409E8A8B0A0}"/>
    <cellStyle name="Monétaire 3 5" xfId="273" xr:uid="{AB5AB7BC-9C3A-4F55-B86F-05C11AB93758}"/>
    <cellStyle name="Monétaire 3 5 2" xfId="582" xr:uid="{0ED31972-A280-4C30-B62E-B6D89B355413}"/>
    <cellStyle name="Monétaire 3 5 2 2" xfId="3007" xr:uid="{8D62C73D-6E4A-4263-A1CE-B72BE93624AE}"/>
    <cellStyle name="Monétaire 3 5 2 2 2" xfId="3596" xr:uid="{638AED29-54EA-4936-B8EA-7A97869BD205}"/>
    <cellStyle name="Monétaire 3 5 2 3" xfId="3321" xr:uid="{F12799B2-122C-4324-AA4E-A5997010DA94}"/>
    <cellStyle name="Monétaire 3 5 3" xfId="2871" xr:uid="{6F44616A-645E-46CA-94A2-2D5AF0BE75CF}"/>
    <cellStyle name="Monétaire 3 5 3 2" xfId="3460" xr:uid="{36095F95-46DF-498C-BA9F-665994F61519}"/>
    <cellStyle name="Monétaire 3 5 4" xfId="3185" xr:uid="{ACFF3571-9404-401F-895B-0A1572AA2DB9}"/>
    <cellStyle name="Monétaire 3 6" xfId="396" xr:uid="{73030DAF-6916-4D4D-B235-8489F6B71205}"/>
    <cellStyle name="Monétaire 3 6 2" xfId="2925" xr:uid="{B71410FA-C031-41AD-9240-12B607DD6C33}"/>
    <cellStyle name="Monétaire 3 6 2 2" xfId="3514" xr:uid="{ACD9F03D-F9F3-4757-A96A-00DF7AC9059B}"/>
    <cellStyle name="Monétaire 3 6 3" xfId="3239" xr:uid="{BF2E5C4A-C668-4B2F-B15E-73193174F294}"/>
    <cellStyle name="Monétaire 3 7" xfId="1100" xr:uid="{5CFE6B3C-6DAC-46E9-8A84-D0BCD4F92DC9}"/>
    <cellStyle name="Monétaire 3 8" xfId="2796" xr:uid="{8925B078-E57B-46C4-A32D-50D889F56B54}"/>
    <cellStyle name="Monétaire 3 8 2" xfId="3385" xr:uid="{76A671F1-247C-4D8D-8450-8B279A90912F}"/>
    <cellStyle name="Monétaire 3 9" xfId="3110" xr:uid="{D597BEA4-F732-4E07-87F9-CC70B356CB0D}"/>
    <cellStyle name="Monétaire 4" xfId="93" xr:uid="{DC3BDAA6-8608-43D6-8B2A-72393F55A071}"/>
    <cellStyle name="Monétaire 4 2" xfId="123" xr:uid="{95F96DD8-CAFB-4985-91E3-F613FFDAFD44}"/>
    <cellStyle name="Monétaire 4 2 2" xfId="241" xr:uid="{EE6C96FB-A8C8-46F2-9484-6B0BDDB80317}"/>
    <cellStyle name="Monétaire 4 2 2 2" xfId="557" xr:uid="{E150E9B8-84E5-4B01-BB90-F60CB2D2FCC2}"/>
    <cellStyle name="Monétaire 4 2 2 2 2" xfId="2996" xr:uid="{810564F4-0912-44E7-A106-AD33B0DFB4CC}"/>
    <cellStyle name="Monétaire 4 2 2 2 2 2" xfId="3585" xr:uid="{CC68A885-C5E2-4813-BDFA-CACA46C1A785}"/>
    <cellStyle name="Monétaire 4 2 2 2 3" xfId="3310" xr:uid="{FB8F084C-85D4-4415-AA53-F666FD3BEE56}"/>
    <cellStyle name="Monétaire 4 2 2 3" xfId="2858" xr:uid="{CAA25C5D-31FD-4455-AA13-518A69ECA35A}"/>
    <cellStyle name="Monétaire 4 2 2 3 2" xfId="3447" xr:uid="{7155E0EC-6770-4C36-BD5A-91EB50F1D612}"/>
    <cellStyle name="Monétaire 4 2 2 4" xfId="3172" xr:uid="{12080BBB-8849-4609-8146-3E594FDC19B8}"/>
    <cellStyle name="Monétaire 4 2 3" xfId="354" xr:uid="{FE627AFA-8785-4BFF-BC93-9B0BFD1C9E65}"/>
    <cellStyle name="Monétaire 4 2 3 2" xfId="662" xr:uid="{B29545B7-298E-4EFF-9AB8-A8A359F01B13}"/>
    <cellStyle name="Monétaire 4 2 3 2 2" xfId="3044" xr:uid="{52B57089-D575-442C-8695-957FA4E657F2}"/>
    <cellStyle name="Monétaire 4 2 3 2 2 2" xfId="3633" xr:uid="{A6627433-C10B-48B6-A0C2-60070BB0FEEC}"/>
    <cellStyle name="Monétaire 4 2 3 2 3" xfId="3358" xr:uid="{04DD2F64-BF4E-4723-B126-616B417D883A}"/>
    <cellStyle name="Monétaire 4 2 3 3" xfId="2908" xr:uid="{1D5D21AA-5E4C-4B69-997E-C3DF604E9591}"/>
    <cellStyle name="Monétaire 4 2 3 3 2" xfId="3497" xr:uid="{A3C01787-F803-4778-9E61-374A26D76932}"/>
    <cellStyle name="Monétaire 4 2 3 4" xfId="3222" xr:uid="{5C4C055F-8AC8-46D9-B985-7B18F4BE0428}"/>
    <cellStyle name="Monétaire 4 2 4" xfId="469" xr:uid="{8C60D9CE-0FE8-4D5B-891A-543CFC6DFEF3}"/>
    <cellStyle name="Monétaire 4 2 4 2" xfId="2959" xr:uid="{B8DEE2FF-D9F5-4F47-B1E3-8F8867C1724B}"/>
    <cellStyle name="Monétaire 4 2 4 2 2" xfId="3548" xr:uid="{1880E6B1-2CD9-47BB-A0AF-4B4770375ADC}"/>
    <cellStyle name="Monétaire 4 2 4 3" xfId="3273" xr:uid="{0C9D3380-255A-4A51-A1C5-1E26566126C6}"/>
    <cellStyle name="Monétaire 4 2 5" xfId="2814" xr:uid="{FF249F30-ECD1-44B5-8BF2-8AB85354F1B7}"/>
    <cellStyle name="Monétaire 4 2 5 2" xfId="3403" xr:uid="{43E4ADD1-B431-4721-A8BF-DD0EB1BB6D0F}"/>
    <cellStyle name="Monétaire 4 2 6" xfId="3128" xr:uid="{6F095899-0518-41C8-899E-4FBA028F1313}"/>
    <cellStyle name="Monétaire 4 3" xfId="157" xr:uid="{7294D56C-BDF1-4B5D-8B3F-B17507DA63B3}"/>
    <cellStyle name="Monétaire 4 3 2" xfId="323" xr:uid="{E9245CE0-8DDC-4BF8-82C5-A40F94A26B3D}"/>
    <cellStyle name="Monétaire 4 3 2 2" xfId="632" xr:uid="{A08DC061-914C-4A03-90F4-E5A7E395F5AA}"/>
    <cellStyle name="Monétaire 4 3 2 2 2" xfId="3030" xr:uid="{CA4669F3-1A6B-4C74-8CB1-C3CDE2E56D46}"/>
    <cellStyle name="Monétaire 4 3 2 2 2 2" xfId="3619" xr:uid="{E32BD6F4-81D7-42B7-AAE8-57AEC1ABE15E}"/>
    <cellStyle name="Monétaire 4 3 2 2 3" xfId="3344" xr:uid="{66770546-32CF-4446-A040-1E08C8F269B8}"/>
    <cellStyle name="Monétaire 4 3 2 3" xfId="2894" xr:uid="{9C142F64-813F-4462-96CB-553C01C04AE6}"/>
    <cellStyle name="Monétaire 4 3 2 3 2" xfId="3483" xr:uid="{C649CBB5-0AAE-4643-8DA5-E027AC5DF0FA}"/>
    <cellStyle name="Monétaire 4 3 2 4" xfId="3208" xr:uid="{2760853F-0664-4270-98D4-157B075CC790}"/>
    <cellStyle name="Monétaire 4 3 3" xfId="440" xr:uid="{BF50B065-A8D7-44FE-BD87-32B50F28FD69}"/>
    <cellStyle name="Monétaire 4 3 3 2" xfId="2946" xr:uid="{59C6F273-6074-461B-88C6-94CA85A17662}"/>
    <cellStyle name="Monétaire 4 3 3 2 2" xfId="3535" xr:uid="{2296A7BB-A76D-4BB0-A41F-91458CC90477}"/>
    <cellStyle name="Monétaire 4 3 3 3" xfId="3260" xr:uid="{4436064D-702F-42D1-9A5E-B2101ECE5120}"/>
    <cellStyle name="Monétaire 4 3 4" xfId="2829" xr:uid="{5EE459E4-8C25-444D-8446-6CC9630A1F3C}"/>
    <cellStyle name="Monétaire 4 3 4 2" xfId="3418" xr:uid="{B3857A1A-76C5-4D51-9291-3ED613363863}"/>
    <cellStyle name="Monétaire 4 3 5" xfId="3143" xr:uid="{40AC70FF-6601-4FEA-81E8-62153A922106}"/>
    <cellStyle name="Monétaire 4 4" xfId="206" xr:uid="{30AAF172-B747-41B4-B214-5095819385F4}"/>
    <cellStyle name="Monétaire 4 4 2" xfId="529" xr:uid="{714F7B33-E96D-42E4-9798-665E60AD3621}"/>
    <cellStyle name="Monétaire 4 4 2 2" xfId="2983" xr:uid="{B9B3FC95-6D0C-4B47-8DBE-0546D99E8EDB}"/>
    <cellStyle name="Monétaire 4 4 2 2 2" xfId="3572" xr:uid="{0ABD4CD3-65E0-421A-877B-8D972D113B64}"/>
    <cellStyle name="Monétaire 4 4 2 3" xfId="3297" xr:uid="{EFF4CB1A-80A4-4316-82CE-E6D93A6B9E2E}"/>
    <cellStyle name="Monétaire 4 4 3" xfId="2844" xr:uid="{45F0043D-A834-4AB6-A3DB-05735BC8CFE4}"/>
    <cellStyle name="Monétaire 4 4 3 2" xfId="3433" xr:uid="{4E4B9E8F-1AC0-4F1C-A410-DE117C0B8A8C}"/>
    <cellStyle name="Monétaire 4 4 4" xfId="3158" xr:uid="{740CEEFF-6E4E-4EEF-B7E9-F8D02A1B1737}"/>
    <cellStyle name="Monétaire 4 5" xfId="281" xr:uid="{E654D169-5301-454A-8398-0B101C2A4205}"/>
    <cellStyle name="Monétaire 4 5 2" xfId="590" xr:uid="{3CC142CD-FB01-4DA5-B917-8D7B4C01BD9E}"/>
    <cellStyle name="Monétaire 4 5 2 2" xfId="3011" xr:uid="{CEDB1E6F-4B72-4EEB-94F5-2528AE52C544}"/>
    <cellStyle name="Monétaire 4 5 2 2 2" xfId="3600" xr:uid="{43F1A866-AEC9-46D9-B370-D0CACFF393FC}"/>
    <cellStyle name="Monétaire 4 5 2 3" xfId="3325" xr:uid="{734272F1-886F-4793-83C2-04022B10F2C9}"/>
    <cellStyle name="Monétaire 4 5 3" xfId="2875" xr:uid="{0EB28BBB-B4FC-47FD-B325-279AADEBF439}"/>
    <cellStyle name="Monétaire 4 5 3 2" xfId="3464" xr:uid="{2E9D3A92-CC98-492B-BDD8-C2F56C466A02}"/>
    <cellStyle name="Monétaire 4 5 4" xfId="3189" xr:uid="{5074CA08-6616-4AA5-AF3C-9ED52744A78A}"/>
    <cellStyle name="Monétaire 4 6" xfId="399" xr:uid="{532FF051-DA4C-40C7-BF38-4AE838A20ADF}"/>
    <cellStyle name="Monétaire 4 6 2" xfId="2927" xr:uid="{8698EBB8-3F11-4989-8646-008692E7743E}"/>
    <cellStyle name="Monétaire 4 6 2 2" xfId="3516" xr:uid="{D81ADFB4-64F0-4645-B1EE-BE708764E1D0}"/>
    <cellStyle name="Monétaire 4 6 3" xfId="3241" xr:uid="{976D9CEA-0D8F-475A-9E00-5BBAF7624B7B}"/>
    <cellStyle name="Monétaire 4 7" xfId="2800" xr:uid="{F5A13B9C-E4D8-4DAC-AB2D-94095CCDA112}"/>
    <cellStyle name="Monétaire 4 7 2" xfId="3389" xr:uid="{9ACDE77D-195C-4712-8BDD-BA968CB1A4A1}"/>
    <cellStyle name="Monétaire 4 8" xfId="3114" xr:uid="{9E98AF16-9376-45D8-A851-3708483D7181}"/>
    <cellStyle name="Monétaire 5" xfId="252" xr:uid="{C25D24CC-A37A-46C6-B930-C52DB3EAC24B}"/>
    <cellStyle name="Monétaire 5 2" xfId="365" xr:uid="{6F870668-A8A8-48E4-AB12-E97F155E2E3C}"/>
    <cellStyle name="Monétaire 5 2 2" xfId="480" xr:uid="{D4C59F24-1FC6-4E70-8B02-19932B96A3BA}"/>
    <cellStyle name="Monétaire 5 2 2 2" xfId="2964" xr:uid="{BA688553-675E-4737-B747-148C9FAA1FF8}"/>
    <cellStyle name="Monétaire 5 2 2 2 2" xfId="3553" xr:uid="{1D7F85FC-571B-4A5B-9410-7B9B71ECE36B}"/>
    <cellStyle name="Monétaire 5 2 2 3" xfId="3278" xr:uid="{129EC87A-5A57-4312-8588-6A0472297383}"/>
    <cellStyle name="Monétaire 5 2 3" xfId="2913" xr:uid="{916BC40B-B662-4604-B8CE-D54A5B66D5E1}"/>
    <cellStyle name="Monétaire 5 2 3 2" xfId="3502" xr:uid="{7B1BC33F-4805-4A0A-8B6F-514ECCE0E9C8}"/>
    <cellStyle name="Monétaire 5 2 4" xfId="3227" xr:uid="{AF87D29E-7223-49FB-913D-7F666524FB83}"/>
    <cellStyle name="Monétaire 5 3" xfId="292" xr:uid="{D233F98A-7C6A-4BA3-80ED-12BFC3DD4FC4}"/>
    <cellStyle name="Monétaire 5 3 2" xfId="601" xr:uid="{E574F845-72E2-4166-9BE2-0478163662AE}"/>
    <cellStyle name="Monétaire 5 3 2 2" xfId="3016" xr:uid="{07DC35B6-0559-4353-BE13-C8A22F620C22}"/>
    <cellStyle name="Monétaire 5 3 2 2 2" xfId="3605" xr:uid="{18EB642C-F595-4FEC-9BF3-A74F2A38C202}"/>
    <cellStyle name="Monétaire 5 3 2 3" xfId="3330" xr:uid="{786AAA99-E201-45F3-A64A-52CACF71D66D}"/>
    <cellStyle name="Monétaire 5 3 3" xfId="2880" xr:uid="{0E7320D5-EB87-4A12-96F0-5780155FE154}"/>
    <cellStyle name="Monétaire 5 3 3 2" xfId="3469" xr:uid="{D8A4F6C8-5F7A-44A3-8571-214C1BBF17AB}"/>
    <cellStyle name="Monétaire 5 3 4" xfId="3194" xr:uid="{C75EA607-A55C-42A5-B6DB-CD6E5709ACCC}"/>
    <cellStyle name="Monétaire 5 4" xfId="410" xr:uid="{8D6F913B-9E58-4BD7-85EF-F1DDEF9BFEDC}"/>
    <cellStyle name="Monétaire 5 4 2" xfId="2932" xr:uid="{9A516CCE-D401-46BD-AF57-FC0E8EF23912}"/>
    <cellStyle name="Monétaire 5 4 2 2" xfId="3521" xr:uid="{4B4A6F4E-F652-40A9-A692-1A2791A61B2B}"/>
    <cellStyle name="Monétaire 5 4 3" xfId="3246" xr:uid="{59C8E623-76D2-4612-A7B9-3FC54BB386F8}"/>
    <cellStyle name="Monétaire 5 5" xfId="2863" xr:uid="{911A8D33-DC14-442E-842E-057794FE83A8}"/>
    <cellStyle name="Monétaire 5 5 2" xfId="3452" xr:uid="{23A8BFB6-8A81-41F2-B4F5-442FFACA504A}"/>
    <cellStyle name="Monétaire 5 6" xfId="3177" xr:uid="{A0C89B8C-F9AA-4EBD-B7C3-DED91545EE0E}"/>
    <cellStyle name="Monétaire 6" xfId="374" xr:uid="{7D90E97B-E9E8-4D77-9E3D-E6C90878B888}"/>
    <cellStyle name="Monétaire 6 2" xfId="2916" xr:uid="{DA2F2894-9B62-495F-81EC-3C3D1B48F323}"/>
    <cellStyle name="Monétaire 6 2 2" xfId="3505" xr:uid="{920E282B-86F7-41B0-A03F-5C5B71AEF8C2}"/>
    <cellStyle name="Monétaire 6 3" xfId="3230" xr:uid="{8C7A8CB5-D2C7-4B2D-98B0-65BE4B0E746E}"/>
    <cellStyle name="Monétaire 7" xfId="681" xr:uid="{98A20130-4466-42B3-8AB6-A8DD4274E87E}"/>
    <cellStyle name="Monétaire 7 2" xfId="3051" xr:uid="{08B10C29-0145-420B-8F75-61F154ED013B}"/>
    <cellStyle name="Monétaire 7 2 2" xfId="3640" xr:uid="{C6B998DA-0FC0-4DB6-A7B1-5AAACE9C7A15}"/>
    <cellStyle name="Monétaire 7 3" xfId="3365" xr:uid="{66DC5DDA-9E63-4C4D-A917-BAA2253FDE8E}"/>
    <cellStyle name="Monétaire 8" xfId="3656" xr:uid="{227B19DA-C2AC-4D79-BC04-2B5D6D1C5423}"/>
    <cellStyle name="Monétaire0" xfId="1101" xr:uid="{F203F4FF-C385-4529-861C-15AD404FA519}"/>
    <cellStyle name="Monétaire0 2" xfId="1102" xr:uid="{25C08617-B218-4FE7-983D-CF4E81F83199}"/>
    <cellStyle name="Monétaire0 2 2" xfId="2096" xr:uid="{E15BEFDA-766C-4B47-A3C1-505C9169239F}"/>
    <cellStyle name="Monétaire0 3" xfId="2095" xr:uid="{E4200909-E8BD-49F7-8060-AE996EE332FC}"/>
    <cellStyle name="N?rmal_la?oux_larou?" xfId="1104" xr:uid="{148CE363-BAC3-4CB2-B6A6-56F9441DABD3}"/>
    <cellStyle name="Neutral" xfId="1105" xr:uid="{C937741B-A553-411F-BEE7-2C6C7B3AA29F}"/>
    <cellStyle name="Neutral 2" xfId="2097" xr:uid="{E3F33104-FB64-407F-BE43-193CF214198E}"/>
    <cellStyle name="Neutral 3" xfId="2751" xr:uid="{B0E1E066-BBA8-4AFF-B291-2EB97F329F20}"/>
    <cellStyle name="Neutrale" xfId="1106" xr:uid="{A0FDE50D-F021-4360-BC50-C22C36BC632A}"/>
    <cellStyle name="Neutrale 2" xfId="2098" xr:uid="{2C3ADFE6-52A5-4CE9-8C33-5CF5157CA5AE}"/>
    <cellStyle name="Neutre" xfId="9" builtinId="28" customBuiltin="1"/>
    <cellStyle name="Neutre 2" xfId="172" xr:uid="{EDBA52C1-76E5-47D5-A87F-A75671EBEE72}"/>
    <cellStyle name="Neutre 2 2" xfId="2099" xr:uid="{0B098742-13B0-4324-A8C8-12B76AC78D17}"/>
    <cellStyle name="Neutre 2 3" xfId="1107" xr:uid="{30717A3A-B173-4CA5-A506-A32F067C7C39}"/>
    <cellStyle name="Norma?_On Hol?" xfId="1108" xr:uid="{02105CA6-4ADB-4734-AD27-B0421DF6AE7A}"/>
    <cellStyle name="Normaᷬ_On Holᷤ" xfId="1109" xr:uid="{42CBF880-C42A-4893-9C04-6D3EBA67B425}"/>
    <cellStyle name="Normal" xfId="0" builtinId="0"/>
    <cellStyle name="Normal - Style1" xfId="1110" xr:uid="{7627E89F-6452-459F-92BE-C78BA2259572}"/>
    <cellStyle name="Normal - Style1 2" xfId="2100" xr:uid="{4F453F0A-E3B2-42DB-A412-1B9B20AE0E2B}"/>
    <cellStyle name="Normal 10" xfId="1111" xr:uid="{0DCFDC46-D3F8-498C-9826-A83C7F01B7D3}"/>
    <cellStyle name="Normal 10 2" xfId="2101" xr:uid="{586E3AB1-16AB-4922-9776-89368B2E086E}"/>
    <cellStyle name="Normal 11" xfId="1112" xr:uid="{3600C32F-9D1D-4352-AF9A-8C09C614FE5B}"/>
    <cellStyle name="Normal 11 2" xfId="2102" xr:uid="{032AF1ED-BAB5-41DA-98E9-EF4E0A8667AD}"/>
    <cellStyle name="Normal 12" xfId="1113" xr:uid="{1DD70693-CB2C-4093-AAE7-1C716E22AB34}"/>
    <cellStyle name="Normal 12 2" xfId="1114" xr:uid="{7DAC6018-AA29-4A4E-B0EB-8A3833233749}"/>
    <cellStyle name="Normal 12 2 2" xfId="2104" xr:uid="{59F4C78E-867C-46A8-A941-CB241BCFACF6}"/>
    <cellStyle name="Normal 12 3" xfId="1115" xr:uid="{38938FF0-F7EC-4C71-8275-77598B25FC05}"/>
    <cellStyle name="Normal 12 3 2" xfId="2105" xr:uid="{090757D5-2C7D-4BAD-BC13-0163AAF5464B}"/>
    <cellStyle name="Normal 12 4" xfId="2103" xr:uid="{590BBA0F-3A9C-469F-8B0F-2F977656CE83}"/>
    <cellStyle name="Normal 12 5" xfId="2762" xr:uid="{3EE8F468-65DF-49B5-96CC-6A03C11A86EB}"/>
    <cellStyle name="Normal 13" xfId="1116" xr:uid="{3833349C-1457-40A2-A1F0-429527D0562B}"/>
    <cellStyle name="Normal 13 2" xfId="2106" xr:uid="{355302DC-8CC8-48E7-BB0C-5C8535A7E2AF}"/>
    <cellStyle name="Normal 14" xfId="1117" xr:uid="{5338718B-3BB1-44B3-9068-25794F630DEE}"/>
    <cellStyle name="Normal 14 2" xfId="2107" xr:uid="{9B9806DE-D9CA-4723-BCBD-8B3C46E80314}"/>
    <cellStyle name="Normal 15" xfId="1118" xr:uid="{560705DE-87FF-486F-A5F5-236C9CC4044F}"/>
    <cellStyle name="Normal 15 2" xfId="2108" xr:uid="{D4DB8F34-A825-4CE2-8E27-582110C13489}"/>
    <cellStyle name="Normal 16" xfId="1119" xr:uid="{05500A90-63A9-443A-9A25-431A84A81916}"/>
    <cellStyle name="Normal 16 2" xfId="2109" xr:uid="{2E934A65-E770-47AA-AAA7-ECE8AFECC1FE}"/>
    <cellStyle name="Normal 17" xfId="1120" xr:uid="{4E3E85C5-5271-46F3-B1AB-97AC15CC8FC6}"/>
    <cellStyle name="Normal 17 2" xfId="2110" xr:uid="{9F415509-8829-4094-8076-C2D789F6AAB6}"/>
    <cellStyle name="Normal 18" xfId="1121" xr:uid="{FFB682BA-A358-4B31-8586-D54F5D204ADA}"/>
    <cellStyle name="Normal 18 2" xfId="2111" xr:uid="{B9B7AC72-4285-4836-9F6B-9D0B23E9BBFC}"/>
    <cellStyle name="Normal 19" xfId="1122" xr:uid="{BADE827A-E897-44C4-A56C-1B46DDA4C83F}"/>
    <cellStyle name="Normal 19 2" xfId="2112" xr:uid="{369E151A-E172-436D-946A-496C7E8C475F}"/>
    <cellStyle name="Normal 2" xfId="43" xr:uid="{256693F8-F93D-4184-AACA-036153A4C6E3}"/>
    <cellStyle name="Normal 2 10" xfId="1123" xr:uid="{01992938-26EC-464A-9788-BCC162EE0C0B}"/>
    <cellStyle name="Normal 2 2" xfId="70" xr:uid="{F367C150-D171-4325-ADDE-6D1FB0E4FC95}"/>
    <cellStyle name="Normal 2 2 2" xfId="77" xr:uid="{5D107AD7-C2C8-4055-A551-C4224A14FD53}"/>
    <cellStyle name="Normal 2 2 2 2" xfId="2114" xr:uid="{E9C80E6A-AF31-4F0E-8F5D-24FEBB7EFCE0}"/>
    <cellStyle name="Normal 2 2 3" xfId="490" xr:uid="{8BCA9E2C-D69E-44BA-B6C5-38F6C4DEA959}"/>
    <cellStyle name="Normal 2 2 4" xfId="1124" xr:uid="{1D7F76F7-D56E-4C49-8CB3-8D167E515660}"/>
    <cellStyle name="Normal 2 3" xfId="72" xr:uid="{EB460880-8E42-40A5-AA26-3B2DF42385E2}"/>
    <cellStyle name="Normal 2 3 17" xfId="2706" xr:uid="{2A0D126B-C96A-479C-A483-DE2C0ED76FB9}"/>
    <cellStyle name="Normal 2 3 2" xfId="1126" xr:uid="{C5CE8FC2-87E7-40AD-95B7-31EC0C905ED6}"/>
    <cellStyle name="Normal 2 3 2 2" xfId="2116" xr:uid="{75312EBF-C2A6-4945-B35B-3143E769F72E}"/>
    <cellStyle name="Normal 2 3 3" xfId="2115" xr:uid="{6E49FB4B-8146-4A92-A613-C81BE48A2096}"/>
    <cellStyle name="Normal 2 3 4" xfId="1125" xr:uid="{0A95C38B-CD04-4C8F-BAEC-6300B1D8DB61}"/>
    <cellStyle name="Normal 2 4" xfId="135" xr:uid="{C7C3861F-ABC7-451E-8671-EE8F8E4321EE}"/>
    <cellStyle name="Normal 2 4 2" xfId="2117" xr:uid="{A9A1ADF6-4DB1-4A2A-BD25-D3DD3ACA23C2}"/>
    <cellStyle name="Normal 2 4 3" xfId="1127" xr:uid="{2BF6AAAF-4632-48DF-9745-8DD5D756EBF9}"/>
    <cellStyle name="Normal 2 5" xfId="216" xr:uid="{E78090EC-0ED1-4D58-BFAE-650BC075C444}"/>
    <cellStyle name="Normal 2 5 2" xfId="2118" xr:uid="{A7E62007-47BC-4B60-A20B-B92D7E05C0C0}"/>
    <cellStyle name="Normal 2 5 3" xfId="1128" xr:uid="{B2700DC4-CEFA-4C48-83BB-3975B8EEB614}"/>
    <cellStyle name="Normal 2 6" xfId="58" xr:uid="{10520B59-80A1-4BD0-8E57-24C3CDA2341B}"/>
    <cellStyle name="Normal 2 6 2" xfId="2113" xr:uid="{96F0E002-113F-44B2-B716-02A367DDD775}"/>
    <cellStyle name="Normal 2 7" xfId="707" xr:uid="{4EFAC210-DAEA-4846-AEE5-10ED84865054}"/>
    <cellStyle name="Normal 2 7 2" xfId="2752" xr:uid="{879113CE-E35A-4BD5-B0C1-53C7067860DF}"/>
    <cellStyle name="Normal 2 8" xfId="2760" xr:uid="{81381617-EB24-4B5B-AE3B-9D4472207224}"/>
    <cellStyle name="Normal 2 9" xfId="2767" xr:uid="{06A7D082-96C1-4FB3-A170-7E846E464F45}"/>
    <cellStyle name="Normal 2_ANNÉE 2015" xfId="1129" xr:uid="{170FD073-055F-414D-899E-7F00CF6EA7B7}"/>
    <cellStyle name="Normal 20" xfId="1130" xr:uid="{79E91384-EDD2-4181-8D9E-E6F2721D551E}"/>
    <cellStyle name="Normal 20 2" xfId="2119" xr:uid="{C4F02B35-EF58-42F8-89DD-EB65249768DF}"/>
    <cellStyle name="Normal 21" xfId="1131" xr:uid="{034C8612-6164-490F-982D-62A258141D4C}"/>
    <cellStyle name="Normal 21 2" xfId="2120" xr:uid="{694697C7-B0E4-425E-9783-6765A4C3F681}"/>
    <cellStyle name="Normal 22" xfId="1132" xr:uid="{7C2B4CDF-CDB2-48BD-B482-011D512C9924}"/>
    <cellStyle name="Normal 22 2" xfId="2121" xr:uid="{D2E63718-A35B-440F-BE1C-88422EFC3251}"/>
    <cellStyle name="Normal 23" xfId="1133" xr:uid="{72CF6EAC-3B85-4D48-AA9F-A2D34FCAE773}"/>
    <cellStyle name="Normal 23 2" xfId="2122" xr:uid="{9BEBEB60-9042-4F8D-B52A-E9C41CC0AF38}"/>
    <cellStyle name="Normal 24" xfId="1134" xr:uid="{8ACECA4E-8BBB-42B9-85C5-FC944147C666}"/>
    <cellStyle name="Normal 24 2" xfId="2123" xr:uid="{9CCD66C5-4D43-4B9C-BA8E-E911AE826DDA}"/>
    <cellStyle name="Normal 25" xfId="1135" xr:uid="{E21F6387-9E41-4B43-9533-7F774283CDFB}"/>
    <cellStyle name="Normal 25 2" xfId="2124" xr:uid="{22CE1893-90EF-4224-81F0-8A3BABE2EF98}"/>
    <cellStyle name="Normal 26" xfId="1136" xr:uid="{C462FD90-F396-414D-889C-05C050D4517D}"/>
    <cellStyle name="Normal 26 2" xfId="2125" xr:uid="{1AC71845-0038-42CE-82FC-63ED2BB1130B}"/>
    <cellStyle name="Normal 27" xfId="1137" xr:uid="{D1AD3BC5-976D-4389-814C-AF9210F8052E}"/>
    <cellStyle name="Normal 27 2" xfId="2126" xr:uid="{3750B2C2-4C6A-4DF0-B2DC-B4AE87E8878B}"/>
    <cellStyle name="Normal 28" xfId="1138" xr:uid="{649138DA-4316-4FF5-8A8C-4A72BA73A211}"/>
    <cellStyle name="Normal 28 2" xfId="2127" xr:uid="{2BCFCB71-2D39-4A7D-9E2B-D0AD9C3970D9}"/>
    <cellStyle name="Normal 29" xfId="1139" xr:uid="{9BE9C67C-13AB-4BAF-B8B9-32B2FBD6AA4A}"/>
    <cellStyle name="Normal 3" xfId="44" xr:uid="{9C7D9466-822C-4CEF-A6FF-FE864A99AEAE}"/>
    <cellStyle name="Normal 3 2" xfId="75" xr:uid="{1037BA17-2523-4B2D-B322-5865933BB0B0}"/>
    <cellStyle name="Normal 3 2 2" xfId="174" xr:uid="{0795D4B6-C3B0-4333-BB29-181FF6819AE6}"/>
    <cellStyle name="Normal 3 2 2 2" xfId="2129" xr:uid="{60AAD476-2BC6-492F-A5AF-A2D816022B4B}"/>
    <cellStyle name="Normal 3 2 3" xfId="1141" xr:uid="{514FE16D-066D-41C8-A74F-7E5AA7851F75}"/>
    <cellStyle name="Normal 3 3" xfId="173" xr:uid="{3F1EE533-F1CB-4659-BAE5-88D5DAE67629}"/>
    <cellStyle name="Normal 3 3 2" xfId="2130" xr:uid="{EC1B13EC-AAAA-432B-BB89-F99183602626}"/>
    <cellStyle name="Normal 3 3 3" xfId="1142" xr:uid="{CE9377F6-104A-409A-9673-8B526C4948D7}"/>
    <cellStyle name="Normal 3 4" xfId="489" xr:uid="{45394446-0E34-42D1-83E2-1BD016D6CB1E}"/>
    <cellStyle name="Normal 3 4 2" xfId="2131" xr:uid="{ED405DD2-854C-4A77-A350-0E360A86F508}"/>
    <cellStyle name="Normal 3 4 3" xfId="1143" xr:uid="{58FFD09C-A232-44FF-B08D-4E94316C7A98}"/>
    <cellStyle name="Normal 3 5" xfId="64" xr:uid="{8195A3B7-17E0-45D2-8B2C-91FACDE012A7}"/>
    <cellStyle name="Normal 3 5 2" xfId="2132" xr:uid="{C3B96A34-A630-4FD9-A39A-82436056E871}"/>
    <cellStyle name="Normal 3 5 3" xfId="1144" xr:uid="{6DDC0A08-7C22-4E57-B2B0-370275D91900}"/>
    <cellStyle name="Normal 3 6" xfId="710" xr:uid="{312C6A80-6550-4A6D-922F-95F0046A79BC}"/>
    <cellStyle name="Normal 3 6 2" xfId="2128" xr:uid="{1161096D-9BAA-4EEC-BECE-8618C468CC6F}"/>
    <cellStyle name="Normal 3 7" xfId="2763" xr:uid="{2909EB41-9B5F-4471-9B2F-E6626BFD4EF3}"/>
    <cellStyle name="Normal 3 8" xfId="2768" xr:uid="{633EDD3C-F54D-4D77-9B69-7E8FB6D62A17}"/>
    <cellStyle name="Normal 3 9" xfId="1140" xr:uid="{3799F9B6-4906-4DB5-98B9-4E01273C0945}"/>
    <cellStyle name="Normal 3_ANNÉE 2015" xfId="1145" xr:uid="{021ADDD7-F455-4ABA-B3C6-08D4526034BE}"/>
    <cellStyle name="Normal 30" xfId="2758" xr:uid="{9489E083-10F1-41FB-915F-97FC2DA7D4E1}"/>
    <cellStyle name="Normal 30 2" xfId="2782" xr:uid="{01783CA0-EBED-46F6-95B2-89F4672A3F66}"/>
    <cellStyle name="Normal 31" xfId="2734" xr:uid="{66D6DA12-7BEA-4F68-9EFA-D356DD194B19}"/>
    <cellStyle name="Normal 32" xfId="2765" xr:uid="{DFD9828D-082F-4829-8BD1-3518F1423C6E}"/>
    <cellStyle name="Normal 32 2" xfId="2783" xr:uid="{09C671BF-18B0-4AC4-89F1-764F6B87104C}"/>
    <cellStyle name="Normal 33" xfId="2766" xr:uid="{26662B3A-7301-448C-9F45-91622225DB51}"/>
    <cellStyle name="Normal 33 2" xfId="2784" xr:uid="{A1579664-9D1F-46FE-B105-FCE970D43BED}"/>
    <cellStyle name="Normal 34" xfId="2779" xr:uid="{E2A9E89C-5A09-419C-9BBF-A2F472BAD360}"/>
    <cellStyle name="Normal 35" xfId="717" xr:uid="{292C3B84-CA13-41BF-9150-998DB3B42F12}"/>
    <cellStyle name="Normal 36" xfId="2786" xr:uid="{D36086A7-704E-47EB-BE3E-32CD2D45357F}"/>
    <cellStyle name="Normal 37" xfId="3064" xr:uid="{887C2DB9-EC0A-49A6-9CCB-B2000C2AE709}"/>
    <cellStyle name="Normal 38" xfId="2788" xr:uid="{BA22BE11-4055-41B5-81D3-944E551A1F66}"/>
    <cellStyle name="Normal 39" xfId="3065" xr:uid="{1097260D-674C-45C8-BDE0-161C40F21E7D}"/>
    <cellStyle name="Normal 4" xfId="45" xr:uid="{8150A13E-8090-4552-84FE-53A609D5AA68}"/>
    <cellStyle name="Normal 4 2" xfId="176" xr:uid="{279B7456-80D4-4227-A8E2-B7BFE3ACB39E}"/>
    <cellStyle name="Normal 4 2 2" xfId="69" xr:uid="{EE80E411-4612-4A3F-B51A-54F7DB3D0404}"/>
    <cellStyle name="Normal 4 2 2 2" xfId="2134" xr:uid="{28235438-CCA1-4611-9AE3-F70E7F1D3B24}"/>
    <cellStyle name="Normal 4 2 3" xfId="389" xr:uid="{E976B19E-4797-4AA5-8FDD-0293ADDCE852}"/>
    <cellStyle name="Normal 4 2 4" xfId="510" xr:uid="{DB7404E0-A8C8-4243-9955-31306443034D}"/>
    <cellStyle name="Normal 4 2 5" xfId="1147" xr:uid="{CC14DDF9-DF3D-400D-91CB-DF4377752E45}"/>
    <cellStyle name="Normal 4 3" xfId="175" xr:uid="{09311F31-1887-407A-A579-F634DA96E5EA}"/>
    <cellStyle name="Normal 4 3 2" xfId="2135" xr:uid="{E7107AE0-88BC-4501-AD2E-03C18657ECD3}"/>
    <cellStyle name="Normal 4 3 3" xfId="1148" xr:uid="{DDEFD7E7-6DF3-4FBA-8694-49F5C73CAAF1}"/>
    <cellStyle name="Normal 4 4" xfId="1149" xr:uid="{5D9B01E7-60C1-42B1-B514-B957300593A6}"/>
    <cellStyle name="Normal 4 4 2" xfId="2136" xr:uid="{06592844-C2B5-4D4E-8051-AA1C31C09D2D}"/>
    <cellStyle name="Normal 4 5" xfId="1150" xr:uid="{BB0AB7BC-ABE8-4617-8095-E02AA0070C33}"/>
    <cellStyle name="Normal 4 5 2" xfId="2137" xr:uid="{C6DC9085-BAA7-4525-8FBB-1D17A4BA477B}"/>
    <cellStyle name="Normal 4 6" xfId="2133" xr:uid="{52FEB2C3-CDE5-4CD3-9619-7CFD7F22F2BA}"/>
    <cellStyle name="Normal 4 7" xfId="2769" xr:uid="{C6700123-AF90-436D-9831-28B49274DE9D}"/>
    <cellStyle name="Normal 4 8" xfId="1146" xr:uid="{8675484A-C76F-496A-9CFE-CC2D19C6CBBB}"/>
    <cellStyle name="Normal 4_ANNÉE 2015" xfId="1151" xr:uid="{AA7E6F12-DB2C-4FA9-A26B-78C43D5154E0}"/>
    <cellStyle name="Normal 40" xfId="3066" xr:uid="{623D5129-6DDD-47B3-8E31-12C0847E3484}"/>
    <cellStyle name="Normal 41" xfId="3067" xr:uid="{96DC7BC0-D5C5-49DC-BA5B-A1ECFA865236}"/>
    <cellStyle name="Normal 42" xfId="3068" xr:uid="{5D3CC3D0-1716-4B8F-B56A-65CEFCE3BC95}"/>
    <cellStyle name="Normal 43" xfId="3069" xr:uid="{5DCB8354-5938-4FE8-A48F-4E8E9E5B7301}"/>
    <cellStyle name="Normal 44" xfId="3070" xr:uid="{0CA9C4DB-DEA6-4690-A38F-8A14417E7701}"/>
    <cellStyle name="Normal 45" xfId="3071" xr:uid="{D2F42C23-CAD7-49E2-8769-7B9E03A33B88}"/>
    <cellStyle name="Normal 46" xfId="3072" xr:uid="{B013A22D-2343-4BDC-A7A8-EA2206D87F0E}"/>
    <cellStyle name="Normal 47" xfId="3073" xr:uid="{0D03C18B-D441-4F94-BB34-319251A3A380}"/>
    <cellStyle name="Normal 48" xfId="3074" xr:uid="{C1D82FFD-6209-42A5-909E-3DF291DDF1C3}"/>
    <cellStyle name="Normal 49" xfId="3075" xr:uid="{D3907366-4531-4E6A-853F-D9EF70AF3631}"/>
    <cellStyle name="Normal 5" xfId="177" xr:uid="{548C3248-89DF-436C-882F-F646D6581B52}"/>
    <cellStyle name="Normal 5 2" xfId="255" xr:uid="{D6C18D19-6787-4546-9AEE-6A7F0CDA5F96}"/>
    <cellStyle name="Normal 5 2 2" xfId="2139" xr:uid="{CAFAB6ED-418F-4716-AB3A-A5B3AC4AEA10}"/>
    <cellStyle name="Normal 5 2 3" xfId="1153" xr:uid="{18D0968C-B13F-4A91-9B7D-FD2484E833C1}"/>
    <cellStyle name="Normal 5 3" xfId="331" xr:uid="{8C27A6B5-020E-49D7-9D7E-19E6A7972E6E}"/>
    <cellStyle name="Normal 5 3 2" xfId="2140" xr:uid="{1DB1975E-B353-43C3-8CE8-7139034B2555}"/>
    <cellStyle name="Normal 5 3 3" xfId="1154" xr:uid="{82013FA4-973B-4D21-B3A4-D638C928E890}"/>
    <cellStyle name="Normal 5 4" xfId="379" xr:uid="{0737FDE3-2E5C-451C-A4CB-53FCB45DE9DF}"/>
    <cellStyle name="Normal 5 4 2" xfId="676" xr:uid="{0780C6AB-ABAD-4D66-8785-09FB2083170B}"/>
    <cellStyle name="Normal 5 4 2 2" xfId="2141" xr:uid="{9D51B473-D895-408E-85D0-72A010A02CD9}"/>
    <cellStyle name="Normal 5 4 3" xfId="1155" xr:uid="{409B8EAF-2815-4BA7-A26A-1DD866AEC565}"/>
    <cellStyle name="Normal 5 5" xfId="686" xr:uid="{27553496-64FA-48E3-95E7-FC7D3F9DA63B}"/>
    <cellStyle name="Normal 5 5 2" xfId="2138" xr:uid="{B3C01EB9-7F83-45B9-BA71-81C42A09B7AD}"/>
    <cellStyle name="Normal 5 6" xfId="2761" xr:uid="{12CAA564-7202-4493-A237-C7D1F0B17F37}"/>
    <cellStyle name="Normal 5 7" xfId="2775" xr:uid="{DF068D8E-3EB5-4825-8150-1090102621CC}"/>
    <cellStyle name="Normal 5 8" xfId="1152" xr:uid="{3E7EFB7F-4F84-4B3C-96C6-B7449B072B19}"/>
    <cellStyle name="Normal 5_ANNÉE 2015" xfId="1156" xr:uid="{BDA5088B-5E0B-4644-8263-DD5AB8A82E42}"/>
    <cellStyle name="Normal 50" xfId="3076" xr:uid="{A2F368CE-DE9D-4C83-8F0C-473B9189FFF6}"/>
    <cellStyle name="Normal 51" xfId="3077" xr:uid="{05402AD9-658B-44B7-B002-D9505402B9CC}"/>
    <cellStyle name="Normal 52" xfId="3078" xr:uid="{0075228E-074E-4C38-B613-547FA4CB335E}"/>
    <cellStyle name="Normal 53" xfId="3079" xr:uid="{E08A9EBD-5D0C-4360-9DB3-5DA719C8EF03}"/>
    <cellStyle name="Normal 54" xfId="3080" xr:uid="{74239ED2-1A82-4C65-A062-904310E1257D}"/>
    <cellStyle name="Normal 55" xfId="3081" xr:uid="{AA8964B1-5555-4040-B7AA-0196415867DD}"/>
    <cellStyle name="Normal 56" xfId="3082" xr:uid="{241630D1-B129-481C-AC1C-92C71A1CDBBD}"/>
    <cellStyle name="Normal 57" xfId="3083" xr:uid="{C4D04EC7-1EFC-40FD-AFFC-6A3ADB160476}"/>
    <cellStyle name="Normal 58" xfId="3084" xr:uid="{14DF2E67-C01D-4A4F-9431-8047B513260E}"/>
    <cellStyle name="Normal 59" xfId="3085" xr:uid="{85C16D15-F958-4846-B231-132B4183E19B}"/>
    <cellStyle name="Normal 6" xfId="68" xr:uid="{130426CD-2E39-4689-84E0-61427CBEED0F}"/>
    <cellStyle name="Normal 6 2" xfId="178" xr:uid="{832C697F-AC73-4CB3-B95A-DD6A0194DF12}"/>
    <cellStyle name="Normal 6 2 2" xfId="2143" xr:uid="{4236A5F7-D78B-4FE8-8C92-D8C9DC1100C3}"/>
    <cellStyle name="Normal 6 2 3" xfId="1158" xr:uid="{FF84F3F0-BDC2-42B2-87D8-A52AB3207EA8}"/>
    <cellStyle name="Normal 6 3" xfId="1159" xr:uid="{13F2EA12-BD46-44E3-B583-30436230A067}"/>
    <cellStyle name="Normal 6 3 2" xfId="2144" xr:uid="{11DED057-48CA-4CE4-B129-B11CE190721F}"/>
    <cellStyle name="Normal 6 4" xfId="1160" xr:uid="{86376D79-446C-4C2D-BAC7-26C73C2E6BAB}"/>
    <cellStyle name="Normal 6 4 2" xfId="2145" xr:uid="{3BC3536F-A706-4C36-98A2-02F32D6978D7}"/>
    <cellStyle name="Normal 6 5" xfId="2142" xr:uid="{67F35A39-35A9-4F71-9C6E-DCB4126C9045}"/>
    <cellStyle name="Normal 6 6" xfId="2770" xr:uid="{C9523011-76F3-49FF-BEEB-54F917AFE697}"/>
    <cellStyle name="Normal 6 7" xfId="1157" xr:uid="{C512749E-DA17-46F0-AD48-762339B44022}"/>
    <cellStyle name="Normal 6_ANNÉE 2015" xfId="1161" xr:uid="{DE1CECD0-C150-4A91-9531-3E85CAEAB3A0}"/>
    <cellStyle name="Normal 60" xfId="3086" xr:uid="{6A1A8AC4-02CF-4ACB-9F1B-8F8880E69EFC}"/>
    <cellStyle name="Normal 61" xfId="3087" xr:uid="{64FFEEA7-594E-4B2B-AF54-B1087D5C9096}"/>
    <cellStyle name="Normal 62" xfId="3088" xr:uid="{520842DD-9FC4-4803-B9E3-9AE0D105A481}"/>
    <cellStyle name="Normal 63" xfId="3089" xr:uid="{72AEA750-D4EA-45C2-8685-9C5502CFB49F}"/>
    <cellStyle name="Normal 64" xfId="3090" xr:uid="{207E1746-1ECE-412C-95DA-B365B3E33429}"/>
    <cellStyle name="Normal 65" xfId="3091" xr:uid="{1F84BFCB-D398-4B61-A28A-6E0BE1A4574A}"/>
    <cellStyle name="Normal 66" xfId="3092" xr:uid="{2F26ADC1-4A9B-4EB0-87F2-A1801B08581F}"/>
    <cellStyle name="Normal 67" xfId="3093" xr:uid="{34A5F459-E62F-451D-87B5-5788051E9FD1}"/>
    <cellStyle name="Normal 68" xfId="3094" xr:uid="{7289D31A-34A5-445B-90E3-A75A8CB3DDCE}"/>
    <cellStyle name="Normal 69" xfId="3095" xr:uid="{3024886D-4524-4D90-9C61-73CEBEFE2734}"/>
    <cellStyle name="Normal 7" xfId="179" xr:uid="{676E4A1A-8F13-4150-86B2-EEDF6394BDF5}"/>
    <cellStyle name="Normal 7 2" xfId="2146" xr:uid="{E4B1D0ED-DC17-4448-999F-A08B2EFF5235}"/>
    <cellStyle name="Normal 7 3" xfId="2771" xr:uid="{78666A2E-0238-4808-9BF9-E97E2AA136AA}"/>
    <cellStyle name="Normal 7 4" xfId="1162" xr:uid="{73A4EA36-6296-4364-8A7F-548E98489A30}"/>
    <cellStyle name="Normal 70" xfId="3096" xr:uid="{A07709C2-F664-4876-BFA3-8E03EAE6840A}"/>
    <cellStyle name="Normal 71" xfId="3097" xr:uid="{30DD08DF-C245-472E-BDF0-B1A6B80E3A78}"/>
    <cellStyle name="Normal 72" xfId="3098" xr:uid="{51EA7CC4-F208-4034-9785-7FB226591DDE}"/>
    <cellStyle name="Normal 73" xfId="3099" xr:uid="{3C7F0D13-6E64-4CF8-A766-957F1D9B824E}"/>
    <cellStyle name="Normal 74" xfId="3100" xr:uid="{6970D64C-8ED6-41B3-90BE-C78C803D84DF}"/>
    <cellStyle name="Normal 75" xfId="3653" xr:uid="{7CA54437-8A28-4F34-8914-4DA3832EB2E6}"/>
    <cellStyle name="Normal 76" xfId="3654" xr:uid="{1DA3E124-7EBC-47D1-85EB-28FC70048046}"/>
    <cellStyle name="Normal 77" xfId="3655" xr:uid="{F703FDB7-A87B-4244-8F36-546632FF1A78}"/>
    <cellStyle name="Normal 8" xfId="703" xr:uid="{62C7FA06-9F28-4CCD-9B6F-B6EE656180B9}"/>
    <cellStyle name="Normal 8 2" xfId="2147" xr:uid="{CFA2D0E5-F629-4EA4-9DD2-AEA8ABF1B893}"/>
    <cellStyle name="Normal 8 3" xfId="2772" xr:uid="{44658F62-AA20-43D2-AA1B-47F5B063E8DE}"/>
    <cellStyle name="Normal 8 4" xfId="1163" xr:uid="{1C631C56-5868-41A7-9511-7905D45B1CE6}"/>
    <cellStyle name="Normal 9" xfId="705" xr:uid="{5CE4D5AC-06B5-4581-8DEB-02747998847D}"/>
    <cellStyle name="Normal 9 2" xfId="2148" xr:uid="{49BDEE7C-0F4F-4E2E-9461-D15679752C41}"/>
    <cellStyle name="Normal 9 3" xfId="2773" xr:uid="{48BCC1C4-EF40-4F24-90B5-B3A3A01BF5EB}"/>
    <cellStyle name="Normal 9 4" xfId="1164" xr:uid="{2AD2E79F-8D60-42FD-B0D5-73565922DCFD}"/>
    <cellStyle name="Normal GHG Numbers (0.00)" xfId="1165" xr:uid="{3D471C4A-6BFF-4D92-B4D0-D257B23B169F}"/>
    <cellStyle name="Normal GHG Numbers (0.00) 2" xfId="2149" xr:uid="{BAAD2CD0-F4DD-4A70-BE20-F05C02DF411D}"/>
    <cellStyle name="Normale" xfId="1166" xr:uid="{760FFC0D-11D5-4F4B-8055-05AEF2855461}"/>
    <cellStyle name="Normale 2" xfId="2150" xr:uid="{A93095A9-D9AB-4E50-99B6-0FAF94E16AED}"/>
    <cellStyle name="Nota" xfId="1167" xr:uid="{0A603747-2DCF-4D96-9F26-FCE037D5820F}"/>
    <cellStyle name="Nota 2" xfId="2151" xr:uid="{B5518703-8D3C-41E3-81CF-A946BF216C4E}"/>
    <cellStyle name="Notas" xfId="1168" xr:uid="{5551205D-7DCD-43EE-949B-86C0F00400B7}"/>
    <cellStyle name="Notas 2" xfId="2152" xr:uid="{6DC1A974-032E-4C74-9B4C-391228FAA3E1}"/>
    <cellStyle name="Note" xfId="16" builtinId="10" customBuiltin="1"/>
    <cellStyle name="note 1" xfId="1169" xr:uid="{AE9C8885-28CB-4EA9-8746-B6635B8A9E6F}"/>
    <cellStyle name="note 1 2" xfId="2153" xr:uid="{E787EF84-7623-406F-BBDB-EB17035D2FC2}"/>
    <cellStyle name="Note 2" xfId="1170" xr:uid="{9E0AC69F-9579-43E7-941B-F61C5171E991}"/>
    <cellStyle name="Note 2 2" xfId="2154" xr:uid="{B13F9B82-4895-4853-920B-64F82E7C10B7}"/>
    <cellStyle name="note 3" xfId="1171" xr:uid="{2D3A7E15-070E-4102-928C-33B868D074AA}"/>
    <cellStyle name="note 3 2" xfId="2155" xr:uid="{50939863-3CF5-4463-A0EC-5BEAFD2ED1A4}"/>
    <cellStyle name="Note 4" xfId="2735" xr:uid="{7843A4DE-62EE-47E0-919F-4060506288D5}"/>
    <cellStyle name="num_note" xfId="1172" xr:uid="{0D577FED-EA32-42A1-B777-493347DA6ACC}"/>
    <cellStyle name="N䃯rmal_la䇲oux_larou᷸" xfId="1103" xr:uid="{30635606-6FD0-46CE-81A1-A184FEC85E8D}"/>
    <cellStyle name="Output" xfId="1173" xr:uid="{3D87B901-12B8-4505-BC2D-77F4CD7CADD8}"/>
    <cellStyle name="Output 2" xfId="2156" xr:uid="{554FACAD-E806-490E-AABF-45268B748E07}"/>
    <cellStyle name="Pourcentage" xfId="1" builtinId="5"/>
    <cellStyle name="Pourcentage 10" xfId="1174" xr:uid="{0315BD73-91F9-47A6-A1D0-32BD06794190}"/>
    <cellStyle name="Pourcentage 10 2" xfId="2157" xr:uid="{EDC11B95-DAEB-4EB4-93DE-A7F24CC98EAF}"/>
    <cellStyle name="Pourcentage 11" xfId="2759" xr:uid="{527847C9-4D40-4389-8893-327F424F3367}"/>
    <cellStyle name="Pourcentage 11 2" xfId="2780" xr:uid="{9CE57380-CB60-43AF-B836-AF83CC2ED44D}"/>
    <cellStyle name="Pourcentage 12" xfId="2774" xr:uid="{912A8BA6-E718-4ECD-A9D8-66D894ABEBCF}"/>
    <cellStyle name="Pourcentage 12 2" xfId="2781" xr:uid="{5E86D98F-CDF6-40EF-997A-FD7C053A4E0C}"/>
    <cellStyle name="Pourcentage 13" xfId="719" xr:uid="{784A7D25-242E-43CC-BF3F-56EB64EE3ABD}"/>
    <cellStyle name="Pourcentage 14" xfId="46" xr:uid="{4E23293C-4191-4199-8D39-1C5449B0873D}"/>
    <cellStyle name="Pourcentage 2" xfId="67" xr:uid="{9A22D588-966E-4AF8-8F90-59659F19BEA5}"/>
    <cellStyle name="Pourcentage 2 2" xfId="224" xr:uid="{AD96C894-EE0A-4CB8-82CD-B1B30796A74A}"/>
    <cellStyle name="Pourcentage 2 2 2" xfId="2159" xr:uid="{6A55652A-5740-455F-A444-EFB08D85600E}"/>
    <cellStyle name="Pourcentage 2 2 3" xfId="1176" xr:uid="{CC17B827-00AF-479F-BC74-43B20C390E6F}"/>
    <cellStyle name="Pourcentage 2 3" xfId="709" xr:uid="{6F7F43E5-F568-4370-A6ED-61BC1A755A53}"/>
    <cellStyle name="Pourcentage 2 3 2" xfId="2158" xr:uid="{7DC960F6-259A-4D17-9792-C5872653250E}"/>
    <cellStyle name="Pourcentage 2 4" xfId="713" xr:uid="{5566BD96-7437-4BC1-928F-57B6CA2EFC78}"/>
    <cellStyle name="Pourcentage 2 4 2" xfId="2778" xr:uid="{51E7996F-F05E-47B0-954C-4DA74256972A}"/>
    <cellStyle name="Pourcentage 2 5" xfId="1175" xr:uid="{CDA0BD9B-A7DC-4F31-BC16-76AAED753778}"/>
    <cellStyle name="Pourcentage 2 6" xfId="2707" xr:uid="{D018B052-7870-4A3E-B1E5-6D73D826A109}"/>
    <cellStyle name="Pourcentage 3" xfId="66" xr:uid="{DEC774BA-16F9-45B1-92FD-5D32F548485C}"/>
    <cellStyle name="Pourcentage 3 2" xfId="2160" xr:uid="{6F9296F3-B6AB-4453-9352-8BBD40038208}"/>
    <cellStyle name="Pourcentage 3 3" xfId="1177" xr:uid="{C1E3CF3A-A2BC-4B2D-AF68-7DAD0C96FC31}"/>
    <cellStyle name="Pourcentage 4" xfId="50" xr:uid="{448FA16F-AA32-4C3B-8CFE-CFB87BF6663A}"/>
    <cellStyle name="Pourcentage 4 2" xfId="65" xr:uid="{47A3EFD9-8268-46F7-9DA8-FFE3F5F55860}"/>
    <cellStyle name="Pourcentage 4 2 2" xfId="2162" xr:uid="{10B7DAA5-BF9E-4B9E-B835-24471CD174FD}"/>
    <cellStyle name="Pourcentage 4 2 3" xfId="1179" xr:uid="{43AD8B98-3D11-4D45-B3FE-60B04458D2B5}"/>
    <cellStyle name="Pourcentage 4 3" xfId="2161" xr:uid="{E31B6CE9-5BA5-41E7-AD17-0849761DA46F}"/>
    <cellStyle name="Pourcentage 4 4" xfId="1178" xr:uid="{594E0DA0-47BD-4E27-9CA1-A3A4D57B38B5}"/>
    <cellStyle name="Pourcentage 5" xfId="215" xr:uid="{15A22EFA-9DFC-4632-AA86-1CFA0AFB2533}"/>
    <cellStyle name="Pourcentage 5 2" xfId="2163" xr:uid="{C2FC2996-B95C-4E77-8883-D9C608B0BA6D}"/>
    <cellStyle name="Pourcentage 5 3" xfId="1180" xr:uid="{15A83157-9F49-4B42-8A00-2842E8442627}"/>
    <cellStyle name="Pourcentage 6" xfId="1181" xr:uid="{F9B4D173-6EC9-4642-B3DF-4930AB334E02}"/>
    <cellStyle name="Pourcentage 6 2" xfId="2164" xr:uid="{8ACF867F-B825-44F3-9944-09CC1203AEE8}"/>
    <cellStyle name="Pourcentage 7" xfId="1182" xr:uid="{3BE9FD05-F019-4301-955E-65605142137C}"/>
    <cellStyle name="Pourcentage 7 2" xfId="2165" xr:uid="{731C3E34-562B-438B-B83E-D60E1444BA7A}"/>
    <cellStyle name="Pourcentage 8" xfId="1183" xr:uid="{556CB12E-28AD-4EA6-BDA5-C02DDA98D8CC}"/>
    <cellStyle name="Pourcentage 8 2" xfId="2166" xr:uid="{FF94E1F6-E6B1-4B58-BB55-BBFC1C0F11B7}"/>
    <cellStyle name="Pourcentage 9" xfId="1184" xr:uid="{23361366-4E53-448F-9F35-AC6132FA5205}"/>
    <cellStyle name="Pourcentage 9 2" xfId="2167" xr:uid="{358F1D42-7CA7-4A71-8CCC-0E80476D0D0C}"/>
    <cellStyle name="RATP tableau" xfId="61" xr:uid="{38F03BAB-C9B1-49AE-8F16-C857306A74D8}"/>
    <cellStyle name="RATP tableau intitule 2" xfId="62" xr:uid="{CDAF06AE-C16D-4DCF-9DC4-C61B4EACC1E3}"/>
    <cellStyle name="RATP tableau intitule 2 2" xfId="257" xr:uid="{F929DEEA-C4B5-4AFC-B1F3-9F95241ED738}"/>
    <cellStyle name="RATP tableau titre" xfId="63" xr:uid="{917FAB76-311F-44E5-8053-A9318D8F4278}"/>
    <cellStyle name="RATP tableau titre 2" xfId="258" xr:uid="{424D697D-FDB2-4B37-8AAA-B0CF54E9D7C0}"/>
    <cellStyle name="Remarque" xfId="1185" xr:uid="{6FEEDFB5-1180-4DBC-919F-381C0FD253D5}"/>
    <cellStyle name="Remarque 2" xfId="1186" xr:uid="{4099684E-38ED-46F2-94FA-F67CD9665C0D}"/>
    <cellStyle name="Remarque 2 2" xfId="2169" xr:uid="{1DB99234-BF6E-4A50-A2E7-E598F547DD56}"/>
    <cellStyle name="Remarque 3" xfId="2168" xr:uid="{6098FB1F-008E-4BD5-A516-FEEF6E834A56}"/>
    <cellStyle name="Result" xfId="1187" xr:uid="{E3637618-7E6A-4B99-B1D0-A2E164E7814B}"/>
    <cellStyle name="Result (user)" xfId="1188" xr:uid="{56954DF8-7689-4601-A09B-BA2860DC4AE3}"/>
    <cellStyle name="Result (user) 2" xfId="2171" xr:uid="{0923CB8A-CF6F-47C1-89BF-D896EB69E2A3}"/>
    <cellStyle name="Result 2" xfId="2170" xr:uid="{8E3F5EF7-0EB3-4AC1-ABE5-AEA2202064D6}"/>
    <cellStyle name="Result 3" xfId="2704" xr:uid="{6AC93180-182C-42BC-952D-C5E19DC6D58E}"/>
    <cellStyle name="Result 4" xfId="2753" xr:uid="{C873C9E5-7EAB-414B-9507-3BA03D39600A}"/>
    <cellStyle name="Result2" xfId="1189" xr:uid="{8B17FD77-58FA-4AB0-80C1-8B353E55C7E3}"/>
    <cellStyle name="Result2 (user)" xfId="1190" xr:uid="{2A0AB66D-D456-4068-9081-4980D84AE100}"/>
    <cellStyle name="Result2 (user) 2" xfId="2173" xr:uid="{502DCCE1-B6AA-40AA-8BF9-993C37D664CE}"/>
    <cellStyle name="Result2 2" xfId="2172" xr:uid="{9106CEF8-9C67-4F74-BA0B-B561B74FF886}"/>
    <cellStyle name="Result2 3" xfId="2705" xr:uid="{CB15463F-0002-4ABF-AEF3-CF51DCFDE0C5}"/>
    <cellStyle name="Result2 4" xfId="2754" xr:uid="{5FADD32D-0260-402E-B482-972613B1AC76}"/>
    <cellStyle name="Salida" xfId="1191" xr:uid="{3013FC54-DB71-4517-8CA8-C0BE75873907}"/>
    <cellStyle name="Salida 2" xfId="2174" xr:uid="{CB49FB6D-06BB-418B-9158-AAF693C91EC9}"/>
    <cellStyle name="Satisfaisant" xfId="7" builtinId="26" customBuiltin="1"/>
    <cellStyle name="Satisfaisant 2" xfId="1192" xr:uid="{B57710A6-10F3-45E0-A38C-7EE99EA1975A}"/>
    <cellStyle name="Satisfaisant 2 2" xfId="2175" xr:uid="{B3276AF2-8C2F-4F00-BB12-A02C289C032B}"/>
    <cellStyle name="Sortie" xfId="11" builtinId="21" customBuiltin="1"/>
    <cellStyle name="Sortie 2" xfId="1193" xr:uid="{6F714E7A-775C-4964-B7DB-BB9D78C2A47C}"/>
    <cellStyle name="Sortie 2 2" xfId="2176" xr:uid="{095A6F7D-378C-463B-90F0-BE3D52392CAF}"/>
    <cellStyle name="source" xfId="1194" xr:uid="{D1B60F93-D4E2-441B-8683-5250B6091CD2}"/>
    <cellStyle name="source 2" xfId="2177" xr:uid="{D016BBD4-94AF-4AB0-962E-299BF26F5AF4}"/>
    <cellStyle name="Status" xfId="2755" xr:uid="{F7039688-9490-455E-B03E-C5D248F185C3}"/>
    <cellStyle name="Table du pilote - Catégorie" xfId="1199" xr:uid="{98DC9407-313D-42E8-9BA4-729D9E38A2C7}"/>
    <cellStyle name="Table du pilote - Catégorie 2" xfId="2178" xr:uid="{30A7188C-4357-4DC9-A8CF-56B55F2A3BFD}"/>
    <cellStyle name="Table du pilote - Champ" xfId="1200" xr:uid="{35F7A380-2276-4510-A7BB-5D9CD552D89D}"/>
    <cellStyle name="Table du pilote - Champ 2" xfId="2179" xr:uid="{9CA874B6-8EEB-402E-A530-1CBF4EA7899E}"/>
    <cellStyle name="Table du pilote - Coin" xfId="1201" xr:uid="{03692193-643E-42CB-9DF1-889338473C18}"/>
    <cellStyle name="Table du pilote - Coin 2" xfId="2180" xr:uid="{B87E2B64-DB60-4D07-991F-0E5D67157EBF}"/>
    <cellStyle name="Table du pilote - Résultat" xfId="1202" xr:uid="{EFC2FF09-C211-47DE-832F-151657176ED2}"/>
    <cellStyle name="Table du pilote - Résultat 2" xfId="2181" xr:uid="{1346765E-DE0F-4C04-AFA3-8F26218E3D78}"/>
    <cellStyle name="Table du pilote - Titre" xfId="1203" xr:uid="{B40EF35B-9886-4C95-8965-1F40880FE994}"/>
    <cellStyle name="Table du pilote - Titre 2" xfId="2182" xr:uid="{2A22FB59-3CA2-45D8-A040-199CE5B74F6B}"/>
    <cellStyle name="Table du pilote - Valeur" xfId="1204" xr:uid="{AD513B62-C0C5-4C1D-9B8B-8D6F85CB6DDF}"/>
    <cellStyle name="Table du pilote - Valeur 2" xfId="2183" xr:uid="{226B5A9A-AC77-47D3-B021-DB9EFA94895E}"/>
    <cellStyle name="tableau | cellule | (normal) | decimal 1" xfId="1205" xr:uid="{0B5D9C10-DEC3-4A36-A22E-5AE83C9E9EAA}"/>
    <cellStyle name="tableau | cellule | (normal) | decimal 1 2" xfId="1206" xr:uid="{6A61B263-8EFB-4841-8A1A-21033D52746F}"/>
    <cellStyle name="tableau | cellule | (normal) | decimal 1 2 2" xfId="1207" xr:uid="{BCA9604B-725D-4D48-8E25-163972106B4D}"/>
    <cellStyle name="tableau | cellule | (normal) | decimal 1 2 2 2" xfId="2186" xr:uid="{F7BA7981-FA5D-4803-A365-DC4D7D2B5FC8}"/>
    <cellStyle name="tableau | cellule | (normal) | decimal 1 2 3" xfId="2185" xr:uid="{4AEAF373-B43F-422B-AEF8-D8C64EBD1D92}"/>
    <cellStyle name="tableau | cellule | (normal) | decimal 1 3" xfId="1208" xr:uid="{3879D539-6A94-43A2-8562-2ACA549CE6A5}"/>
    <cellStyle name="tableau | cellule | (normal) | decimal 1 3 2" xfId="2187" xr:uid="{AB958AC1-D5AA-488E-B6DB-B2A7C0B12B57}"/>
    <cellStyle name="tableau | cellule | (normal) | decimal 1 4" xfId="1209" xr:uid="{FADA2CA6-5D8D-4765-9234-734346660EFA}"/>
    <cellStyle name="tableau | cellule | (normal) | decimal 1 4 2" xfId="2188" xr:uid="{61003471-C2F9-41DD-BDBC-2C2041F7FE61}"/>
    <cellStyle name="tableau | cellule | (normal) | decimal 1 5" xfId="1210" xr:uid="{038255D4-8A93-47CF-964C-41C0AFBA560A}"/>
    <cellStyle name="tableau | cellule | (normal) | decimal 1 5 2" xfId="2189" xr:uid="{4E39BF19-E182-499C-95C5-2397ED690E6E}"/>
    <cellStyle name="tableau | cellule | (normal) | decimal 1 6" xfId="2184" xr:uid="{4AFD0F41-9D31-4FEF-9F1B-7CCA678E9E7F}"/>
    <cellStyle name="tableau | cellule | (normal) | decimal 2" xfId="1211" xr:uid="{923ABC9B-13F0-435E-AE45-6222075B8E1B}"/>
    <cellStyle name="tableau | cellule | (normal) | decimal 2 2" xfId="1212" xr:uid="{10BDD2BC-5059-483A-979B-801C52E49305}"/>
    <cellStyle name="tableau | cellule | (normal) | decimal 2 2 2" xfId="1213" xr:uid="{7B979FAE-93B0-4CFF-B083-B5F7CA69A60C}"/>
    <cellStyle name="tableau | cellule | (normal) | decimal 2 2 2 2" xfId="2192" xr:uid="{5CC18C0F-E874-4D12-B5FD-4407F0E024E9}"/>
    <cellStyle name="tableau | cellule | (normal) | decimal 2 2 3" xfId="2191" xr:uid="{74172721-6893-4ECE-8115-FE6D06BED55E}"/>
    <cellStyle name="tableau | cellule | (normal) | decimal 2 3" xfId="1214" xr:uid="{85CF1225-30E1-4ECF-A083-28CB22F18933}"/>
    <cellStyle name="tableau | cellule | (normal) | decimal 2 3 2" xfId="2193" xr:uid="{C35C0DD6-B09A-44B0-AC0C-4BA1E3BF49D9}"/>
    <cellStyle name="tableau | cellule | (normal) | decimal 2 4" xfId="1215" xr:uid="{8F4EBEF3-5685-4573-B032-D94D7A644B39}"/>
    <cellStyle name="tableau | cellule | (normal) | decimal 2 4 2" xfId="2194" xr:uid="{F92AE7F5-BD22-4EC1-AFDF-D352663B244F}"/>
    <cellStyle name="tableau | cellule | (normal) | decimal 2 5" xfId="1216" xr:uid="{3F0D5DAD-974B-4729-B2CE-E08776EBE30D}"/>
    <cellStyle name="tableau | cellule | (normal) | decimal 2 5 2" xfId="2195" xr:uid="{670E0CDB-575C-407A-A38B-4532CF9774AE}"/>
    <cellStyle name="tableau | cellule | (normal) | decimal 2 6" xfId="2190" xr:uid="{1852E166-600E-4F99-A332-B0B2BFAD5571}"/>
    <cellStyle name="tableau | cellule | (normal) | decimal 3" xfId="1217" xr:uid="{7A2B10D0-D363-4EED-9841-D4D6F2EEC9D2}"/>
    <cellStyle name="tableau | cellule | (normal) | decimal 3 2" xfId="1218" xr:uid="{E75B0B90-6EEF-4C7F-8757-71F60AD5219E}"/>
    <cellStyle name="tableau | cellule | (normal) | decimal 3 2 2" xfId="1219" xr:uid="{96385CA9-430F-4976-B528-752E92A657E2}"/>
    <cellStyle name="tableau | cellule | (normal) | decimal 3 2 2 2" xfId="2198" xr:uid="{9F159AAD-6E1A-4027-A650-119E105C25F1}"/>
    <cellStyle name="tableau | cellule | (normal) | decimal 3 2 3" xfId="2197" xr:uid="{F13A4198-7F98-49FF-B8F7-4D88429B99A0}"/>
    <cellStyle name="tableau | cellule | (normal) | decimal 3 3" xfId="1220" xr:uid="{B627B4DE-57B0-4CB4-B5ED-3355473C9DE5}"/>
    <cellStyle name="tableau | cellule | (normal) | decimal 3 3 2" xfId="2199" xr:uid="{F83524F0-DE01-4255-8862-CF2881A44A94}"/>
    <cellStyle name="tableau | cellule | (normal) | decimal 3 4" xfId="1221" xr:uid="{6EF718E1-8EC5-42FF-83D6-E23B70BA278D}"/>
    <cellStyle name="tableau | cellule | (normal) | decimal 3 4 2" xfId="2200" xr:uid="{6E108234-1034-4085-844F-98209F8E4401}"/>
    <cellStyle name="tableau | cellule | (normal) | decimal 3 5" xfId="1222" xr:uid="{9174EB32-8F1F-4EDD-86DA-4FED803A1DE5}"/>
    <cellStyle name="tableau | cellule | (normal) | decimal 3 5 2" xfId="2201" xr:uid="{B119DC7F-27AD-467C-8D84-13C4E128EDC7}"/>
    <cellStyle name="tableau | cellule | (normal) | decimal 3 6" xfId="2196" xr:uid="{252413F7-290B-4BD1-8E4E-3A830D663221}"/>
    <cellStyle name="tableau | cellule | (normal) | decimal 4" xfId="1223" xr:uid="{5FA55F7E-4E74-44D6-A1F1-087A33C0E0FE}"/>
    <cellStyle name="tableau | cellule | (normal) | decimal 4 2" xfId="1224" xr:uid="{7270180F-B083-4C79-8A6E-0357FD7A8781}"/>
    <cellStyle name="tableau | cellule | (normal) | decimal 4 2 2" xfId="1225" xr:uid="{AC26AF84-BC7A-4C01-950F-CBE63CA79E01}"/>
    <cellStyle name="tableau | cellule | (normal) | decimal 4 2 2 2" xfId="2204" xr:uid="{8A377EA7-B081-4ECB-AB12-C5E930C81E3A}"/>
    <cellStyle name="tableau | cellule | (normal) | decimal 4 2 3" xfId="2203" xr:uid="{A6C5C76D-CEAD-433A-B43F-91BC7886DF00}"/>
    <cellStyle name="tableau | cellule | (normal) | decimal 4 3" xfId="1226" xr:uid="{6035D570-BC67-4085-8FC4-52534EA48CFD}"/>
    <cellStyle name="tableau | cellule | (normal) | decimal 4 3 2" xfId="2205" xr:uid="{CC7F79A3-B1B1-4A6E-A7A6-E147DEC91F5F}"/>
    <cellStyle name="tableau | cellule | (normal) | decimal 4 4" xfId="1227" xr:uid="{2A0B7856-25F2-464F-8A62-EB2937DFDD7E}"/>
    <cellStyle name="tableau | cellule | (normal) | decimal 4 4 2" xfId="2206" xr:uid="{AB331E80-584E-4178-BE23-2B340F4C8B4D}"/>
    <cellStyle name="tableau | cellule | (normal) | decimal 4 5" xfId="1228" xr:uid="{9BF018AF-6DAE-4FAB-AF2A-AD26BAD64949}"/>
    <cellStyle name="tableau | cellule | (normal) | decimal 4 5 2" xfId="2207" xr:uid="{A8A7E2A1-284A-4AE9-A7A5-D42B4D2292BB}"/>
    <cellStyle name="tableau | cellule | (normal) | decimal 4 6" xfId="2202" xr:uid="{EFB84C04-E88B-4697-90DC-D3777C63FB3D}"/>
    <cellStyle name="tableau | cellule | (normal) | entier" xfId="1229" xr:uid="{EEC13EAD-B0F8-4494-BBB5-8F726553A0A0}"/>
    <cellStyle name="tableau | cellule | (normal) | entier 2" xfId="1230" xr:uid="{52DE1E9A-1502-49E5-B4F2-2617DCBCB0AC}"/>
    <cellStyle name="tableau | cellule | (normal) | entier 2 2" xfId="1231" xr:uid="{576E91CD-BDC7-43AE-AD5B-3ADC6AAD4FF6}"/>
    <cellStyle name="tableau | cellule | (normal) | entier 2 2 2" xfId="2210" xr:uid="{7817372B-444C-4F06-9DE1-C5E9A60A4FC8}"/>
    <cellStyle name="tableau | cellule | (normal) | entier 2 3" xfId="2209" xr:uid="{88B70DF7-50BE-4DC4-AD4A-95AB12EF1328}"/>
    <cellStyle name="tableau | cellule | (normal) | entier 3" xfId="1232" xr:uid="{16A5822F-4234-4DD8-ABAD-4CD80618CEC8}"/>
    <cellStyle name="tableau | cellule | (normal) | entier 3 2" xfId="2211" xr:uid="{250EA960-1B00-45A3-903B-2B341083679F}"/>
    <cellStyle name="tableau | cellule | (normal) | entier 4" xfId="1233" xr:uid="{CAC8E7E6-5E63-41A7-ACFB-7ED4AF0FABEA}"/>
    <cellStyle name="tableau | cellule | (normal) | entier 4 2" xfId="2212" xr:uid="{B1F11550-7A72-4EEC-A318-4F666673B880}"/>
    <cellStyle name="tableau | cellule | (normal) | entier 5" xfId="1234" xr:uid="{26BFC364-656F-4588-A4E6-91E94A0C20A4}"/>
    <cellStyle name="tableau | cellule | (normal) | entier 5 2" xfId="2213" xr:uid="{8F66A4B3-D87F-452A-9499-2CB1FB4AD4B1}"/>
    <cellStyle name="tableau | cellule | (normal) | entier 6" xfId="2208" xr:uid="{7EEA387B-897D-4B98-B9EA-14398A2ABAF9}"/>
    <cellStyle name="tableau | cellule | (normal) | euro | decimal 1" xfId="1235" xr:uid="{2425E2FD-B347-477A-8315-CE7A8B81FF20}"/>
    <cellStyle name="tableau | cellule | (normal) | euro | decimal 1 2" xfId="1236" xr:uid="{F3941AE5-2E52-408A-B87F-B5C73856504A}"/>
    <cellStyle name="tableau | cellule | (normal) | euro | decimal 1 2 2" xfId="1237" xr:uid="{F6E7CF7D-B214-482D-A9B7-769FB8C95706}"/>
    <cellStyle name="tableau | cellule | (normal) | euro | decimal 1 2 2 2" xfId="2216" xr:uid="{6BE65360-E476-4483-AE54-BB1918A97FE9}"/>
    <cellStyle name="tableau | cellule | (normal) | euro | decimal 1 2 3" xfId="2215" xr:uid="{F0ED3C52-4D84-471D-A585-0BA13FE3C588}"/>
    <cellStyle name="tableau | cellule | (normal) | euro | decimal 1 3" xfId="1238" xr:uid="{2621F25C-0604-472B-A212-861861768C5B}"/>
    <cellStyle name="tableau | cellule | (normal) | euro | decimal 1 3 2" xfId="2217" xr:uid="{5F9205AE-2B53-4A3D-907F-0B8AB72843BD}"/>
    <cellStyle name="tableau | cellule | (normal) | euro | decimal 1 4" xfId="1239" xr:uid="{A4B7C62D-989E-4C72-8079-50C9E10CE07E}"/>
    <cellStyle name="tableau | cellule | (normal) | euro | decimal 1 4 2" xfId="2218" xr:uid="{959DDD4C-9BA1-4088-868C-9C9D1D43CF54}"/>
    <cellStyle name="tableau | cellule | (normal) | euro | decimal 1 5" xfId="1240" xr:uid="{E0E56415-4980-4851-8ABD-130409D38930}"/>
    <cellStyle name="tableau | cellule | (normal) | euro | decimal 1 5 2" xfId="2219" xr:uid="{CDD86595-32E0-4428-B3C8-402FA822FE79}"/>
    <cellStyle name="tableau | cellule | (normal) | euro | decimal 1 6" xfId="2214" xr:uid="{F74C3C89-83BE-4EAC-A839-9F289BD85028}"/>
    <cellStyle name="tableau | cellule | (normal) | euro | decimal 2" xfId="1241" xr:uid="{60526A4A-67CE-40CB-B99A-436AD764952E}"/>
    <cellStyle name="tableau | cellule | (normal) | euro | decimal 2 2" xfId="1242" xr:uid="{731DBF33-834B-49CB-91AF-EA7803ED094C}"/>
    <cellStyle name="tableau | cellule | (normal) | euro | decimal 2 2 2" xfId="1243" xr:uid="{F1ECF607-25F0-4FDE-8396-2BDCB2CA92DB}"/>
    <cellStyle name="tableau | cellule | (normal) | euro | decimal 2 2 2 2" xfId="2222" xr:uid="{B01C7B71-67D2-4A96-BAB3-0ADC4A5D18DE}"/>
    <cellStyle name="tableau | cellule | (normal) | euro | decimal 2 2 3" xfId="2221" xr:uid="{98FDAC81-B4A8-4CAE-BD37-4CC90B016FBA}"/>
    <cellStyle name="tableau | cellule | (normal) | euro | decimal 2 3" xfId="1244" xr:uid="{985CD60C-F36E-4E08-9DAD-7B859D82A698}"/>
    <cellStyle name="tableau | cellule | (normal) | euro | decimal 2 3 2" xfId="2223" xr:uid="{93603F75-4483-4479-9D0D-4B38F87631D8}"/>
    <cellStyle name="tableau | cellule | (normal) | euro | decimal 2 4" xfId="1245" xr:uid="{B726321A-35F6-4A4C-9005-1CE00AF6775E}"/>
    <cellStyle name="tableau | cellule | (normal) | euro | decimal 2 4 2" xfId="2224" xr:uid="{937BD746-D9AB-49BE-B0C3-4A5CF0A1C8CD}"/>
    <cellStyle name="tableau | cellule | (normal) | euro | decimal 2 5" xfId="1246" xr:uid="{6BD75D9F-A2F0-4ACB-BF97-ACEE6A7E52BB}"/>
    <cellStyle name="tableau | cellule | (normal) | euro | decimal 2 5 2" xfId="2225" xr:uid="{13BB453A-BD6B-4089-B0AF-5227E4E5BC29}"/>
    <cellStyle name="tableau | cellule | (normal) | euro | decimal 2 6" xfId="2220" xr:uid="{2382C204-A151-4333-B6BC-BB49E731992E}"/>
    <cellStyle name="tableau | cellule | (normal) | euro | entier" xfId="1247" xr:uid="{B70A1517-D498-411C-8AFC-8FB59B25C1A7}"/>
    <cellStyle name="tableau | cellule | (normal) | euro | entier 2" xfId="1248" xr:uid="{D0831A5B-B39D-4DA9-91C9-CF816609D8D2}"/>
    <cellStyle name="tableau | cellule | (normal) | euro | entier 2 2" xfId="1249" xr:uid="{676C926D-46E4-4F91-B816-4587697A9B07}"/>
    <cellStyle name="tableau | cellule | (normal) | euro | entier 2 2 2" xfId="2228" xr:uid="{A3F6F9DF-6B8C-4CDE-B10E-25A6B49CCDD8}"/>
    <cellStyle name="tableau | cellule | (normal) | euro | entier 2 3" xfId="2227" xr:uid="{3E60F360-3A15-4E78-99A8-519F5CD9CC4D}"/>
    <cellStyle name="tableau | cellule | (normal) | euro | entier 3" xfId="1250" xr:uid="{CFFDA347-CCCB-4FB6-A151-DD24C0F846EA}"/>
    <cellStyle name="tableau | cellule | (normal) | euro | entier 3 2" xfId="2229" xr:uid="{9A25F6B2-53DC-4EAB-91AB-5615890858AF}"/>
    <cellStyle name="tableau | cellule | (normal) | euro | entier 4" xfId="1251" xr:uid="{9901E070-D989-444A-82BB-30922E2B2A24}"/>
    <cellStyle name="tableau | cellule | (normal) | euro | entier 4 2" xfId="2230" xr:uid="{0EE8F58A-7BD5-494F-9B0C-D039F808B91B}"/>
    <cellStyle name="tableau | cellule | (normal) | euro | entier 5" xfId="1252" xr:uid="{8EA372CD-C389-414E-963A-A9EE4E070D6D}"/>
    <cellStyle name="tableau | cellule | (normal) | euro | entier 5 2" xfId="2231" xr:uid="{7DA53DA3-6EE3-4A90-B014-A09B8431FD1F}"/>
    <cellStyle name="tableau | cellule | (normal) | euro | entier 6" xfId="2226" xr:uid="{68EC969F-DA30-4F92-983A-B491597EF61B}"/>
    <cellStyle name="tableau | cellule | (normal) | franc | decimal 1" xfId="1253" xr:uid="{5D84108C-6387-4D10-835D-80F097C74592}"/>
    <cellStyle name="tableau | cellule | (normal) | franc | decimal 1 2" xfId="1254" xr:uid="{8DE1836C-F93B-41D3-8C39-165D620C9A00}"/>
    <cellStyle name="tableau | cellule | (normal) | franc | decimal 1 2 2" xfId="1255" xr:uid="{FE47F8F3-26AD-4842-AD26-FF56D348AFFB}"/>
    <cellStyle name="tableau | cellule | (normal) | franc | decimal 1 2 2 2" xfId="2234" xr:uid="{0297A354-18AC-4C8B-B1A8-76CFCF622A24}"/>
    <cellStyle name="tableau | cellule | (normal) | franc | decimal 1 2 3" xfId="2233" xr:uid="{02069786-EEA3-4920-9FC6-282ABE9C8A71}"/>
    <cellStyle name="tableau | cellule | (normal) | franc | decimal 1 3" xfId="1256" xr:uid="{DAF7D5CD-90E2-45E9-B087-88D3FFCA3618}"/>
    <cellStyle name="tableau | cellule | (normal) | franc | decimal 1 3 2" xfId="2235" xr:uid="{697DBF48-5854-4610-A42D-161606CD4F4D}"/>
    <cellStyle name="tableau | cellule | (normal) | franc | decimal 1 4" xfId="1257" xr:uid="{3279C641-CCFB-4AE4-A99A-0DDC25800772}"/>
    <cellStyle name="tableau | cellule | (normal) | franc | decimal 1 4 2" xfId="2236" xr:uid="{DAFD2966-128F-4528-A453-5B2D55C6F1A2}"/>
    <cellStyle name="tableau | cellule | (normal) | franc | decimal 1 5" xfId="1258" xr:uid="{B6839744-96ED-4CB9-87B6-958C002F62E4}"/>
    <cellStyle name="tableau | cellule | (normal) | franc | decimal 1 5 2" xfId="2237" xr:uid="{229A6FDA-46C5-40FA-821A-CA4B2BE45E8C}"/>
    <cellStyle name="tableau | cellule | (normal) | franc | decimal 1 6" xfId="2232" xr:uid="{82B35AFE-9EB6-4624-A238-08E41A48D584}"/>
    <cellStyle name="tableau | cellule | (normal) | franc | decimal 2" xfId="1259" xr:uid="{0CDB770B-8108-4ED1-B7DE-14483079E3B3}"/>
    <cellStyle name="tableau | cellule | (normal) | franc | decimal 2 2" xfId="1260" xr:uid="{79F4BAC1-DF95-471D-8310-89B34663A6CC}"/>
    <cellStyle name="tableau | cellule | (normal) | franc | decimal 2 2 2" xfId="1261" xr:uid="{0AE27701-5562-41DF-8217-D45C43664C1B}"/>
    <cellStyle name="tableau | cellule | (normal) | franc | decimal 2 2 2 2" xfId="2240" xr:uid="{6381806E-FA22-474C-A842-D46867B75408}"/>
    <cellStyle name="tableau | cellule | (normal) | franc | decimal 2 2 3" xfId="2239" xr:uid="{6799611E-70A1-490F-8847-B618747D8867}"/>
    <cellStyle name="tableau | cellule | (normal) | franc | decimal 2 3" xfId="1262" xr:uid="{0B9C978E-418F-449D-A4E3-2D47207242EF}"/>
    <cellStyle name="tableau | cellule | (normal) | franc | decimal 2 3 2" xfId="2241" xr:uid="{5B5BAB74-A558-4570-AA5E-C326990E2DA8}"/>
    <cellStyle name="tableau | cellule | (normal) | franc | decimal 2 4" xfId="1263" xr:uid="{C55508AD-1724-42D6-A9C6-94951888F0C4}"/>
    <cellStyle name="tableau | cellule | (normal) | franc | decimal 2 4 2" xfId="2242" xr:uid="{B3CF51FE-7064-4ECD-A70B-7DAB7FE2AB0F}"/>
    <cellStyle name="tableau | cellule | (normal) | franc | decimal 2 5" xfId="1264" xr:uid="{FF059A94-477F-4917-B302-C0449760E701}"/>
    <cellStyle name="tableau | cellule | (normal) | franc | decimal 2 5 2" xfId="2243" xr:uid="{0FFCFE2D-7423-4A19-8539-89376D44DFC7}"/>
    <cellStyle name="tableau | cellule | (normal) | franc | decimal 2 6" xfId="2238" xr:uid="{D8F09650-5DD4-42FC-96CF-DB64BCC72397}"/>
    <cellStyle name="tableau | cellule | (normal) | franc | entier" xfId="1265" xr:uid="{0DC93C6F-8631-4C3F-87A4-65901BC2B09B}"/>
    <cellStyle name="tableau | cellule | (normal) | franc | entier 2" xfId="1266" xr:uid="{12FD13BF-7FCF-4E91-9EE4-E87AC642FA98}"/>
    <cellStyle name="tableau | cellule | (normal) | franc | entier 2 2" xfId="1267" xr:uid="{055FF640-DB70-4204-8243-D97004E1ED19}"/>
    <cellStyle name="tableau | cellule | (normal) | franc | entier 2 2 2" xfId="2246" xr:uid="{075E3E49-C38C-43A5-A068-9EB1BF71616C}"/>
    <cellStyle name="tableau | cellule | (normal) | franc | entier 2 3" xfId="2245" xr:uid="{659FFE5E-E72C-497D-8756-0004427C04FA}"/>
    <cellStyle name="tableau | cellule | (normal) | franc | entier 3" xfId="1268" xr:uid="{F6ED691C-BE11-4D74-B44E-C75925F16577}"/>
    <cellStyle name="tableau | cellule | (normal) | franc | entier 3 2" xfId="2247" xr:uid="{746010D6-885B-44B6-8409-215A8A65299D}"/>
    <cellStyle name="tableau | cellule | (normal) | franc | entier 4" xfId="1269" xr:uid="{BC89C0DF-1FC5-4623-899D-14D8DFC1B588}"/>
    <cellStyle name="tableau | cellule | (normal) | franc | entier 4 2" xfId="2248" xr:uid="{E046120D-6CDC-4311-8F5A-BE45CE152312}"/>
    <cellStyle name="tableau | cellule | (normal) | franc | entier 5" xfId="1270" xr:uid="{3B989AE8-516B-4D78-BE41-C729EC89857C}"/>
    <cellStyle name="tableau | cellule | (normal) | franc | entier 5 2" xfId="2249" xr:uid="{9A48B70D-615A-40A9-8397-489F1C1A2C39}"/>
    <cellStyle name="tableau | cellule | (normal) | franc | entier 6" xfId="2244" xr:uid="{2B57A5B3-59A2-47FA-A49D-200720656499}"/>
    <cellStyle name="tableau | cellule | (normal) | pourcentage | decimal 1" xfId="1271" xr:uid="{AA7BC9B3-55C7-4E3D-860E-6E9042073F91}"/>
    <cellStyle name="tableau | cellule | (normal) | pourcentage | decimal 1 2" xfId="1272" xr:uid="{7646D035-E78C-4FA2-8D53-4CB8A1878E7F}"/>
    <cellStyle name="tableau | cellule | (normal) | pourcentage | decimal 1 2 2" xfId="1273" xr:uid="{1088FF4B-9388-4744-8455-25F5DDF041F3}"/>
    <cellStyle name="tableau | cellule | (normal) | pourcentage | decimal 1 2 2 2" xfId="2252" xr:uid="{E7D658AF-D4A6-43CF-B444-78EE12A47648}"/>
    <cellStyle name="tableau | cellule | (normal) | pourcentage | decimal 1 2 3" xfId="2251" xr:uid="{821E8AE9-F411-4C8F-B7BC-3AAD366D27D5}"/>
    <cellStyle name="tableau | cellule | (normal) | pourcentage | decimal 1 3" xfId="1274" xr:uid="{67B5E5D7-2444-4A14-A1BE-BE0469FE53BD}"/>
    <cellStyle name="tableau | cellule | (normal) | pourcentage | decimal 1 3 2" xfId="2253" xr:uid="{F4079009-29A3-4445-9D7B-C6E3B46E8DD1}"/>
    <cellStyle name="tableau | cellule | (normal) | pourcentage | decimal 1 4" xfId="1275" xr:uid="{5106BDE0-CF0B-4B61-AB50-00BB2EEAABFA}"/>
    <cellStyle name="tableau | cellule | (normal) | pourcentage | decimal 1 4 2" xfId="2254" xr:uid="{DA9E00FC-051E-4850-9116-51FD715E5012}"/>
    <cellStyle name="tableau | cellule | (normal) | pourcentage | decimal 1 5" xfId="1276" xr:uid="{CDDEFE5F-860D-45CF-A024-F6684648D8B1}"/>
    <cellStyle name="tableau | cellule | (normal) | pourcentage | decimal 1 5 2" xfId="2255" xr:uid="{619BCACD-A90B-4F47-BE53-AD9EF43730F8}"/>
    <cellStyle name="tableau | cellule | (normal) | pourcentage | decimal 1 6" xfId="2250" xr:uid="{46015197-1C57-4239-8C34-625457D8A6DC}"/>
    <cellStyle name="tableau | cellule | (normal) | pourcentage | decimal 2" xfId="1277" xr:uid="{1B4A3F03-65D9-474F-A2DB-18EE7E0D81C7}"/>
    <cellStyle name="tableau | cellule | (normal) | pourcentage | decimal 2 2" xfId="1278" xr:uid="{01F3EC19-525D-4954-991A-A30AF9091D2A}"/>
    <cellStyle name="tableau | cellule | (normal) | pourcentage | decimal 2 2 2" xfId="1279" xr:uid="{9490A471-4367-498C-AC88-2B20BC9BA074}"/>
    <cellStyle name="tableau | cellule | (normal) | pourcentage | decimal 2 2 2 2" xfId="2258" xr:uid="{28DD9B7C-AABE-4B11-84B2-DF456260745D}"/>
    <cellStyle name="tableau | cellule | (normal) | pourcentage | decimal 2 2 3" xfId="2257" xr:uid="{D90F7917-D2FA-464B-BBDA-2077FFF466F6}"/>
    <cellStyle name="tableau | cellule | (normal) | pourcentage | decimal 2 3" xfId="1280" xr:uid="{73D71ED9-83FB-4ED1-A987-4B0F01CD79DE}"/>
    <cellStyle name="tableau | cellule | (normal) | pourcentage | decimal 2 3 2" xfId="2259" xr:uid="{580EEA23-309C-4F75-8595-BBEBD9043F3D}"/>
    <cellStyle name="tableau | cellule | (normal) | pourcentage | decimal 2 4" xfId="1281" xr:uid="{18724055-0B70-4041-B387-2FB90565E72D}"/>
    <cellStyle name="tableau | cellule | (normal) | pourcentage | decimal 2 4 2" xfId="2260" xr:uid="{36EB32F9-6B03-48B9-AC9C-3A589ED80216}"/>
    <cellStyle name="tableau | cellule | (normal) | pourcentage | decimal 2 5" xfId="1282" xr:uid="{F045E875-C613-4369-90E6-8FDC3DDA6D1A}"/>
    <cellStyle name="tableau | cellule | (normal) | pourcentage | decimal 2 5 2" xfId="2261" xr:uid="{23CC36E9-D38F-4A7A-9A90-A53503FA2CE5}"/>
    <cellStyle name="tableau | cellule | (normal) | pourcentage | decimal 2 6" xfId="2256" xr:uid="{DD8EE500-F3EF-4F7E-8297-196EA02D349B}"/>
    <cellStyle name="tableau | cellule | (normal) | pourcentage | entier" xfId="1283" xr:uid="{9CCB8620-AB35-4294-8EF6-A3F45942DA8D}"/>
    <cellStyle name="tableau | cellule | (normal) | pourcentage | entier 2" xfId="1284" xr:uid="{04758A57-8E92-455D-B0A7-5A15B702831F}"/>
    <cellStyle name="tableau | cellule | (normal) | pourcentage | entier 2 2" xfId="1285" xr:uid="{9BCFAEEA-5043-41E6-BCD3-07E04E2879DA}"/>
    <cellStyle name="tableau | cellule | (normal) | pourcentage | entier 2 2 2" xfId="2264" xr:uid="{32C90C72-1CC3-4F7A-B5C3-ADD691E76784}"/>
    <cellStyle name="tableau | cellule | (normal) | pourcentage | entier 2 3" xfId="2263" xr:uid="{277E2C6D-6944-48BE-9567-0DCA2B755239}"/>
    <cellStyle name="tableau | cellule | (normal) | pourcentage | entier 3" xfId="1286" xr:uid="{84194CF4-FA97-4821-B7D4-786082FA0833}"/>
    <cellStyle name="tableau | cellule | (normal) | pourcentage | entier 3 2" xfId="2265" xr:uid="{8CD03A4D-F067-452F-9198-26037DCB3AF8}"/>
    <cellStyle name="tableau | cellule | (normal) | pourcentage | entier 4" xfId="1287" xr:uid="{0BB4CB48-67E3-4703-9B6C-36758C4BAD5E}"/>
    <cellStyle name="tableau | cellule | (normal) | pourcentage | entier 4 2" xfId="2266" xr:uid="{77C8F21C-0A9F-4B15-A7FD-9B75915DE251}"/>
    <cellStyle name="tableau | cellule | (normal) | pourcentage | entier 5" xfId="1288" xr:uid="{71DED347-61E2-460B-BEEC-6E18D656222D}"/>
    <cellStyle name="tableau | cellule | (normal) | pourcentage | entier 5 2" xfId="2267" xr:uid="{785EED82-3850-4A50-9AA5-303BA593519C}"/>
    <cellStyle name="tableau | cellule | (normal) | pourcentage | entier 6" xfId="2262" xr:uid="{FB9B2C15-86F8-4690-A4EB-B76B4C3D004D}"/>
    <cellStyle name="tableau | cellule | (normal) | standard" xfId="1289" xr:uid="{88262AB9-706D-4E2A-B209-FD5CEA06AFF4}"/>
    <cellStyle name="tableau | cellule | (normal) | standard 2" xfId="1290" xr:uid="{1A92C950-8155-4220-ADF8-85F696E2CA44}"/>
    <cellStyle name="tableau | cellule | (normal) | standard 2 2" xfId="1291" xr:uid="{9E3843A5-D393-492A-8519-323A758A3427}"/>
    <cellStyle name="tableau | cellule | (normal) | standard 2 2 2" xfId="2270" xr:uid="{11C981BD-97E6-4B1E-9765-BAAE85F03134}"/>
    <cellStyle name="tableau | cellule | (normal) | standard 2 3" xfId="2269" xr:uid="{59E12780-3B96-41A1-B1BE-C4A7E0BF45E2}"/>
    <cellStyle name="tableau | cellule | (normal) | standard 3" xfId="1292" xr:uid="{90DAE492-F225-47BE-8772-099C2120CCB6}"/>
    <cellStyle name="tableau | cellule | (normal) | standard 3 2" xfId="2271" xr:uid="{C52A84D3-F3CF-49D9-8D89-D424ADE91D8D}"/>
    <cellStyle name="tableau | cellule | (normal) | standard 4" xfId="1293" xr:uid="{67A963BA-B4DB-4378-B1AA-539A61C526B5}"/>
    <cellStyle name="tableau | cellule | (normal) | standard 4 2" xfId="2272" xr:uid="{5A99DC25-0E89-4A42-829B-779C70991155}"/>
    <cellStyle name="tableau | cellule | (normal) | standard 5" xfId="1294" xr:uid="{9F1F5CDE-D89C-4C4A-B93B-9DF58DBB5288}"/>
    <cellStyle name="tableau | cellule | (normal) | standard 5 2" xfId="2273" xr:uid="{B5F80C15-993A-4EAD-A4CD-4F549811ADE5}"/>
    <cellStyle name="tableau | cellule | (normal) | standard 6" xfId="2268" xr:uid="{2A61A9DD-8644-437A-A030-8B8053508609}"/>
    <cellStyle name="tableau | cellule | (normal) | texte" xfId="1295" xr:uid="{BCA3770E-0CD5-412E-B276-825C988CEE5C}"/>
    <cellStyle name="tableau | cellule | (normal) | texte 2" xfId="1296" xr:uid="{06B8CEAC-8135-40F3-9102-40A98A03E1C2}"/>
    <cellStyle name="tableau | cellule | (normal) | texte 2 2" xfId="1297" xr:uid="{A7F71884-C32A-4965-8E6D-CD699D29A258}"/>
    <cellStyle name="tableau | cellule | (normal) | texte 2 2 2" xfId="2276" xr:uid="{6439D739-5E19-444E-8372-F8925E2621F1}"/>
    <cellStyle name="tableau | cellule | (normal) | texte 2 3" xfId="2275" xr:uid="{57619647-3549-456B-8769-7FB021737BCE}"/>
    <cellStyle name="tableau | cellule | (normal) | texte 3" xfId="1298" xr:uid="{4201C462-65C2-462F-9EA8-FE1D53A920F6}"/>
    <cellStyle name="tableau | cellule | (normal) | texte 3 2" xfId="2277" xr:uid="{2D01B3A6-F278-4945-8B36-27F4A737EC71}"/>
    <cellStyle name="tableau | cellule | (normal) | texte 4" xfId="1299" xr:uid="{2ED4E7AC-5AA7-4E96-A832-F80A402ADB46}"/>
    <cellStyle name="tableau | cellule | (normal) | texte 4 2" xfId="2278" xr:uid="{A1A49770-91C2-4860-AA1B-5900F1A9880E}"/>
    <cellStyle name="tableau | cellule | (normal) | texte 5" xfId="1300" xr:uid="{1DB02237-4F21-4B56-9A95-174CE3CCE772}"/>
    <cellStyle name="tableau | cellule | (normal) | texte 5 2" xfId="2279" xr:uid="{FEC769A0-696F-4BA3-8A9A-C3AB2A607C76}"/>
    <cellStyle name="tableau | cellule | (normal) | texte 6" xfId="2274" xr:uid="{B66742C8-36A3-42EA-ACF1-45C1ABEFD241}"/>
    <cellStyle name="tableau | cellule | (total) | decimal 1" xfId="1301" xr:uid="{888F7ADB-ADE8-44C3-A1F1-3E7968903DBC}"/>
    <cellStyle name="tableau | cellule | (total) | decimal 1 2" xfId="1302" xr:uid="{93EF5606-2A18-4CD5-8E9D-AE32EAC751B8}"/>
    <cellStyle name="tableau | cellule | (total) | decimal 1 2 2" xfId="2281" xr:uid="{92FE9AFD-910C-4240-A052-4D288947DF36}"/>
    <cellStyle name="tableau | cellule | (total) | decimal 1 3" xfId="1303" xr:uid="{ACF6E62B-E4B2-42D8-99CE-B27391960F65}"/>
    <cellStyle name="tableau | cellule | (total) | decimal 1 3 2" xfId="2282" xr:uid="{A3A133E7-F845-42FB-B90F-E7BBD0E29805}"/>
    <cellStyle name="tableau | cellule | (total) | decimal 1 4" xfId="1304" xr:uid="{76D93D9A-7B65-48B8-802B-CD40D1C7ED80}"/>
    <cellStyle name="tableau | cellule | (total) | decimal 1 4 2" xfId="2283" xr:uid="{F4F9AF8E-A702-4F6A-8EF5-00EF57C769C8}"/>
    <cellStyle name="tableau | cellule | (total) | decimal 1 5" xfId="1305" xr:uid="{F7DC3D1B-74D0-47B4-95D4-F965A6AE395A}"/>
    <cellStyle name="tableau | cellule | (total) | decimal 1 5 2" xfId="2284" xr:uid="{EB4186A6-40F4-4EF7-9AFA-1DDFAAFD1759}"/>
    <cellStyle name="tableau | cellule | (total) | decimal 1 6" xfId="2280" xr:uid="{42417A26-BCE7-4C34-BB78-B56E6A87E602}"/>
    <cellStyle name="tableau | cellule | (total) | decimal 2" xfId="1306" xr:uid="{A5547750-83F2-4856-A452-086C19AD68D4}"/>
    <cellStyle name="tableau | cellule | (total) | decimal 2 2" xfId="1307" xr:uid="{FE526C43-6279-4E2F-BAA3-5121A3DB1BF8}"/>
    <cellStyle name="tableau | cellule | (total) | decimal 2 2 2" xfId="2286" xr:uid="{C194AD10-3548-463A-8E9E-BCA6E9C8E856}"/>
    <cellStyle name="tableau | cellule | (total) | decimal 2 3" xfId="1308" xr:uid="{0AB246AE-623F-4F77-B8B8-4D97A33F5034}"/>
    <cellStyle name="tableau | cellule | (total) | decimal 2 3 2" xfId="2287" xr:uid="{1C51AEB0-9564-4B05-A41E-0575D28628CB}"/>
    <cellStyle name="tableau | cellule | (total) | decimal 2 4" xfId="1309" xr:uid="{29E70D29-2368-4B19-B78A-6153635B388D}"/>
    <cellStyle name="tableau | cellule | (total) | decimal 2 4 2" xfId="2288" xr:uid="{9A4A015A-74EC-4F2E-B9A3-0BFD16800EDF}"/>
    <cellStyle name="tableau | cellule | (total) | decimal 2 5" xfId="1310" xr:uid="{36342232-B901-4741-89FD-EC540D8636ED}"/>
    <cellStyle name="tableau | cellule | (total) | decimal 2 5 2" xfId="2289" xr:uid="{7D6EE227-710D-471C-9709-1EA759F94E95}"/>
    <cellStyle name="tableau | cellule | (total) | decimal 2 6" xfId="2285" xr:uid="{7050EBAA-17A5-447C-B78D-2CEF15DC8EBB}"/>
    <cellStyle name="tableau | cellule | (total) | decimal 3" xfId="1311" xr:uid="{E62E8DFA-FD06-4D81-BB5E-9309407DCC28}"/>
    <cellStyle name="tableau | cellule | (total) | decimal 3 2" xfId="1312" xr:uid="{CF490FDE-D071-4F01-92C2-8A75EBD1E8E8}"/>
    <cellStyle name="tableau | cellule | (total) | decimal 3 2 2" xfId="2291" xr:uid="{0C48F50B-7A20-4C10-BED2-4459D2A4DC7C}"/>
    <cellStyle name="tableau | cellule | (total) | decimal 3 3" xfId="1313" xr:uid="{3692138B-5332-4C35-84B7-4F1F776D2B86}"/>
    <cellStyle name="tableau | cellule | (total) | decimal 3 3 2" xfId="2292" xr:uid="{CDBB9879-B5A8-4972-A5CE-12551C199EB3}"/>
    <cellStyle name="tableau | cellule | (total) | decimal 3 4" xfId="1314" xr:uid="{73D86850-F4BF-4386-B7C5-827B29E3F971}"/>
    <cellStyle name="tableau | cellule | (total) | decimal 3 4 2" xfId="2293" xr:uid="{39A9D675-18E1-4502-A53D-274AAC88AA1B}"/>
    <cellStyle name="tableau | cellule | (total) | decimal 3 5" xfId="1315" xr:uid="{FF6E5685-9256-4163-A780-9753DFA4FDE7}"/>
    <cellStyle name="tableau | cellule | (total) | decimal 3 5 2" xfId="2294" xr:uid="{7672B575-8102-451E-9F43-38A5EA4C5DB4}"/>
    <cellStyle name="tableau | cellule | (total) | decimal 3 6" xfId="2290" xr:uid="{5C8532E0-101E-4A10-ADD4-42EA622F0408}"/>
    <cellStyle name="tableau | cellule | (total) | decimal 4" xfId="1316" xr:uid="{617B4D74-107B-4E31-83B2-09A7D8A77940}"/>
    <cellStyle name="tableau | cellule | (total) | decimal 4 2" xfId="1317" xr:uid="{D01CA069-8850-44A3-99A4-D9927E1ACEDF}"/>
    <cellStyle name="tableau | cellule | (total) | decimal 4 2 2" xfId="2296" xr:uid="{FA6E5F49-B285-4489-ADAE-BEB921F04308}"/>
    <cellStyle name="tableau | cellule | (total) | decimal 4 3" xfId="1318" xr:uid="{05C7C40F-FEB2-4AC6-A447-CDA25F6B1BEC}"/>
    <cellStyle name="tableau | cellule | (total) | decimal 4 3 2" xfId="2297" xr:uid="{0B1E1039-705D-4FA0-9D4C-2DEADB90E30A}"/>
    <cellStyle name="tableau | cellule | (total) | decimal 4 4" xfId="1319" xr:uid="{17B305D5-DD33-448A-A439-421FC4490287}"/>
    <cellStyle name="tableau | cellule | (total) | decimal 4 4 2" xfId="2298" xr:uid="{983D24DA-3370-4745-A049-21C3641AB5A3}"/>
    <cellStyle name="tableau | cellule | (total) | decimal 4 5" xfId="1320" xr:uid="{1D25D258-0468-47FC-ABE8-C6A603CE78EA}"/>
    <cellStyle name="tableau | cellule | (total) | decimal 4 5 2" xfId="2299" xr:uid="{14895845-D12D-40C3-9005-62FF4D704A5D}"/>
    <cellStyle name="tableau | cellule | (total) | decimal 4 6" xfId="2295" xr:uid="{5FDB2BFE-E7E2-4973-A4C3-2B860A07C4B1}"/>
    <cellStyle name="tableau | cellule | (total) | entier" xfId="1321" xr:uid="{0A2CF0D1-EE13-4CBA-9201-936830FDB383}"/>
    <cellStyle name="tableau | cellule | (total) | entier 2" xfId="1322" xr:uid="{216D6664-894B-42EE-B553-1E92DFE0C107}"/>
    <cellStyle name="tableau | cellule | (total) | entier 2 2" xfId="2301" xr:uid="{75807A66-44C6-4933-A8C8-FE5B7E1F65CE}"/>
    <cellStyle name="tableau | cellule | (total) | entier 3" xfId="1323" xr:uid="{2A4A2072-A4B9-4484-9958-04C030846F50}"/>
    <cellStyle name="tableau | cellule | (total) | entier 3 2" xfId="2302" xr:uid="{7DD323B6-DF0C-470F-B1FF-E0E42978B450}"/>
    <cellStyle name="tableau | cellule | (total) | entier 4" xfId="1324" xr:uid="{94A45B58-8502-4936-898E-D7C61ECBD8E3}"/>
    <cellStyle name="tableau | cellule | (total) | entier 4 2" xfId="2303" xr:uid="{DDB1F009-0676-4F5C-80B8-C34388EB9F42}"/>
    <cellStyle name="tableau | cellule | (total) | entier 5" xfId="1325" xr:uid="{F77A2140-502E-4A00-A72E-C6D56E34F9A1}"/>
    <cellStyle name="tableau | cellule | (total) | entier 5 2" xfId="2304" xr:uid="{013E731D-9D7A-44EC-A534-BC723284A08E}"/>
    <cellStyle name="tableau | cellule | (total) | entier 6" xfId="2300" xr:uid="{681FCE6E-FCBA-4A4F-AC8A-FFFE72763B53}"/>
    <cellStyle name="tableau | cellule | (total) | euro | decimal 1" xfId="1326" xr:uid="{C47FCC2C-6C82-4747-8FD8-63F482EA5660}"/>
    <cellStyle name="tableau | cellule | (total) | euro | decimal 1 2" xfId="1327" xr:uid="{5A35F3E3-1254-4B88-A15D-A00DF9192E04}"/>
    <cellStyle name="tableau | cellule | (total) | euro | decimal 1 2 2" xfId="2306" xr:uid="{FD314A54-0D98-49FC-95DA-E7959442D2B4}"/>
    <cellStyle name="tableau | cellule | (total) | euro | decimal 1 3" xfId="1328" xr:uid="{B2DBC285-76A1-438C-8CFF-F07FF49AC65C}"/>
    <cellStyle name="tableau | cellule | (total) | euro | decimal 1 3 2" xfId="2307" xr:uid="{BB34AF20-8949-4911-9D02-E94DAE22C465}"/>
    <cellStyle name="tableau | cellule | (total) | euro | decimal 1 4" xfId="1329" xr:uid="{F2701076-A249-49F5-9AB1-594272859A8F}"/>
    <cellStyle name="tableau | cellule | (total) | euro | decimal 1 4 2" xfId="2308" xr:uid="{13091553-E61A-4BA2-9899-8FF791A24C82}"/>
    <cellStyle name="tableau | cellule | (total) | euro | decimal 1 5" xfId="1330" xr:uid="{A8A30389-535B-4E49-92D2-B4D9FBD5C153}"/>
    <cellStyle name="tableau | cellule | (total) | euro | decimal 1 5 2" xfId="2309" xr:uid="{98C2A195-2879-40F2-8C88-36D60D278066}"/>
    <cellStyle name="tableau | cellule | (total) | euro | decimal 1 6" xfId="2305" xr:uid="{661C1EF5-F556-431C-A2E5-69F22E1F8E36}"/>
    <cellStyle name="tableau | cellule | (total) | euro | decimal 2" xfId="1331" xr:uid="{62FE08A3-0CAF-4782-B8DF-C26169399C64}"/>
    <cellStyle name="tableau | cellule | (total) | euro | decimal 2 2" xfId="1332" xr:uid="{7718BF8C-0579-4267-BE3A-A62AECCFFEB4}"/>
    <cellStyle name="tableau | cellule | (total) | euro | decimal 2 2 2" xfId="2311" xr:uid="{D15B0F8D-0D85-47C9-9435-7BC1F5EDDBD4}"/>
    <cellStyle name="tableau | cellule | (total) | euro | decimal 2 3" xfId="1333" xr:uid="{755DD1C0-5C3B-4AFC-BCF7-214444770F1C}"/>
    <cellStyle name="tableau | cellule | (total) | euro | decimal 2 3 2" xfId="2312" xr:uid="{44F6740F-BD31-4B88-9810-0793F5871830}"/>
    <cellStyle name="tableau | cellule | (total) | euro | decimal 2 4" xfId="1334" xr:uid="{119AF490-837B-4D39-AD9B-C5B2DAC77AB6}"/>
    <cellStyle name="tableau | cellule | (total) | euro | decimal 2 4 2" xfId="2313" xr:uid="{FE067E07-0623-4FC1-A6E9-B2B44F76E0E0}"/>
    <cellStyle name="tableau | cellule | (total) | euro | decimal 2 5" xfId="1335" xr:uid="{190A69FC-0D70-47D2-ABD7-71F542B0C389}"/>
    <cellStyle name="tableau | cellule | (total) | euro | decimal 2 5 2" xfId="2314" xr:uid="{2C9F7092-5587-405D-86BF-BFB919FCB3ED}"/>
    <cellStyle name="tableau | cellule | (total) | euro | decimal 2 6" xfId="2310" xr:uid="{563BD814-CDD0-4E19-9095-E49C88DC1A4A}"/>
    <cellStyle name="tableau | cellule | (total) | euro | entier" xfId="1336" xr:uid="{05A0DE6A-27E8-4FC0-BEF1-94551ADA5150}"/>
    <cellStyle name="tableau | cellule | (total) | euro | entier 2" xfId="1337" xr:uid="{CF461AEA-5BF7-4CCD-B772-6A431E35EA2E}"/>
    <cellStyle name="tableau | cellule | (total) | euro | entier 2 2" xfId="2316" xr:uid="{E30B862D-796F-4FE9-9AF2-BEC7C90F1344}"/>
    <cellStyle name="tableau | cellule | (total) | euro | entier 3" xfId="1338" xr:uid="{D091EADA-D8D4-48E9-8EAB-73AE64934D97}"/>
    <cellStyle name="tableau | cellule | (total) | euro | entier 3 2" xfId="2317" xr:uid="{EFA513B3-102B-4950-A16B-725C811660A4}"/>
    <cellStyle name="tableau | cellule | (total) | euro | entier 4" xfId="1339" xr:uid="{8CDD0986-76B3-433F-9D63-6D003C7A3965}"/>
    <cellStyle name="tableau | cellule | (total) | euro | entier 4 2" xfId="2318" xr:uid="{36B68CB6-8EAA-4D07-9D69-8BA95A3FCE2B}"/>
    <cellStyle name="tableau | cellule | (total) | euro | entier 5" xfId="1340" xr:uid="{7F33A7FA-75F7-44EE-9768-2B110FD86023}"/>
    <cellStyle name="tableau | cellule | (total) | euro | entier 5 2" xfId="2319" xr:uid="{5CA7A191-F504-48C6-ACF2-7A8F6C3A15CC}"/>
    <cellStyle name="tableau | cellule | (total) | euro | entier 6" xfId="2315" xr:uid="{3F582DB5-EA00-4B0A-9ECE-C61DA073ED7F}"/>
    <cellStyle name="tableau | cellule | (total) | franc | decimal 1" xfId="1341" xr:uid="{FD70EDDA-1C21-431A-98F8-3953DDF33D0D}"/>
    <cellStyle name="tableau | cellule | (total) | franc | decimal 1 2" xfId="1342" xr:uid="{A7B420F6-B19D-4A51-8EBE-F3FE4B7A3522}"/>
    <cellStyle name="tableau | cellule | (total) | franc | decimal 1 2 2" xfId="2321" xr:uid="{63E0C2F8-7A06-4DF6-AE38-CD8AE7784650}"/>
    <cellStyle name="tableau | cellule | (total) | franc | decimal 1 3" xfId="1343" xr:uid="{6EDCCF9E-06E4-454B-9ADC-1C61A5EF312F}"/>
    <cellStyle name="tableau | cellule | (total) | franc | decimal 1 3 2" xfId="2322" xr:uid="{DD470402-77C1-47DA-BB68-8BFB9A39011B}"/>
    <cellStyle name="tableau | cellule | (total) | franc | decimal 1 4" xfId="1344" xr:uid="{A6E4BEC8-2C23-41F0-9654-43899C4281B0}"/>
    <cellStyle name="tableau | cellule | (total) | franc | decimal 1 4 2" xfId="2323" xr:uid="{3E9B4154-5D63-40CC-86AC-09EBA4F7C60A}"/>
    <cellStyle name="tableau | cellule | (total) | franc | decimal 1 5" xfId="1345" xr:uid="{90463030-3C71-4D9A-A471-A0D98B2884C8}"/>
    <cellStyle name="tableau | cellule | (total) | franc | decimal 1 5 2" xfId="2324" xr:uid="{8B2290CC-85F9-45E6-80DD-94000C597D2C}"/>
    <cellStyle name="tableau | cellule | (total) | franc | decimal 1 6" xfId="2320" xr:uid="{D8F331BE-EC3C-4121-9A99-E38E37FE22E3}"/>
    <cellStyle name="tableau | cellule | (total) | franc | decimal 2" xfId="1346" xr:uid="{26C97F4F-2A6E-4864-AD2F-F8A192E919E3}"/>
    <cellStyle name="tableau | cellule | (total) | franc | decimal 2 2" xfId="1347" xr:uid="{51187612-D395-4D01-AA7A-81CDE177A546}"/>
    <cellStyle name="tableau | cellule | (total) | franc | decimal 2 2 2" xfId="2326" xr:uid="{39EC6B85-5B6E-4B72-B40B-9681866A8521}"/>
    <cellStyle name="tableau | cellule | (total) | franc | decimal 2 3" xfId="1348" xr:uid="{7B624DFE-5DBE-4F80-90C1-15434A1C9CC7}"/>
    <cellStyle name="tableau | cellule | (total) | franc | decimal 2 3 2" xfId="2327" xr:uid="{A5824875-31BA-4C88-BFA1-21555EA822C8}"/>
    <cellStyle name="tableau | cellule | (total) | franc | decimal 2 4" xfId="1349" xr:uid="{3C8B7165-4F59-4902-9A36-67E4F62BA792}"/>
    <cellStyle name="tableau | cellule | (total) | franc | decimal 2 4 2" xfId="2328" xr:uid="{2F4BC0EA-200E-43CF-B00B-42C9F4C6027A}"/>
    <cellStyle name="tableau | cellule | (total) | franc | decimal 2 5" xfId="1350" xr:uid="{71D2C6A7-3C65-4391-BEB1-8EE9F1258152}"/>
    <cellStyle name="tableau | cellule | (total) | franc | decimal 2 5 2" xfId="2329" xr:uid="{1C30613D-7397-4A27-A096-DCBFFC98FFE3}"/>
    <cellStyle name="tableau | cellule | (total) | franc | decimal 2 6" xfId="2325" xr:uid="{3C66723F-0A8A-48FC-AE15-6173ED92242F}"/>
    <cellStyle name="tableau | cellule | (total) | franc | entier" xfId="1351" xr:uid="{305F1649-4382-45E0-A87D-BCE80E5B61FA}"/>
    <cellStyle name="tableau | cellule | (total) | franc | entier 2" xfId="1352" xr:uid="{B412778E-F60F-418F-BD3F-07AEB16648BF}"/>
    <cellStyle name="tableau | cellule | (total) | franc | entier 2 2" xfId="2331" xr:uid="{47E36CC2-8003-48D8-A41D-0433D6DDC64D}"/>
    <cellStyle name="tableau | cellule | (total) | franc | entier 3" xfId="1353" xr:uid="{CBB9C9B8-5B64-408F-A3EF-CF8C1FF5EA32}"/>
    <cellStyle name="tableau | cellule | (total) | franc | entier 3 2" xfId="2332" xr:uid="{4F4C1EB4-1C4B-4387-913F-6942CE02A759}"/>
    <cellStyle name="tableau | cellule | (total) | franc | entier 4" xfId="1354" xr:uid="{0D6E5B7E-25A0-4F70-9ADB-E71E6CF2F2B0}"/>
    <cellStyle name="tableau | cellule | (total) | franc | entier 4 2" xfId="2333" xr:uid="{B431CBE1-983D-4FBA-9215-054D3C28C1B8}"/>
    <cellStyle name="tableau | cellule | (total) | franc | entier 5" xfId="1355" xr:uid="{8957C754-E248-4B56-A500-4C953A30C728}"/>
    <cellStyle name="tableau | cellule | (total) | franc | entier 5 2" xfId="2334" xr:uid="{6442AD22-E201-451C-903C-633C9650FB24}"/>
    <cellStyle name="tableau | cellule | (total) | franc | entier 6" xfId="2330" xr:uid="{BE28B1F0-5EBE-469C-800E-FCC5B9AE912F}"/>
    <cellStyle name="tableau | cellule | (total) | pourcentage | decimal 1" xfId="1356" xr:uid="{5E0A306F-E8E4-47D1-BBC2-228CD934BF57}"/>
    <cellStyle name="tableau | cellule | (total) | pourcentage | decimal 1 2" xfId="1357" xr:uid="{861500F2-A55B-4ECF-939F-8E28A569EC0B}"/>
    <cellStyle name="tableau | cellule | (total) | pourcentage | decimal 1 2 2" xfId="2336" xr:uid="{8B083CD2-246C-4FE6-A586-2E90388B9A1E}"/>
    <cellStyle name="tableau | cellule | (total) | pourcentage | decimal 1 3" xfId="1358" xr:uid="{01743A89-91ED-4ED5-80D3-0BE123EDFC34}"/>
    <cellStyle name="tableau | cellule | (total) | pourcentage | decimal 1 3 2" xfId="2337" xr:uid="{60C879C7-FCFB-4AFD-8A68-D1E0CBA2D1D2}"/>
    <cellStyle name="tableau | cellule | (total) | pourcentage | decimal 1 4" xfId="1359" xr:uid="{774F40F3-ACDE-4D49-B6F1-3DB57CFCEDB6}"/>
    <cellStyle name="tableau | cellule | (total) | pourcentage | decimal 1 4 2" xfId="2338" xr:uid="{45A65A01-8CFC-40FB-B27D-C22F24464CDB}"/>
    <cellStyle name="tableau | cellule | (total) | pourcentage | decimal 1 5" xfId="1360" xr:uid="{FAD7E848-FE7A-4C61-A66B-08255D75449B}"/>
    <cellStyle name="tableau | cellule | (total) | pourcentage | decimal 1 5 2" xfId="2339" xr:uid="{D80BA997-D7C6-440A-8E5D-E6502E00F01F}"/>
    <cellStyle name="tableau | cellule | (total) | pourcentage | decimal 1 6" xfId="2335" xr:uid="{91E4D24B-21C6-4BEC-BB22-03E4AEB03C59}"/>
    <cellStyle name="tableau | cellule | (total) | pourcentage | decimal 2" xfId="1361" xr:uid="{3CFCCA43-D166-472F-8C24-CBAC25EC5798}"/>
    <cellStyle name="tableau | cellule | (total) | pourcentage | decimal 2 2" xfId="1362" xr:uid="{41FF97E4-E3F0-4312-A2B8-0DD9BCF3BF89}"/>
    <cellStyle name="tableau | cellule | (total) | pourcentage | decimal 2 2 2" xfId="2341" xr:uid="{461BC80E-1B26-43B7-AC4B-E64833D47ECC}"/>
    <cellStyle name="tableau | cellule | (total) | pourcentage | decimal 2 3" xfId="1363" xr:uid="{7414EB7E-5A27-4B18-89C3-D94B7383B07F}"/>
    <cellStyle name="tableau | cellule | (total) | pourcentage | decimal 2 3 2" xfId="2342" xr:uid="{0FB16027-E74F-4FD0-B576-C793B3DE5401}"/>
    <cellStyle name="tableau | cellule | (total) | pourcentage | decimal 2 4" xfId="1364" xr:uid="{F319318A-D0D2-4AD7-8844-3E8E0C94220C}"/>
    <cellStyle name="tableau | cellule | (total) | pourcentage | decimal 2 4 2" xfId="2343" xr:uid="{0160C120-8951-4C22-A8DB-5AA0F688D378}"/>
    <cellStyle name="tableau | cellule | (total) | pourcentage | decimal 2 5" xfId="1365" xr:uid="{13BD77AA-6149-4DE2-92B0-8F06AFB5A3C7}"/>
    <cellStyle name="tableau | cellule | (total) | pourcentage | decimal 2 5 2" xfId="2344" xr:uid="{D93AEB52-8797-4216-93C5-519366E5A1C1}"/>
    <cellStyle name="tableau | cellule | (total) | pourcentage | decimal 2 6" xfId="2340" xr:uid="{441DE8BF-1510-4AF8-BBFA-4C690C662809}"/>
    <cellStyle name="tableau | cellule | (total) | pourcentage | entier" xfId="1366" xr:uid="{D11BD68B-73A2-4B45-9A78-6A58624DED45}"/>
    <cellStyle name="tableau | cellule | (total) | pourcentage | entier 2" xfId="1367" xr:uid="{438A9587-795A-43B1-8446-3ACA8D5AC974}"/>
    <cellStyle name="tableau | cellule | (total) | pourcentage | entier 2 2" xfId="2346" xr:uid="{DB314D77-427D-4C4C-9CFB-E4E2E4E9234E}"/>
    <cellStyle name="tableau | cellule | (total) | pourcentage | entier 3" xfId="1368" xr:uid="{42D44D14-AEC1-4D41-A315-1B623504AFA1}"/>
    <cellStyle name="tableau | cellule | (total) | pourcentage | entier 3 2" xfId="2347" xr:uid="{60525C56-8D3A-4415-AC92-00D41B1A472D}"/>
    <cellStyle name="tableau | cellule | (total) | pourcentage | entier 4" xfId="1369" xr:uid="{8125D094-0943-4E76-BDA6-7DF65688804F}"/>
    <cellStyle name="tableau | cellule | (total) | pourcentage | entier 4 2" xfId="2348" xr:uid="{47E6C998-E77F-4265-82C5-524E8B52D96B}"/>
    <cellStyle name="tableau | cellule | (total) | pourcentage | entier 5" xfId="1370" xr:uid="{43D2EA26-3424-415E-A5AA-B00847759F14}"/>
    <cellStyle name="tableau | cellule | (total) | pourcentage | entier 5 2" xfId="2349" xr:uid="{DB864F7F-5745-4E1C-8D00-3440A785E4AE}"/>
    <cellStyle name="tableau | cellule | (total) | pourcentage | entier 6" xfId="2345" xr:uid="{A6F501C1-4B62-453F-B40B-125D96C93842}"/>
    <cellStyle name="tableau | cellule | (total) | standard" xfId="1371" xr:uid="{044BA101-8A8C-4778-9FD1-731F40B126FB}"/>
    <cellStyle name="tableau | cellule | (total) | standard 2" xfId="1372" xr:uid="{79128034-FF3E-4FB6-8DD8-2DE89BD53E20}"/>
    <cellStyle name="tableau | cellule | (total) | standard 2 2" xfId="2351" xr:uid="{9AF65FA3-BBC4-4A99-94B8-98C82CF4F155}"/>
    <cellStyle name="tableau | cellule | (total) | standard 3" xfId="1373" xr:uid="{300708CF-5EC9-4B6E-A4BA-86172145E100}"/>
    <cellStyle name="tableau | cellule | (total) | standard 3 2" xfId="2352" xr:uid="{AA20ACB6-6EA4-4C2C-9DE1-E47C952321C3}"/>
    <cellStyle name="tableau | cellule | (total) | standard 4" xfId="1374" xr:uid="{D6E1D436-1271-40FB-8533-2886E135F676}"/>
    <cellStyle name="tableau | cellule | (total) | standard 4 2" xfId="2353" xr:uid="{97E70BCC-A72B-4694-A03A-D0E821054C4A}"/>
    <cellStyle name="tableau | cellule | (total) | standard 5" xfId="1375" xr:uid="{0869A2D1-094B-49C2-A26F-81F20B998B1C}"/>
    <cellStyle name="tableau | cellule | (total) | standard 5 2" xfId="2354" xr:uid="{CF2115D3-8D32-4A4B-9405-AEB7A0361BA5}"/>
    <cellStyle name="tableau | cellule | (total) | standard 6" xfId="2350" xr:uid="{B7C54E6A-41EF-4C2B-B483-3D0F91114C9A}"/>
    <cellStyle name="tableau | cellule | (total) | texte" xfId="1376" xr:uid="{4103950F-684D-4614-A629-8CD0D37FFD23}"/>
    <cellStyle name="tableau | cellule | (total) | texte 2" xfId="1377" xr:uid="{13454C11-5054-4387-AFD6-9596937BD94D}"/>
    <cellStyle name="tableau | cellule | (total) | texte 2 2" xfId="2356" xr:uid="{34DCDFCC-7BE4-41A4-B4AC-15C3BE193FA0}"/>
    <cellStyle name="tableau | cellule | (total) | texte 3" xfId="1378" xr:uid="{4037C993-9A7E-4B67-9B8E-43610D0C64F8}"/>
    <cellStyle name="tableau | cellule | (total) | texte 3 2" xfId="2357" xr:uid="{2CFB7150-4579-45E2-8E74-925803CDBA1C}"/>
    <cellStyle name="tableau | cellule | (total) | texte 4" xfId="1379" xr:uid="{6255D5A7-F7C9-40F6-AD40-35D076378536}"/>
    <cellStyle name="tableau | cellule | (total) | texte 4 2" xfId="2358" xr:uid="{A750F4F0-224E-4AC5-882F-BA205AD11C80}"/>
    <cellStyle name="tableau | cellule | (total) | texte 5" xfId="1380" xr:uid="{58EC19E6-782F-4C0B-8A56-0B7C3C7E9BED}"/>
    <cellStyle name="tableau | cellule | (total) | texte 5 2" xfId="2359" xr:uid="{5AC3D406-567E-4FF0-9EC4-CACC95BBD9B9}"/>
    <cellStyle name="tableau | cellule | (total) | texte 6" xfId="2355" xr:uid="{E416CE7B-F6D1-4C39-BDC0-9A7855C77627}"/>
    <cellStyle name="tableau | cellule | normal | decimal 1" xfId="51" xr:uid="{68F46076-647A-4FE9-92D4-5F62E4CCCCDD}"/>
    <cellStyle name="tableau | cellule | normal | decimal 1 2" xfId="1382" xr:uid="{1CE3EA97-4A6C-410B-9176-279B1D5230D1}"/>
    <cellStyle name="tableau | cellule | normal | decimal 1 2 2" xfId="1383" xr:uid="{3DFBD8C3-890D-4693-B54D-A3313F9D6EB8}"/>
    <cellStyle name="tableau | cellule | normal | decimal 1 2 2 2" xfId="2362" xr:uid="{933D9B52-7489-4DD4-BADC-B4CE9B4534D5}"/>
    <cellStyle name="tableau | cellule | normal | decimal 1 2 3" xfId="1384" xr:uid="{DFD53444-9B6E-4926-A943-D0EC18A94A65}"/>
    <cellStyle name="tableau | cellule | normal | decimal 1 2 3 2" xfId="2363" xr:uid="{9A894CD7-FE2E-4F81-95A0-17F5D0DE6141}"/>
    <cellStyle name="tableau | cellule | normal | decimal 1 2 4" xfId="2361" xr:uid="{E160720A-E704-4975-95F8-15FC9AF203A3}"/>
    <cellStyle name="tableau | cellule | normal | decimal 1 3" xfId="1385" xr:uid="{DAE9A8A6-4BB7-4775-9E84-EA00D13034C5}"/>
    <cellStyle name="tableau | cellule | normal | decimal 1 3 2" xfId="1386" xr:uid="{4F4D0EFB-5C31-4CAA-9BAE-5DBDBD24BA9C}"/>
    <cellStyle name="tableau | cellule | normal | decimal 1 3 2 2" xfId="2365" xr:uid="{D4E7B1DB-56BB-4FF6-8CE3-8DC592B73F8F}"/>
    <cellStyle name="tableau | cellule | normal | decimal 1 3 3" xfId="2364" xr:uid="{27FF6713-EC68-4E43-A380-A2E88ACB0016}"/>
    <cellStyle name="tableau | cellule | normal | decimal 1 4" xfId="1387" xr:uid="{5DFB0DC4-B361-4470-BF04-C5E456A4A9BB}"/>
    <cellStyle name="tableau | cellule | normal | decimal 1 4 2" xfId="2366" xr:uid="{4D9E89DA-9D22-444A-9E01-ACD34E95DAEE}"/>
    <cellStyle name="tableau | cellule | normal | decimal 1 5" xfId="1388" xr:uid="{303D108E-4445-48BF-9284-1050807B71C0}"/>
    <cellStyle name="tableau | cellule | normal | decimal 1 5 2" xfId="2367" xr:uid="{C8179314-0C51-4D27-A5D7-C4C1B289E655}"/>
    <cellStyle name="tableau | cellule | normal | decimal 1 6" xfId="2360" xr:uid="{DD610368-7673-4CE0-8524-003FDD69F7CC}"/>
    <cellStyle name="tableau | cellule | normal | decimal 1 7" xfId="1381" xr:uid="{1D24A8FD-0AFA-433E-A81F-F710C5360F40}"/>
    <cellStyle name="tableau | cellule | normal | decimal 1 8" xfId="3102" xr:uid="{B46C4A8E-F99E-48BC-A107-E62159F08CD9}"/>
    <cellStyle name="tableau | cellule | normal | decimal 2" xfId="1389" xr:uid="{A266B91A-F7AD-4826-8A70-25BAD29DCBF2}"/>
    <cellStyle name="tableau | cellule | normal | decimal 2 2" xfId="1390" xr:uid="{AB2882B6-96C9-4A0F-B3DD-6D7FC8BCB4BE}"/>
    <cellStyle name="tableau | cellule | normal | decimal 2 2 2" xfId="1391" xr:uid="{CDF39FA5-C2FD-4DF1-9469-6E99E1511530}"/>
    <cellStyle name="tableau | cellule | normal | decimal 2 2 2 2" xfId="2370" xr:uid="{DE8461E6-D8D0-49DA-9F92-9F9196C9ADEF}"/>
    <cellStyle name="tableau | cellule | normal | decimal 2 2 3" xfId="2369" xr:uid="{E5A1E03E-23A0-4484-813E-7CB3ECF73656}"/>
    <cellStyle name="tableau | cellule | normal | decimal 2 3" xfId="1392" xr:uid="{6D557BF5-B194-40EF-AFD9-FA4780F8A5A5}"/>
    <cellStyle name="tableau | cellule | normal | decimal 2 3 2" xfId="2371" xr:uid="{ED220CE1-CA97-423E-996E-13606E13CB08}"/>
    <cellStyle name="tableau | cellule | normal | decimal 2 4" xfId="1393" xr:uid="{A91734AF-D951-4B5F-BC96-377FF18888D9}"/>
    <cellStyle name="tableau | cellule | normal | decimal 2 4 2" xfId="2372" xr:uid="{AB14D1EA-B48B-453D-BF9C-1368BAC4E34B}"/>
    <cellStyle name="tableau | cellule | normal | decimal 2 5" xfId="1394" xr:uid="{20A55741-0692-49F0-836D-CB0ED80EE464}"/>
    <cellStyle name="tableau | cellule | normal | decimal 2 5 2" xfId="2373" xr:uid="{E713F30A-E9E8-408F-8C72-8B6C8ED581B0}"/>
    <cellStyle name="tableau | cellule | normal | decimal 2 6" xfId="2368" xr:uid="{21948B42-C95A-49DB-8E6B-216E91AD779A}"/>
    <cellStyle name="tableau | cellule | normal | decimal 3" xfId="1395" xr:uid="{82F27ADE-6034-452E-8CF5-99586A1BA026}"/>
    <cellStyle name="tableau | cellule | normal | decimal 3 2" xfId="1396" xr:uid="{757DCF04-3D7C-4329-81D9-2EF98202F9F5}"/>
    <cellStyle name="tableau | cellule | normal | decimal 3 2 2" xfId="1397" xr:uid="{66D727B8-617D-4550-B612-3EC202E6470A}"/>
    <cellStyle name="tableau | cellule | normal | decimal 3 2 2 2" xfId="2376" xr:uid="{15C17260-ECAE-49BE-9C4C-387432C2D823}"/>
    <cellStyle name="tableau | cellule | normal | decimal 3 2 3" xfId="2375" xr:uid="{F9FD0B69-6ABA-49F2-BEFB-29957C9867D7}"/>
    <cellStyle name="tableau | cellule | normal | decimal 3 3" xfId="1398" xr:uid="{DD4CC5A1-F597-4E35-9379-303672999A45}"/>
    <cellStyle name="tableau | cellule | normal | decimal 3 3 2" xfId="2377" xr:uid="{34B2EE8F-973E-4AAF-918F-06E454D40316}"/>
    <cellStyle name="tableau | cellule | normal | decimal 3 4" xfId="1399" xr:uid="{89D4689A-E845-42D4-AB64-30CF4B9B5285}"/>
    <cellStyle name="tableau | cellule | normal | decimal 3 4 2" xfId="2378" xr:uid="{D8F54628-65AE-4658-9DC4-17E5FA3BCB3D}"/>
    <cellStyle name="tableau | cellule | normal | decimal 3 5" xfId="1400" xr:uid="{C7FEBC4C-5A15-45FE-88FE-663019374D8A}"/>
    <cellStyle name="tableau | cellule | normal | decimal 3 5 2" xfId="2379" xr:uid="{3B34F2CD-E2C2-418F-969A-DB5611714BAE}"/>
    <cellStyle name="tableau | cellule | normal | decimal 3 6" xfId="2374" xr:uid="{2DB7C836-93F2-441A-94B4-820460560E3B}"/>
    <cellStyle name="tableau | cellule | normal | decimal 4" xfId="1401" xr:uid="{ABB33F98-22D1-4242-AE9D-9DC07FF3ABB3}"/>
    <cellStyle name="tableau | cellule | normal | decimal 4 2" xfId="1402" xr:uid="{89F87CF5-4D39-43C7-9205-08AD93FC3DB0}"/>
    <cellStyle name="tableau | cellule | normal | decimal 4 2 2" xfId="1403" xr:uid="{1B59E217-72B5-4E3A-9EBF-BC89D0A50E6C}"/>
    <cellStyle name="tableau | cellule | normal | decimal 4 2 2 2" xfId="2382" xr:uid="{C8E44FFB-5788-404A-A857-700879E7A961}"/>
    <cellStyle name="tableau | cellule | normal | decimal 4 2 3" xfId="2381" xr:uid="{E261705E-028A-47DB-B84A-EB3280180A10}"/>
    <cellStyle name="tableau | cellule | normal | decimal 4 3" xfId="1404" xr:uid="{8DE946E0-4818-4DC0-A052-A76CE4D78EE7}"/>
    <cellStyle name="tableau | cellule | normal | decimal 4 3 2" xfId="2383" xr:uid="{3CC308D2-B73F-4DAD-8FF6-4CDE88EA98C2}"/>
    <cellStyle name="tableau | cellule | normal | decimal 4 4" xfId="1405" xr:uid="{19550F5A-7AB9-4795-8B47-49795981725E}"/>
    <cellStyle name="tableau | cellule | normal | decimal 4 4 2" xfId="2384" xr:uid="{DC404855-3166-4BF4-BD71-1818C0F186C0}"/>
    <cellStyle name="tableau | cellule | normal | decimal 4 5" xfId="1406" xr:uid="{0A50ECE3-7803-4C9B-9C1E-9579AC53C108}"/>
    <cellStyle name="tableau | cellule | normal | decimal 4 5 2" xfId="2385" xr:uid="{40F2AE1E-AB8D-458A-A8C2-6A3DFB17791A}"/>
    <cellStyle name="tableau | cellule | normal | decimal 4 6" xfId="2380" xr:uid="{9F5FAF3A-65C6-4C1D-97EF-67A305AE392D}"/>
    <cellStyle name="tableau | cellule | normal | entier" xfId="1407" xr:uid="{394911E3-B9CC-4C05-BFC6-AF97F91091B5}"/>
    <cellStyle name="tableau | cellule | normal | entier 2" xfId="1408" xr:uid="{E45E4F3B-8FB8-40A0-8D5D-E31FE7C2C914}"/>
    <cellStyle name="tableau | cellule | normal | entier 2 2" xfId="1409" xr:uid="{3C75A6D2-9273-404D-B352-CBB4706EF29D}"/>
    <cellStyle name="tableau | cellule | normal | entier 2 2 2" xfId="2388" xr:uid="{D34BFB27-A88A-43AF-A776-D52B11B732CF}"/>
    <cellStyle name="tableau | cellule | normal | entier 2 3" xfId="2387" xr:uid="{56B14238-EE0F-4308-9BEB-AFA55DCAC1A2}"/>
    <cellStyle name="tableau | cellule | normal | entier 3" xfId="1410" xr:uid="{CEDCB289-4F8F-40A7-9501-DB25FE087C87}"/>
    <cellStyle name="tableau | cellule | normal | entier 3 2" xfId="2389" xr:uid="{1C088B97-4071-4602-8E2F-051707FA609F}"/>
    <cellStyle name="tableau | cellule | normal | entier 4" xfId="1411" xr:uid="{3F77A5F5-67F1-46D6-B4AB-82E6E5631692}"/>
    <cellStyle name="tableau | cellule | normal | entier 4 2" xfId="2390" xr:uid="{44B10B59-2D95-4167-938A-1B0272F5A4EF}"/>
    <cellStyle name="tableau | cellule | normal | entier 5" xfId="1412" xr:uid="{349625DE-5DBA-410A-A19D-216CCC91D837}"/>
    <cellStyle name="tableau | cellule | normal | entier 5 2" xfId="2391" xr:uid="{1C40DAE5-8367-47A6-BB28-079FCF293CA1}"/>
    <cellStyle name="tableau | cellule | normal | entier 6" xfId="2386" xr:uid="{564CE6D7-2427-4B88-990F-4D83A653286A}"/>
    <cellStyle name="tableau | cellule | normal | euro | decimal 1" xfId="1413" xr:uid="{5A150EB0-5194-4AD3-9769-49BC24957050}"/>
    <cellStyle name="tableau | cellule | normal | euro | decimal 1 2" xfId="1414" xr:uid="{C61FD293-54AF-4EBF-847A-CC0DBC9839CC}"/>
    <cellStyle name="tableau | cellule | normal | euro | decimal 1 2 2" xfId="1415" xr:uid="{4BF2B071-B807-4DC2-9BA8-758B88FA80A2}"/>
    <cellStyle name="tableau | cellule | normal | euro | decimal 1 2 2 2" xfId="2394" xr:uid="{3A8EF8DC-0CEA-42CA-AD8D-4E18277225EF}"/>
    <cellStyle name="tableau | cellule | normal | euro | decimal 1 2 3" xfId="2393" xr:uid="{5F119115-07ED-4334-B9BF-179CDD4B4BF7}"/>
    <cellStyle name="tableau | cellule | normal | euro | decimal 1 3" xfId="1416" xr:uid="{5CE279E8-0768-474D-AF4E-81E2964F6A3D}"/>
    <cellStyle name="tableau | cellule | normal | euro | decimal 1 3 2" xfId="2395" xr:uid="{5356B57D-343D-4D06-AC0A-50B88B1F01A2}"/>
    <cellStyle name="tableau | cellule | normal | euro | decimal 1 4" xfId="1417" xr:uid="{1185E694-7B2A-4DFD-8CCC-D1E229C52985}"/>
    <cellStyle name="tableau | cellule | normal | euro | decimal 1 4 2" xfId="2396" xr:uid="{8682C3C4-EDE1-4CAB-A486-8A497B366548}"/>
    <cellStyle name="tableau | cellule | normal | euro | decimal 1 5" xfId="1418" xr:uid="{D373CF90-B0A3-4B29-9B62-2E870A376222}"/>
    <cellStyle name="tableau | cellule | normal | euro | decimal 1 5 2" xfId="2397" xr:uid="{BCDE5280-495B-4F05-889B-0F6FE6615655}"/>
    <cellStyle name="tableau | cellule | normal | euro | decimal 1 6" xfId="2392" xr:uid="{5312FB75-8CA0-4799-89EF-FDB27D42FF2F}"/>
    <cellStyle name="tableau | cellule | normal | euro | decimal 2" xfId="1419" xr:uid="{6F2D2B42-328A-4BF5-96A5-5DF8C6A4B48A}"/>
    <cellStyle name="tableau | cellule | normal | euro | decimal 2 2" xfId="1420" xr:uid="{40B5BFDC-7E2D-4131-A530-0122752AC22C}"/>
    <cellStyle name="tableau | cellule | normal | euro | decimal 2 2 2" xfId="1421" xr:uid="{C0542EDA-4CEF-4734-99C6-D706B7A898CB}"/>
    <cellStyle name="tableau | cellule | normal | euro | decimal 2 2 2 2" xfId="2400" xr:uid="{F2DCD97B-53AA-48C1-8141-4811E936B41C}"/>
    <cellStyle name="tableau | cellule | normal | euro | decimal 2 2 3" xfId="2399" xr:uid="{97DD8825-CE33-402E-BFF5-0C6D029B78AE}"/>
    <cellStyle name="tableau | cellule | normal | euro | decimal 2 3" xfId="1422" xr:uid="{99E1D087-3502-4D73-96E2-7252F8EE3118}"/>
    <cellStyle name="tableau | cellule | normal | euro | decimal 2 3 2" xfId="2401" xr:uid="{ECC06474-AADD-4238-BB73-7EA76F93EDEF}"/>
    <cellStyle name="tableau | cellule | normal | euro | decimal 2 4" xfId="1423" xr:uid="{0B5E4F5F-2EA2-47C4-9303-79737888AC5B}"/>
    <cellStyle name="tableau | cellule | normal | euro | decimal 2 4 2" xfId="2402" xr:uid="{4007CC69-EF2F-4497-9E3E-B519D3E65E95}"/>
    <cellStyle name="tableau | cellule | normal | euro | decimal 2 5" xfId="1424" xr:uid="{DE5DB529-33E0-41E9-9CA5-B25934D20629}"/>
    <cellStyle name="tableau | cellule | normal | euro | decimal 2 5 2" xfId="2403" xr:uid="{2670F3C9-1086-4392-A031-DC0C5DC200CE}"/>
    <cellStyle name="tableau | cellule | normal | euro | decimal 2 6" xfId="2398" xr:uid="{CC5B71B3-D80F-459B-9A73-2192FCEB2DCA}"/>
    <cellStyle name="tableau | cellule | normal | euro | entier" xfId="1425" xr:uid="{C6DD5EF5-2785-484B-8C69-AB720603978D}"/>
    <cellStyle name="tableau | cellule | normal | euro | entier 2" xfId="1426" xr:uid="{2D71786D-7579-47F6-9513-B5D5A304D5BE}"/>
    <cellStyle name="tableau | cellule | normal | euro | entier 2 2" xfId="1427" xr:uid="{DDBC5CEE-68A8-4C6D-9896-6B497721C15A}"/>
    <cellStyle name="tableau | cellule | normal | euro | entier 2 2 2" xfId="2406" xr:uid="{FDF00FBA-9BE5-43B3-A03B-4290F9802281}"/>
    <cellStyle name="tableau | cellule | normal | euro | entier 2 3" xfId="2405" xr:uid="{78343B58-C82E-4835-897F-5E0FD547C98C}"/>
    <cellStyle name="tableau | cellule | normal | euro | entier 3" xfId="1428" xr:uid="{031D6DDA-D96F-47E7-B1EE-F8888088A356}"/>
    <cellStyle name="tableau | cellule | normal | euro | entier 3 2" xfId="2407" xr:uid="{55ABA58F-C641-4A1E-94BF-E7CB3498DCF9}"/>
    <cellStyle name="tableau | cellule | normal | euro | entier 4" xfId="1429" xr:uid="{12C1282C-04B4-4C92-ADD6-83FD18ADC3A5}"/>
    <cellStyle name="tableau | cellule | normal | euro | entier 4 2" xfId="2408" xr:uid="{29E0BECD-39F2-4B63-AB9B-60BE0E2546AC}"/>
    <cellStyle name="tableau | cellule | normal | euro | entier 5" xfId="1430" xr:uid="{AE3ED239-0972-4868-A2E7-4A7AE7BB66AB}"/>
    <cellStyle name="tableau | cellule | normal | euro | entier 5 2" xfId="2409" xr:uid="{DC6A68B1-0D72-4529-A436-C4E447C81A9A}"/>
    <cellStyle name="tableau | cellule | normal | euro | entier 6" xfId="2404" xr:uid="{3D015FE3-6005-4C2C-9695-AACBB0E1F8A8}"/>
    <cellStyle name="tableau | cellule | normal | franc | decimal 1" xfId="1431" xr:uid="{D8168DD2-A660-431B-9BC2-3C61B7D8CDB7}"/>
    <cellStyle name="tableau | cellule | normal | franc | decimal 1 2" xfId="1432" xr:uid="{D1ED1575-F456-4216-9552-D6D3682C595C}"/>
    <cellStyle name="tableau | cellule | normal | franc | decimal 1 2 2" xfId="1433" xr:uid="{305CCAA4-564E-4379-B37C-BEBF99FB6EEE}"/>
    <cellStyle name="tableau | cellule | normal | franc | decimal 1 2 2 2" xfId="2412" xr:uid="{B4D0CD31-D656-4142-B752-DD5F25416F1F}"/>
    <cellStyle name="tableau | cellule | normal | franc | decimal 1 2 3" xfId="2411" xr:uid="{66DE22EF-010A-4A98-97F4-47CE9D57BF6D}"/>
    <cellStyle name="tableau | cellule | normal | franc | decimal 1 3" xfId="1434" xr:uid="{2D5B287F-99B0-4E45-A565-CA873CDBEEAD}"/>
    <cellStyle name="tableau | cellule | normal | franc | decimal 1 3 2" xfId="2413" xr:uid="{9A859CF9-D777-4BE0-AA3A-918ED0D74D20}"/>
    <cellStyle name="tableau | cellule | normal | franc | decimal 1 4" xfId="1435" xr:uid="{D5856246-D6AB-421D-A437-91C25D09C62B}"/>
    <cellStyle name="tableau | cellule | normal | franc | decimal 1 4 2" xfId="2414" xr:uid="{C825808B-7919-4C06-ADD5-5A774D4F776C}"/>
    <cellStyle name="tableau | cellule | normal | franc | decimal 1 5" xfId="1436" xr:uid="{1E45A17B-A841-48BC-8F11-C2E9E05E5AB6}"/>
    <cellStyle name="tableau | cellule | normal | franc | decimal 1 5 2" xfId="2415" xr:uid="{8F6914C4-E62B-4F91-BB73-0ADCB0BA93F0}"/>
    <cellStyle name="tableau | cellule | normal | franc | decimal 1 6" xfId="2410" xr:uid="{95716664-9660-4411-A2C9-CC7C6D73AA66}"/>
    <cellStyle name="tableau | cellule | normal | franc | decimal 2" xfId="1437" xr:uid="{7B52F244-731B-4B44-9189-9D8DEF8342FD}"/>
    <cellStyle name="tableau | cellule | normal | franc | decimal 2 2" xfId="1438" xr:uid="{781346AB-3601-47C2-9AC4-DE83BBBD5967}"/>
    <cellStyle name="tableau | cellule | normal | franc | decimal 2 2 2" xfId="1439" xr:uid="{89238746-B1FE-4E29-84F1-6E32226FFE25}"/>
    <cellStyle name="tableau | cellule | normal | franc | decimal 2 2 2 2" xfId="2418" xr:uid="{7F5460C0-11A1-4F12-AD0B-13527B603C4E}"/>
    <cellStyle name="tableau | cellule | normal | franc | decimal 2 2 3" xfId="2417" xr:uid="{E1F4CF49-D3D0-4509-A740-F64FE09E6DA6}"/>
    <cellStyle name="tableau | cellule | normal | franc | decimal 2 3" xfId="1440" xr:uid="{1A789B80-2D3A-4FA9-B764-41B074D3F98D}"/>
    <cellStyle name="tableau | cellule | normal | franc | decimal 2 3 2" xfId="2419" xr:uid="{1B73BC35-6A09-466F-BA6C-C46295CAD7AC}"/>
    <cellStyle name="tableau | cellule | normal | franc | decimal 2 4" xfId="1441" xr:uid="{42A54441-EECD-4DE3-8FED-18EF2FAD9DAF}"/>
    <cellStyle name="tableau | cellule | normal | franc | decimal 2 4 2" xfId="2420" xr:uid="{790DDDEA-FEB3-41C5-AE32-B2D0732ED389}"/>
    <cellStyle name="tableau | cellule | normal | franc | decimal 2 5" xfId="1442" xr:uid="{E6053564-3E34-4943-8ABA-96DD5D091E47}"/>
    <cellStyle name="tableau | cellule | normal | franc | decimal 2 5 2" xfId="2421" xr:uid="{6D657F88-FDF8-4584-AFFF-0C00FB50C979}"/>
    <cellStyle name="tableau | cellule | normal | franc | decimal 2 6" xfId="2416" xr:uid="{BE8576C4-F365-48B0-B97A-C0C6B86926F1}"/>
    <cellStyle name="tableau | cellule | normal | franc | entier" xfId="1443" xr:uid="{D674B066-2D9E-49D6-A45E-8D89F3330BD2}"/>
    <cellStyle name="tableau | cellule | normal | franc | entier 2" xfId="1444" xr:uid="{234E4562-3FBB-4AB6-9285-3B0D1E93E4EA}"/>
    <cellStyle name="tableau | cellule | normal | franc | entier 2 2" xfId="1445" xr:uid="{C25DC746-9E76-4CCE-A9DC-C8D60471A3DA}"/>
    <cellStyle name="tableau | cellule | normal | franc | entier 2 2 2" xfId="2424" xr:uid="{7C92E417-5B08-4E1D-9BF0-902FB00E862C}"/>
    <cellStyle name="tableau | cellule | normal | franc | entier 2 3" xfId="2423" xr:uid="{224D8CAC-A3E7-4BD4-AF77-06E8D56560F4}"/>
    <cellStyle name="tableau | cellule | normal | franc | entier 3" xfId="1446" xr:uid="{1DEBD9C4-9340-4AD1-AEFB-F9F1B85A67A7}"/>
    <cellStyle name="tableau | cellule | normal | franc | entier 3 2" xfId="2425" xr:uid="{FC0DD6D7-BDDE-4527-9893-A536F389DAE0}"/>
    <cellStyle name="tableau | cellule | normal | franc | entier 4" xfId="1447" xr:uid="{1A8685E3-FDB6-4FA2-AA6C-E0B36E9A964F}"/>
    <cellStyle name="tableau | cellule | normal | franc | entier 4 2" xfId="2426" xr:uid="{D664B510-4320-4A38-8808-ECF3B9F885E5}"/>
    <cellStyle name="tableau | cellule | normal | franc | entier 5" xfId="1448" xr:uid="{FABC404A-214E-49AD-BB4A-E2E3BE50B47F}"/>
    <cellStyle name="tableau | cellule | normal | franc | entier 5 2" xfId="2427" xr:uid="{FE99EE7F-0045-4FDB-A4BA-67911511533F}"/>
    <cellStyle name="tableau | cellule | normal | franc | entier 6" xfId="2422" xr:uid="{5F3CDAB5-F86D-4259-BFE6-18989E2E7351}"/>
    <cellStyle name="tableau | cellule | normal | pourcentage | decimal 1" xfId="1449" xr:uid="{074ED7F6-4F9E-4A17-B3A6-3C7017735ED2}"/>
    <cellStyle name="tableau | cellule | normal | pourcentage | decimal 1 2" xfId="1450" xr:uid="{AF4F5B42-ACFB-4D3C-801A-CA3EBE8E8A99}"/>
    <cellStyle name="tableau | cellule | normal | pourcentage | decimal 1 2 2" xfId="1451" xr:uid="{2B18296A-4027-4710-B196-F56F8F2FA835}"/>
    <cellStyle name="tableau | cellule | normal | pourcentage | decimal 1 2 2 2" xfId="2430" xr:uid="{C15D699D-629C-43A0-98D0-5911C2A5A1E0}"/>
    <cellStyle name="tableau | cellule | normal | pourcentage | decimal 1 2 3" xfId="2429" xr:uid="{7F4D8F34-4AED-4AF9-B601-5916714F8A80}"/>
    <cellStyle name="tableau | cellule | normal | pourcentage | decimal 1 3" xfId="1452" xr:uid="{F5DFB12A-C86F-408A-887E-632664AF7264}"/>
    <cellStyle name="tableau | cellule | normal | pourcentage | decimal 1 3 2" xfId="2431" xr:uid="{634B9941-0486-4565-9729-1EE36DEF63E8}"/>
    <cellStyle name="tableau | cellule | normal | pourcentage | decimal 1 4" xfId="1453" xr:uid="{DA010E50-FFD0-41ED-9299-E332BDEDE4AB}"/>
    <cellStyle name="tableau | cellule | normal | pourcentage | decimal 1 4 2" xfId="2432" xr:uid="{B340AA43-D37B-4D2A-9318-5E8EC14F8D6D}"/>
    <cellStyle name="tableau | cellule | normal | pourcentage | decimal 1 5" xfId="1454" xr:uid="{FC7DAF92-2CFE-4F48-886E-E89B3D5972EC}"/>
    <cellStyle name="tableau | cellule | normal | pourcentage | decimal 1 5 2" xfId="2433" xr:uid="{36E4AEB5-2B30-4FED-81CB-02777CEE86E1}"/>
    <cellStyle name="tableau | cellule | normal | pourcentage | decimal 1 6" xfId="2428" xr:uid="{6E818379-6481-4619-938D-CE4A6B7AC0E7}"/>
    <cellStyle name="tableau | cellule | normal | pourcentage | decimal 2" xfId="1455" xr:uid="{2588D0AD-C07C-4255-9AF9-89787587F29D}"/>
    <cellStyle name="tableau | cellule | normal | pourcentage | decimal 2 2" xfId="1456" xr:uid="{C8FD8509-5E9A-4774-8DAB-00E4BB7AC787}"/>
    <cellStyle name="tableau | cellule | normal | pourcentage | decimal 2 2 2" xfId="1457" xr:uid="{F9E156FB-0EC0-49AF-8260-5BE580A7ECD7}"/>
    <cellStyle name="tableau | cellule | normal | pourcentage | decimal 2 2 2 2" xfId="2436" xr:uid="{8DE2887C-D94D-4BBC-8701-308F06BDDC24}"/>
    <cellStyle name="tableau | cellule | normal | pourcentage | decimal 2 2 3" xfId="2435" xr:uid="{CC56E828-1E4C-445A-B496-A58F8745B20A}"/>
    <cellStyle name="tableau | cellule | normal | pourcentage | decimal 2 3" xfId="1458" xr:uid="{3E5A3F8A-C032-423D-811E-C65894D0D271}"/>
    <cellStyle name="tableau | cellule | normal | pourcentage | decimal 2 3 2" xfId="2437" xr:uid="{A0BB2355-8EB7-487C-A1D8-F45969763768}"/>
    <cellStyle name="tableau | cellule | normal | pourcentage | decimal 2 4" xfId="1459" xr:uid="{83D98488-DED5-40E7-AAB5-D38FFCE8E2F5}"/>
    <cellStyle name="tableau | cellule | normal | pourcentage | decimal 2 4 2" xfId="2438" xr:uid="{C4BFAB3F-C6C8-4460-B17F-74E033DDDF9E}"/>
    <cellStyle name="tableau | cellule | normal | pourcentage | decimal 2 5" xfId="1460" xr:uid="{F2BAAD7A-DAAE-4819-8EE8-AADABA1E3345}"/>
    <cellStyle name="tableau | cellule | normal | pourcentage | decimal 2 5 2" xfId="2439" xr:uid="{B8DBAB0B-85AF-455E-A2CB-D6EF22946859}"/>
    <cellStyle name="tableau | cellule | normal | pourcentage | decimal 2 6" xfId="2434" xr:uid="{F0C17A93-93DB-460B-B7C0-2389CB3CBD3C}"/>
    <cellStyle name="tableau | cellule | normal | pourcentage | entier" xfId="1461" xr:uid="{CDCC035D-B580-4708-BEF6-DF4FE4E12033}"/>
    <cellStyle name="tableau | cellule | normal | pourcentage | entier 2" xfId="1462" xr:uid="{3F69C6AC-F1F8-49A2-9738-2A603167742D}"/>
    <cellStyle name="tableau | cellule | normal | pourcentage | entier 2 2" xfId="1463" xr:uid="{FA762474-1BB8-4EFD-B4D0-BAA7CE537D56}"/>
    <cellStyle name="tableau | cellule | normal | pourcentage | entier 2 2 2" xfId="2442" xr:uid="{A044544B-3A6D-4011-BEA0-69F2D5039F28}"/>
    <cellStyle name="tableau | cellule | normal | pourcentage | entier 2 3" xfId="2441" xr:uid="{63D833BF-1C8F-41E3-BC03-DFDF57E4C9D3}"/>
    <cellStyle name="tableau | cellule | normal | pourcentage | entier 3" xfId="1464" xr:uid="{A9CD5B5C-7DBD-4F7B-B5FD-E004F2B099CB}"/>
    <cellStyle name="tableau | cellule | normal | pourcentage | entier 3 2" xfId="2443" xr:uid="{49D57CBF-F66A-4C52-9028-64606AEAE96D}"/>
    <cellStyle name="tableau | cellule | normal | pourcentage | entier 4" xfId="1465" xr:uid="{14AD9213-6E42-49D4-82EE-4D1190CC52D9}"/>
    <cellStyle name="tableau | cellule | normal | pourcentage | entier 4 2" xfId="2444" xr:uid="{28A92373-10CB-4E37-8B4F-2DBA61A47B1A}"/>
    <cellStyle name="tableau | cellule | normal | pourcentage | entier 5" xfId="1466" xr:uid="{3D102174-1905-4CCB-8404-5D0BBD24B957}"/>
    <cellStyle name="tableau | cellule | normal | pourcentage | entier 5 2" xfId="2445" xr:uid="{6055BE12-58A4-450D-9023-55DB340860E0}"/>
    <cellStyle name="tableau | cellule | normal | pourcentage | entier 6" xfId="2440" xr:uid="{777FC99C-4B99-4911-A61C-71D7FFCCD870}"/>
    <cellStyle name="tableau | cellule | normal | standard" xfId="1467" xr:uid="{699D4369-4314-499E-8678-18B9C35E0FDE}"/>
    <cellStyle name="tableau | cellule | normal | standard 2" xfId="1468" xr:uid="{C08E421E-D56E-492B-B40B-08DF512A7496}"/>
    <cellStyle name="tableau | cellule | normal | standard 2 2" xfId="1469" xr:uid="{00BCA3A8-9F4C-4AA3-AB9D-76886726D5D3}"/>
    <cellStyle name="tableau | cellule | normal | standard 2 2 2" xfId="2448" xr:uid="{259B69C1-59AB-4A84-A6D7-4CCAB8F057B2}"/>
    <cellStyle name="tableau | cellule | normal | standard 2 3" xfId="2447" xr:uid="{21F66114-E7ED-45BB-B4D3-E24DA24846C5}"/>
    <cellStyle name="tableau | cellule | normal | standard 3" xfId="1470" xr:uid="{E4430436-3840-4F58-9C89-F2CC42886CB0}"/>
    <cellStyle name="tableau | cellule | normal | standard 3 2" xfId="2449" xr:uid="{8FF87846-B634-4BAB-84F0-97928F904F90}"/>
    <cellStyle name="tableau | cellule | normal | standard 4" xfId="1471" xr:uid="{68E90819-9304-49E1-A07B-E20A27E67B26}"/>
    <cellStyle name="tableau | cellule | normal | standard 4 2" xfId="2450" xr:uid="{54134F91-3155-482E-A30C-66543B84EB14}"/>
    <cellStyle name="tableau | cellule | normal | standard 5" xfId="1472" xr:uid="{B0973EDD-E1FB-411B-B5C6-E5F0D1B3F31D}"/>
    <cellStyle name="tableau | cellule | normal | standard 5 2" xfId="2451" xr:uid="{68238E1C-26B3-47C3-A08C-999A1166C984}"/>
    <cellStyle name="tableau | cellule | normal | standard 6" xfId="2446" xr:uid="{0D285291-C2C7-4659-BADA-52E77C09771D}"/>
    <cellStyle name="tableau | cellule | normal | texte" xfId="1473" xr:uid="{CAB5957C-812F-4C26-B415-1937CCF6740E}"/>
    <cellStyle name="tableau | cellule | normal | texte 2" xfId="1474" xr:uid="{848FA3FA-59F5-4F19-860F-809ED57619CD}"/>
    <cellStyle name="tableau | cellule | normal | texte 2 2" xfId="1475" xr:uid="{B670B606-C08B-412F-A31B-47E566CF3BDF}"/>
    <cellStyle name="tableau | cellule | normal | texte 2 2 2" xfId="2454" xr:uid="{3ED59CED-F52D-4DA7-955F-ABF77D079A14}"/>
    <cellStyle name="tableau | cellule | normal | texte 2 3" xfId="2453" xr:uid="{0F8FC763-24BD-4442-AF38-6E95A621B0AE}"/>
    <cellStyle name="tableau | cellule | normal | texte 3" xfId="1476" xr:uid="{794824E3-55EA-43F1-903B-8E9456EB8239}"/>
    <cellStyle name="tableau | cellule | normal | texte 3 2" xfId="2455" xr:uid="{B15B28C1-65D9-4CFF-BB86-98B6F4E1C8B8}"/>
    <cellStyle name="tableau | cellule | normal | texte 4" xfId="1477" xr:uid="{2DC8A551-A4D7-46EA-8297-E9721FB81CAF}"/>
    <cellStyle name="tableau | cellule | normal | texte 4 2" xfId="2456" xr:uid="{8BD0DBBF-6059-4B82-959F-1904AB9AACF4}"/>
    <cellStyle name="tableau | cellule | normal | texte 5" xfId="1478" xr:uid="{31098D2D-87A8-475E-948E-2F982AE9E659}"/>
    <cellStyle name="tableau | cellule | normal | texte 5 2" xfId="2457" xr:uid="{DB68CED8-D4F8-45B5-A86F-6466CF8F7311}"/>
    <cellStyle name="tableau | cellule | normal | texte 6" xfId="2452" xr:uid="{5E91E8D4-A468-48B8-981C-AEC5F86ED8F8}"/>
    <cellStyle name="tableau | cellule | total | decimal 1" xfId="52" xr:uid="{0EB6FB7E-F280-46D5-9645-2A22630E8AC9}"/>
    <cellStyle name="tableau | cellule | total | decimal 1 2" xfId="1480" xr:uid="{E11524E4-01EC-4038-ABE4-84882F58A094}"/>
    <cellStyle name="tableau | cellule | total | decimal 1 2 2" xfId="1481" xr:uid="{F4D4CD61-77A1-4820-BE7B-D8D76799E51E}"/>
    <cellStyle name="tableau | cellule | total | decimal 1 2 2 2" xfId="2460" xr:uid="{6B5458C4-27EE-4A29-A4CE-250B50046A4B}"/>
    <cellStyle name="tableau | cellule | total | decimal 1 2 3" xfId="1482" xr:uid="{11A4AC46-D1B5-4616-B827-161153ADE719}"/>
    <cellStyle name="tableau | cellule | total | decimal 1 2 3 2" xfId="2461" xr:uid="{C4955C4E-4036-4CCE-953D-DFADB95B2EA2}"/>
    <cellStyle name="tableau | cellule | total | decimal 1 2 4" xfId="2459" xr:uid="{CA4E4416-1176-4210-A8DF-B1FEEA50D099}"/>
    <cellStyle name="tableau | cellule | total | decimal 1 3" xfId="1483" xr:uid="{C21B7932-B74F-48D2-B5A3-EB26E517B0E7}"/>
    <cellStyle name="tableau | cellule | total | decimal 1 3 2" xfId="1484" xr:uid="{5E417C20-28CF-43FD-BDD9-6425DAEDE4FA}"/>
    <cellStyle name="tableau | cellule | total | decimal 1 3 2 2" xfId="2463" xr:uid="{DCAD5FA5-55CA-421C-BDB7-BD8BAE3A4173}"/>
    <cellStyle name="tableau | cellule | total | decimal 1 3 3" xfId="2462" xr:uid="{12A6BFD7-89D9-4799-BF2A-BB6ABE78E49C}"/>
    <cellStyle name="tableau | cellule | total | decimal 1 4" xfId="1485" xr:uid="{47C61599-504B-4466-9C47-618110719EA8}"/>
    <cellStyle name="tableau | cellule | total | decimal 1 4 2" xfId="2464" xr:uid="{FCA9FB75-7BBF-4255-A9D6-928CD4173426}"/>
    <cellStyle name="tableau | cellule | total | decimal 1 5" xfId="1486" xr:uid="{BD45B938-2475-41E6-9041-4EBB6B5D4025}"/>
    <cellStyle name="tableau | cellule | total | decimal 1 5 2" xfId="2465" xr:uid="{D25C2B65-80A6-4379-9EB6-993F51719F4B}"/>
    <cellStyle name="tableau | cellule | total | decimal 1 6" xfId="2458" xr:uid="{7A5220E2-D407-44B4-9138-8E334A329E84}"/>
    <cellStyle name="tableau | cellule | total | decimal 1 7" xfId="1479" xr:uid="{2E30557D-1FC7-4A48-AC45-2D2EFFCD94BA}"/>
    <cellStyle name="tableau | cellule | total | decimal 1 8" xfId="3103" xr:uid="{04E34724-1A32-438F-92F5-D4091D4307AB}"/>
    <cellStyle name="tableau | cellule | total | decimal 2" xfId="1487" xr:uid="{3850FB02-CE25-4944-88F7-BA91E47BC863}"/>
    <cellStyle name="tableau | cellule | total | decimal 2 2" xfId="1488" xr:uid="{928B20DB-C4AD-41D8-A3D2-52D135EA6BA8}"/>
    <cellStyle name="tableau | cellule | total | decimal 2 2 2" xfId="1489" xr:uid="{0488BFF6-3581-44DD-A6A1-5B033105E010}"/>
    <cellStyle name="tableau | cellule | total | decimal 2 2 2 2" xfId="2468" xr:uid="{4A5AD5B3-7270-4439-A5DE-5B96D7EFA8DC}"/>
    <cellStyle name="tableau | cellule | total | decimal 2 2 3" xfId="2467" xr:uid="{EE805AF2-FD9A-4549-B2D0-D446226114F8}"/>
    <cellStyle name="tableau | cellule | total | decimal 2 3" xfId="1490" xr:uid="{DBFD7047-7496-4222-BCD3-9B1006828AAF}"/>
    <cellStyle name="tableau | cellule | total | decimal 2 3 2" xfId="2469" xr:uid="{B2792516-92FA-41F0-8802-EEB8AA90D3B9}"/>
    <cellStyle name="tableau | cellule | total | decimal 2 4" xfId="1491" xr:uid="{0E90B66A-0249-4BEE-B35F-2769DAEDEFE6}"/>
    <cellStyle name="tableau | cellule | total | decimal 2 4 2" xfId="2470" xr:uid="{6A62376E-9BF2-4F80-9B7E-4D130FFD1283}"/>
    <cellStyle name="tableau | cellule | total | decimal 2 5" xfId="1492" xr:uid="{E1997288-22DC-466D-9160-9B4C22275D4B}"/>
    <cellStyle name="tableau | cellule | total | decimal 2 5 2" xfId="2471" xr:uid="{33594D91-F1FE-41E5-9258-CE0F97F6A494}"/>
    <cellStyle name="tableau | cellule | total | decimal 2 6" xfId="2466" xr:uid="{89B835B7-F0D7-4F8D-BDD8-58EA7B6CEBE8}"/>
    <cellStyle name="tableau | cellule | total | decimal 3" xfId="1493" xr:uid="{3F3E98DB-ECF5-42B0-BC60-6BA3AA81E564}"/>
    <cellStyle name="tableau | cellule | total | decimal 3 2" xfId="1494" xr:uid="{60A9A9B4-E383-4DC2-82A2-BBC45BF796E6}"/>
    <cellStyle name="tableau | cellule | total | decimal 3 2 2" xfId="1495" xr:uid="{AE06D762-1686-4998-9ADF-95220718E350}"/>
    <cellStyle name="tableau | cellule | total | decimal 3 2 2 2" xfId="2474" xr:uid="{668DCD5A-F2D3-46AE-B3BC-AB4370E9AD38}"/>
    <cellStyle name="tableau | cellule | total | decimal 3 2 3" xfId="2473" xr:uid="{E811224A-563A-4CC5-8A33-6122B38F8001}"/>
    <cellStyle name="tableau | cellule | total | decimal 3 3" xfId="1496" xr:uid="{E94FFD83-AD8B-45A4-89A7-20C75F5D9431}"/>
    <cellStyle name="tableau | cellule | total | decimal 3 3 2" xfId="2475" xr:uid="{60EB145F-7FF6-4C1A-AB12-197135BF1E9D}"/>
    <cellStyle name="tableau | cellule | total | decimal 3 4" xfId="1497" xr:uid="{094F0A07-C4B0-461C-BBA4-99EEF063C122}"/>
    <cellStyle name="tableau | cellule | total | decimal 3 4 2" xfId="2476" xr:uid="{53941ABC-F105-493C-BE53-45DBC53D66AA}"/>
    <cellStyle name="tableau | cellule | total | decimal 3 5" xfId="1498" xr:uid="{8AC6F3C1-7FCA-4763-876D-C474B3BFC06E}"/>
    <cellStyle name="tableau | cellule | total | decimal 3 5 2" xfId="2477" xr:uid="{F059152F-6641-4EB2-8D87-8D1745716A79}"/>
    <cellStyle name="tableau | cellule | total | decimal 3 6" xfId="2472" xr:uid="{CB1BCAB5-D644-4C77-96A8-ABEFB87FB234}"/>
    <cellStyle name="tableau | cellule | total | decimal 4" xfId="1499" xr:uid="{A45176E8-24D2-40CF-A882-9CD9DF06C502}"/>
    <cellStyle name="tableau | cellule | total | decimal 4 2" xfId="1500" xr:uid="{077EC100-2094-4A3B-8257-D12A133E1893}"/>
    <cellStyle name="tableau | cellule | total | decimal 4 2 2" xfId="1501" xr:uid="{C094415E-5738-45D0-8962-7BC470CDBC45}"/>
    <cellStyle name="tableau | cellule | total | decimal 4 2 2 2" xfId="2480" xr:uid="{37608970-981D-47EB-92B4-E2D55A291963}"/>
    <cellStyle name="tableau | cellule | total | decimal 4 2 3" xfId="2479" xr:uid="{8ECE74D6-BF49-46C4-B81D-BE32901A539D}"/>
    <cellStyle name="tableau | cellule | total | decimal 4 3" xfId="1502" xr:uid="{0EA43528-78BD-48BB-84C4-85C9EC54412A}"/>
    <cellStyle name="tableau | cellule | total | decimal 4 3 2" xfId="2481" xr:uid="{744B8C46-645E-4EF3-9DB0-C0D4A815682E}"/>
    <cellStyle name="tableau | cellule | total | decimal 4 4" xfId="1503" xr:uid="{26989970-F98A-4D9E-80AB-C5EE39F49C12}"/>
    <cellStyle name="tableau | cellule | total | decimal 4 4 2" xfId="2482" xr:uid="{5C4E1BA7-FCE1-4086-B8F1-081CFC22F065}"/>
    <cellStyle name="tableau | cellule | total | decimal 4 5" xfId="1504" xr:uid="{08A5932D-C344-4CEB-AC40-91AF395BE06C}"/>
    <cellStyle name="tableau | cellule | total | decimal 4 5 2" xfId="2483" xr:uid="{55F98DBB-5A2A-4D1C-BA7F-CBC4E304512B}"/>
    <cellStyle name="tableau | cellule | total | decimal 4 6" xfId="2478" xr:uid="{C0DC5D54-6903-4E48-80C4-44E3EA11C284}"/>
    <cellStyle name="tableau | cellule | total | entier" xfId="1505" xr:uid="{895DB870-4FFB-4628-A438-993E941A4D21}"/>
    <cellStyle name="tableau | cellule | total | entier 2" xfId="1506" xr:uid="{AAA02D1C-EE2A-41BE-979B-A3AF7EA89D35}"/>
    <cellStyle name="tableau | cellule | total | entier 2 2" xfId="1507" xr:uid="{D27BD252-D261-4A8F-BCCB-3647C5B87306}"/>
    <cellStyle name="tableau | cellule | total | entier 2 2 2" xfId="2486" xr:uid="{3FD7CCA3-F4F3-4B2A-BC2F-D23F41117E2A}"/>
    <cellStyle name="tableau | cellule | total | entier 2 3" xfId="2485" xr:uid="{4A2B2427-705A-43B1-BDDB-A60DF783326A}"/>
    <cellStyle name="tableau | cellule | total | entier 3" xfId="1508" xr:uid="{B1D5B704-3464-421C-A8B8-F3A6F14752E1}"/>
    <cellStyle name="tableau | cellule | total | entier 3 2" xfId="2487" xr:uid="{3FA72F59-D51A-4257-BE66-F7458E156A02}"/>
    <cellStyle name="tableau | cellule | total | entier 4" xfId="1509" xr:uid="{7F4ADC6F-C0D6-4D8A-A4D5-F12457AF3531}"/>
    <cellStyle name="tableau | cellule | total | entier 4 2" xfId="2488" xr:uid="{1055C440-05BD-43D1-93B2-2A0876D475C7}"/>
    <cellStyle name="tableau | cellule | total | entier 5" xfId="1510" xr:uid="{5EEB16DC-4594-4C77-81AF-411C517DD361}"/>
    <cellStyle name="tableau | cellule | total | entier 5 2" xfId="2489" xr:uid="{DF023C37-EDE5-4DA0-979E-897A6E309BA6}"/>
    <cellStyle name="tableau | cellule | total | entier 6" xfId="2484" xr:uid="{2DD140C0-6426-4788-9D3A-2DE43C7D2399}"/>
    <cellStyle name="tableau | cellule | total | euro | decimal 1" xfId="1511" xr:uid="{E04185E9-C56E-44AF-92C8-8F129A14BAB5}"/>
    <cellStyle name="tableau | cellule | total | euro | decimal 1 2" xfId="1512" xr:uid="{B788B058-77F3-4B61-BFF7-41164643263E}"/>
    <cellStyle name="tableau | cellule | total | euro | decimal 1 2 2" xfId="1513" xr:uid="{A19D2412-1BBD-40A8-AEF5-683C95000CB3}"/>
    <cellStyle name="tableau | cellule | total | euro | decimal 1 2 2 2" xfId="2492" xr:uid="{860BCDA3-7257-458C-A048-A0E28C1B4006}"/>
    <cellStyle name="tableau | cellule | total | euro | decimal 1 2 3" xfId="2491" xr:uid="{12949CD7-8260-45D7-ABE3-6C5F8D1AE679}"/>
    <cellStyle name="tableau | cellule | total | euro | decimal 1 3" xfId="1514" xr:uid="{5D94EDE3-78B4-4042-B6D9-C2063C254813}"/>
    <cellStyle name="tableau | cellule | total | euro | decimal 1 3 2" xfId="2493" xr:uid="{E051903B-421D-4AD4-A7C4-860F5BAC045E}"/>
    <cellStyle name="tableau | cellule | total | euro | decimal 1 4" xfId="1515" xr:uid="{4481618E-53E8-4C35-A25F-616B727EF51E}"/>
    <cellStyle name="tableau | cellule | total | euro | decimal 1 4 2" xfId="2494" xr:uid="{89BC0E3D-F3BA-498A-8AEE-86F5DD8972EF}"/>
    <cellStyle name="tableau | cellule | total | euro | decimal 1 5" xfId="1516" xr:uid="{14F92AA8-683C-43C4-A4B4-799E905E0975}"/>
    <cellStyle name="tableau | cellule | total | euro | decimal 1 5 2" xfId="2495" xr:uid="{7541B42F-2399-48CF-9D3D-CFEF21F10EDA}"/>
    <cellStyle name="tableau | cellule | total | euro | decimal 1 6" xfId="2490" xr:uid="{B37F4952-0BC0-4848-9671-FCC9FF141779}"/>
    <cellStyle name="tableau | cellule | total | euro | decimal 2" xfId="1517" xr:uid="{E15EE607-00D5-47FD-A912-1D8ED1E1993A}"/>
    <cellStyle name="tableau | cellule | total | euro | decimal 2 2" xfId="1518" xr:uid="{F828182B-DB89-4922-9010-F579C3636856}"/>
    <cellStyle name="tableau | cellule | total | euro | decimal 2 2 2" xfId="1519" xr:uid="{7104D03F-C5A3-4D22-8602-AB57F738007E}"/>
    <cellStyle name="tableau | cellule | total | euro | decimal 2 2 2 2" xfId="2498" xr:uid="{4BB78985-457A-4082-886C-6B51001A2510}"/>
    <cellStyle name="tableau | cellule | total | euro | decimal 2 2 3" xfId="2497" xr:uid="{2224869C-CE7A-4BFF-9A1E-651A5632AE6B}"/>
    <cellStyle name="tableau | cellule | total | euro | decimal 2 3" xfId="1520" xr:uid="{6284571A-EC7D-49F8-ACCB-C7A68E2BE09D}"/>
    <cellStyle name="tableau | cellule | total | euro | decimal 2 3 2" xfId="2499" xr:uid="{B97AFF07-CF32-4D0E-B7DC-09C88DE3691E}"/>
    <cellStyle name="tableau | cellule | total | euro | decimal 2 4" xfId="1521" xr:uid="{8EF22343-3538-4CB8-B0B6-12D1CC50DE62}"/>
    <cellStyle name="tableau | cellule | total | euro | decimal 2 4 2" xfId="2500" xr:uid="{B1DA6D37-EACB-4E02-B982-B8D6904DF648}"/>
    <cellStyle name="tableau | cellule | total | euro | decimal 2 5" xfId="1522" xr:uid="{7EEC38FC-A124-4FE4-B1CF-65F381619E54}"/>
    <cellStyle name="tableau | cellule | total | euro | decimal 2 5 2" xfId="2501" xr:uid="{CEEA570F-7197-48A5-97D0-09676B6A0417}"/>
    <cellStyle name="tableau | cellule | total | euro | decimal 2 6" xfId="2496" xr:uid="{BB2E0F35-0CA0-46DA-8B8A-4B8D1349CE35}"/>
    <cellStyle name="tableau | cellule | total | euro | entier" xfId="1523" xr:uid="{F7B78339-2F6C-4F29-B936-F83A729939A4}"/>
    <cellStyle name="tableau | cellule | total | euro | entier 2" xfId="1524" xr:uid="{7F2DEDB1-D597-4E77-B2F5-FB8513F32C92}"/>
    <cellStyle name="tableau | cellule | total | euro | entier 2 2" xfId="1525" xr:uid="{C0B53FF4-8A88-4468-AC02-8B77267BDB2F}"/>
    <cellStyle name="tableau | cellule | total | euro | entier 2 2 2" xfId="2504" xr:uid="{8B0557D9-0B99-45B6-8BCE-793793E74739}"/>
    <cellStyle name="tableau | cellule | total | euro | entier 2 3" xfId="2503" xr:uid="{7E261864-211D-4DE9-8F1A-0594BC9A586E}"/>
    <cellStyle name="tableau | cellule | total | euro | entier 3" xfId="1526" xr:uid="{268BC666-4A0A-479B-83BC-01420FD2DA37}"/>
    <cellStyle name="tableau | cellule | total | euro | entier 3 2" xfId="2505" xr:uid="{CB8107AA-7599-415B-9EA7-BF8D890F971F}"/>
    <cellStyle name="tableau | cellule | total | euro | entier 4" xfId="1527" xr:uid="{415E3E56-B144-48F4-9E3B-3E1D5DD52C1A}"/>
    <cellStyle name="tableau | cellule | total | euro | entier 4 2" xfId="2506" xr:uid="{2A6F84CD-AFEC-4F4C-8CC1-F2890B58A59B}"/>
    <cellStyle name="tableau | cellule | total | euro | entier 5" xfId="1528" xr:uid="{B050EDED-788B-41DA-8E73-9737A7CDDC70}"/>
    <cellStyle name="tableau | cellule | total | euro | entier 5 2" xfId="2507" xr:uid="{C999354F-F4F2-4B36-859D-3429A85E9E42}"/>
    <cellStyle name="tableau | cellule | total | euro | entier 6" xfId="2502" xr:uid="{41667951-D782-4237-B6FF-DE95A25534F5}"/>
    <cellStyle name="tableau | cellule | total | franc | decimal 1" xfId="1529" xr:uid="{B6C8FBD1-491C-4D15-B155-F7A27B21DC9D}"/>
    <cellStyle name="tableau | cellule | total | franc | decimal 1 2" xfId="1530" xr:uid="{8D5B963F-3614-4EA3-81CC-1E8B99DF09EE}"/>
    <cellStyle name="tableau | cellule | total | franc | decimal 1 2 2" xfId="1531" xr:uid="{A7447256-E204-4EEB-8CEA-EA519CF0206B}"/>
    <cellStyle name="tableau | cellule | total | franc | decimal 1 2 2 2" xfId="2510" xr:uid="{DEECF5B1-9281-4DFF-AFD2-CFEBB5D0AB55}"/>
    <cellStyle name="tableau | cellule | total | franc | decimal 1 2 3" xfId="2509" xr:uid="{9517864A-D535-4E73-B593-858573D5087B}"/>
    <cellStyle name="tableau | cellule | total | franc | decimal 1 3" xfId="1532" xr:uid="{BAF361DD-2493-4646-A594-2AEA13A819B3}"/>
    <cellStyle name="tableau | cellule | total | franc | decimal 1 3 2" xfId="2511" xr:uid="{9DA38582-2C38-493D-8527-2C0D9C0B2B0D}"/>
    <cellStyle name="tableau | cellule | total | franc | decimal 1 4" xfId="1533" xr:uid="{C384634F-13F9-4B42-81B5-A809FCA1625B}"/>
    <cellStyle name="tableau | cellule | total | franc | decimal 1 4 2" xfId="2512" xr:uid="{64FFBDA1-3FB2-4634-AA86-3D1FA385BB60}"/>
    <cellStyle name="tableau | cellule | total | franc | decimal 1 5" xfId="1534" xr:uid="{53193CB2-8227-47A9-924E-8646466046C7}"/>
    <cellStyle name="tableau | cellule | total | franc | decimal 1 5 2" xfId="2513" xr:uid="{4ECA3754-90C4-42B1-86E6-79D1AE1ABC9D}"/>
    <cellStyle name="tableau | cellule | total | franc | decimal 1 6" xfId="2508" xr:uid="{08C49418-7B9B-4479-A51E-CA057B5630C2}"/>
    <cellStyle name="tableau | cellule | total | franc | decimal 2" xfId="1535" xr:uid="{64721ABD-5ADF-46EC-BC4F-4C1546E1C702}"/>
    <cellStyle name="tableau | cellule | total | franc | decimal 2 2" xfId="1536" xr:uid="{7EA37F66-B48C-4F60-8A24-8D8016EBDFA2}"/>
    <cellStyle name="tableau | cellule | total | franc | decimal 2 2 2" xfId="1537" xr:uid="{B0765A07-2025-43B2-99DC-76CC8122C710}"/>
    <cellStyle name="tableau | cellule | total | franc | decimal 2 2 2 2" xfId="2516" xr:uid="{45C25122-7BE4-4C10-B1A2-D725985B5CCB}"/>
    <cellStyle name="tableau | cellule | total | franc | decimal 2 2 3" xfId="2515" xr:uid="{87EBCC2D-B19C-4DCA-A8BD-CC12D824D670}"/>
    <cellStyle name="tableau | cellule | total | franc | decimal 2 3" xfId="1538" xr:uid="{34B2796B-2A91-4862-8903-8C0C381677B1}"/>
    <cellStyle name="tableau | cellule | total | franc | decimal 2 3 2" xfId="2517" xr:uid="{A48B423C-B441-4724-A8A2-AA57D843F2E4}"/>
    <cellStyle name="tableau | cellule | total | franc | decimal 2 4" xfId="1539" xr:uid="{FBC87B91-0D95-4C25-99AB-432E0566CA64}"/>
    <cellStyle name="tableau | cellule | total | franc | decimal 2 4 2" xfId="2518" xr:uid="{9CA26BBB-66CD-4EF7-B05B-8775C698DFE4}"/>
    <cellStyle name="tableau | cellule | total | franc | decimal 2 5" xfId="1540" xr:uid="{79E46CED-58DB-4E99-B4EC-FE91513F8196}"/>
    <cellStyle name="tableau | cellule | total | franc | decimal 2 5 2" xfId="2519" xr:uid="{41249C2A-AFF6-4DF7-8745-325D7D213B71}"/>
    <cellStyle name="tableau | cellule | total | franc | decimal 2 6" xfId="2514" xr:uid="{C94AE96F-19FB-43F9-ABE2-56A8B0B57276}"/>
    <cellStyle name="tableau | cellule | total | franc | entier" xfId="1541" xr:uid="{7E31E506-DBD4-4E5C-A51F-B936451044E1}"/>
    <cellStyle name="tableau | cellule | total | franc | entier 2" xfId="1542" xr:uid="{01DCDC5B-E1AC-43E5-BE56-D5E7DE8F9490}"/>
    <cellStyle name="tableau | cellule | total | franc | entier 2 2" xfId="1543" xr:uid="{C17426C9-ED4B-4812-8419-81D2CD0BD609}"/>
    <cellStyle name="tableau | cellule | total | franc | entier 2 2 2" xfId="2522" xr:uid="{0AABCEF3-1CC8-48B2-9998-4A3F28203F2B}"/>
    <cellStyle name="tableau | cellule | total | franc | entier 2 3" xfId="2521" xr:uid="{0A74AAF6-4F5C-4109-B4B7-1A0E28B7F0B6}"/>
    <cellStyle name="tableau | cellule | total | franc | entier 3" xfId="1544" xr:uid="{01B8F273-21E4-4928-A60C-8FBEFCC6C86D}"/>
    <cellStyle name="tableau | cellule | total | franc | entier 3 2" xfId="2523" xr:uid="{FFE36AA0-DD6A-4FB2-96A7-8AFEAA50AB71}"/>
    <cellStyle name="tableau | cellule | total | franc | entier 4" xfId="1545" xr:uid="{2E7B307A-563E-4012-865C-97C77620BFE0}"/>
    <cellStyle name="tableau | cellule | total | franc | entier 4 2" xfId="2524" xr:uid="{D4179D15-E371-46EE-A683-8AF784A0BEB4}"/>
    <cellStyle name="tableau | cellule | total | franc | entier 5" xfId="1546" xr:uid="{83CC542A-4FEC-4A6D-AE24-496BDEC30BFF}"/>
    <cellStyle name="tableau | cellule | total | franc | entier 5 2" xfId="2525" xr:uid="{5C6334A3-5D43-4A10-B65E-6F4CDECFA5B7}"/>
    <cellStyle name="tableau | cellule | total | franc | entier 6" xfId="2520" xr:uid="{D9CE1041-AD46-4B9E-9D45-742631085D14}"/>
    <cellStyle name="tableau | cellule | total | pourcentage | decimal 1" xfId="1547" xr:uid="{9E79B09E-156A-439C-A9C9-465642EFD58D}"/>
    <cellStyle name="tableau | cellule | total | pourcentage | decimal 1 2" xfId="1548" xr:uid="{50347877-AF9F-41CB-9D11-A46373581554}"/>
    <cellStyle name="tableau | cellule | total | pourcentage | decimal 1 2 2" xfId="1549" xr:uid="{D6E4C922-B655-4E96-ABD4-CBCAED30EB12}"/>
    <cellStyle name="tableau | cellule | total | pourcentage | decimal 1 2 2 2" xfId="2528" xr:uid="{729A1988-AB20-43B0-B6BD-50ACFB15E5F6}"/>
    <cellStyle name="tableau | cellule | total | pourcentage | decimal 1 2 3" xfId="2527" xr:uid="{42B5A6E4-AA49-4D9D-924E-F9CE92611572}"/>
    <cellStyle name="tableau | cellule | total | pourcentage | decimal 1 3" xfId="1550" xr:uid="{7C0228E0-154F-4A49-8FC8-18001EC33E00}"/>
    <cellStyle name="tableau | cellule | total | pourcentage | decimal 1 3 2" xfId="2529" xr:uid="{65F6965D-D03E-4558-9A09-DC10CA6BAB65}"/>
    <cellStyle name="tableau | cellule | total | pourcentage | decimal 1 4" xfId="1551" xr:uid="{C565DE02-37D1-4892-80A7-993A095D86DD}"/>
    <cellStyle name="tableau | cellule | total | pourcentage | decimal 1 4 2" xfId="2530" xr:uid="{7DBF28EA-4F5F-4199-8E13-3576192FD9DC}"/>
    <cellStyle name="tableau | cellule | total | pourcentage | decimal 1 5" xfId="1552" xr:uid="{9A5C8BF4-BF88-44B0-9567-52D4E17ABB42}"/>
    <cellStyle name="tableau | cellule | total | pourcentage | decimal 1 5 2" xfId="2531" xr:uid="{81C0C894-BE76-43BE-BE51-DCA812B60338}"/>
    <cellStyle name="tableau | cellule | total | pourcentage | decimal 1 6" xfId="2526" xr:uid="{C6B65AC8-E924-4D6F-909E-C889E7FB36EC}"/>
    <cellStyle name="tableau | cellule | total | pourcentage | decimal 2" xfId="1553" xr:uid="{58680052-2877-4251-9649-0509325D72E8}"/>
    <cellStyle name="tableau | cellule | total | pourcentage | decimal 2 2" xfId="1554" xr:uid="{EBCC28CF-D38F-4ECF-87CB-9439165C1404}"/>
    <cellStyle name="tableau | cellule | total | pourcentage | decimal 2 2 2" xfId="1555" xr:uid="{9E9149EC-7827-4EA5-91E8-43FE8B78482A}"/>
    <cellStyle name="tableau | cellule | total | pourcentage | decimal 2 2 2 2" xfId="2534" xr:uid="{4DBCB579-77BA-490F-B110-FB04CA1E6493}"/>
    <cellStyle name="tableau | cellule | total | pourcentage | decimal 2 2 3" xfId="2533" xr:uid="{272C2A2E-A6A1-4F47-BC5C-89F6F6C6F871}"/>
    <cellStyle name="tableau | cellule | total | pourcentage | decimal 2 3" xfId="1556" xr:uid="{CC879D1D-D82C-4395-80FA-E0B15E4B2ACD}"/>
    <cellStyle name="tableau | cellule | total | pourcentage | decimal 2 3 2" xfId="2535" xr:uid="{D012C40E-216C-4819-9DAE-B89126D82034}"/>
    <cellStyle name="tableau | cellule | total | pourcentage | decimal 2 4" xfId="1557" xr:uid="{2CFF864B-19EB-4E3A-AF69-29B0E9C5AAA9}"/>
    <cellStyle name="tableau | cellule | total | pourcentage | decimal 2 4 2" xfId="2536" xr:uid="{DD08E4F3-74F7-4EA6-A677-8E8438090A63}"/>
    <cellStyle name="tableau | cellule | total | pourcentage | decimal 2 5" xfId="1558" xr:uid="{A0B7D1B3-0976-4169-B8C2-DBDD082D5FD5}"/>
    <cellStyle name="tableau | cellule | total | pourcentage | decimal 2 5 2" xfId="2537" xr:uid="{22347E8F-12C8-4054-8512-11F084C8F601}"/>
    <cellStyle name="tableau | cellule | total | pourcentage | decimal 2 6" xfId="2532" xr:uid="{74C6B9F3-F39D-4E7F-A160-BF70C329AFFF}"/>
    <cellStyle name="tableau | cellule | total | pourcentage | entier" xfId="1559" xr:uid="{1477BD64-1C1F-4DC0-A209-E37537432C9A}"/>
    <cellStyle name="tableau | cellule | total | pourcentage | entier 2" xfId="1560" xr:uid="{C5CD388E-16C3-4CD8-952A-B2E8B291A947}"/>
    <cellStyle name="tableau | cellule | total | pourcentage | entier 2 2" xfId="1561" xr:uid="{A035BBC1-35CC-4CC8-AB35-2E12BAE2EFD1}"/>
    <cellStyle name="tableau | cellule | total | pourcentage | entier 2 2 2" xfId="2540" xr:uid="{367B591E-D620-49C2-AB85-A79B7983B14B}"/>
    <cellStyle name="tableau | cellule | total | pourcentage | entier 2 3" xfId="2539" xr:uid="{0E289414-F5EA-46DB-B1FC-EE56E295612B}"/>
    <cellStyle name="tableau | cellule | total | pourcentage | entier 3" xfId="1562" xr:uid="{D6B91122-CCE0-4387-98E4-BAF11E09A486}"/>
    <cellStyle name="tableau | cellule | total | pourcentage | entier 3 2" xfId="2541" xr:uid="{40DB2398-BC41-4C72-B41A-89A764B55865}"/>
    <cellStyle name="tableau | cellule | total | pourcentage | entier 4" xfId="1563" xr:uid="{7D4E3046-0D9B-410E-B384-4111EC32FF65}"/>
    <cellStyle name="tableau | cellule | total | pourcentage | entier 4 2" xfId="2542" xr:uid="{747B394C-2615-4FBB-912F-1F197BDAA67F}"/>
    <cellStyle name="tableau | cellule | total | pourcentage | entier 5" xfId="1564" xr:uid="{BD2B48B2-F292-4D72-BF39-E08FCDA68CB4}"/>
    <cellStyle name="tableau | cellule | total | pourcentage | entier 5 2" xfId="2543" xr:uid="{8E62A2D6-15B5-4D7A-8726-14DA37DC625B}"/>
    <cellStyle name="tableau | cellule | total | pourcentage | entier 6" xfId="2538" xr:uid="{E8012E89-9394-40ED-831B-E95F777C4F68}"/>
    <cellStyle name="tableau | cellule | total | standard" xfId="1565" xr:uid="{F4F2B84B-D19C-411E-8451-939F98E7EBCB}"/>
    <cellStyle name="tableau | cellule | total | standard 2" xfId="1566" xr:uid="{A96776BC-4E50-42DC-931D-4A717E51F419}"/>
    <cellStyle name="tableau | cellule | total | standard 2 2" xfId="1567" xr:uid="{6C3659B3-26DA-4EDB-8971-7040A93BCCF2}"/>
    <cellStyle name="tableau | cellule | total | standard 2 2 2" xfId="2546" xr:uid="{7F5A4419-4F13-4270-9D10-63498D6B4B89}"/>
    <cellStyle name="tableau | cellule | total | standard 2 3" xfId="2545" xr:uid="{3999CCFC-17DE-4F07-A960-EBE54EE8983F}"/>
    <cellStyle name="tableau | cellule | total | standard 3" xfId="1568" xr:uid="{041A11BB-BE50-474E-8AFD-C819C5AF2935}"/>
    <cellStyle name="tableau | cellule | total | standard 3 2" xfId="2547" xr:uid="{55B939F6-9025-4331-8805-AE20CAFACF14}"/>
    <cellStyle name="tableau | cellule | total | standard 4" xfId="1569" xr:uid="{0E4280CA-1181-4571-B7B2-9F96611747E4}"/>
    <cellStyle name="tableau | cellule | total | standard 4 2" xfId="2548" xr:uid="{E005DE62-9115-4E28-88F2-F7CC3ED3A110}"/>
    <cellStyle name="tableau | cellule | total | standard 5" xfId="1570" xr:uid="{66CDDAFF-C9FA-4BB3-BFFA-CAB963D18BE5}"/>
    <cellStyle name="tableau | cellule | total | standard 5 2" xfId="2549" xr:uid="{72EDE562-A3B2-4BE4-9978-B1870E87C228}"/>
    <cellStyle name="tableau | cellule | total | standard 6" xfId="2544" xr:uid="{103731C7-6B5F-49C7-A190-B357004F2506}"/>
    <cellStyle name="tableau | cellule | total | texte" xfId="1571" xr:uid="{C6EC1D43-85B0-4257-B621-1ABCD77018F5}"/>
    <cellStyle name="tableau | cellule | total | texte 2" xfId="1572" xr:uid="{EC60496A-8802-411A-893A-C16CDAE78A40}"/>
    <cellStyle name="tableau | cellule | total | texte 2 2" xfId="1573" xr:uid="{280E0691-2599-4428-82EC-D72D6060C375}"/>
    <cellStyle name="tableau | cellule | total | texte 2 2 2" xfId="2552" xr:uid="{9D3B861E-7C6B-4A9F-BD62-C250FF07ADDF}"/>
    <cellStyle name="tableau | cellule | total | texte 2 3" xfId="2551" xr:uid="{B1AA3A14-182C-4F26-B3C5-4CBDA7441B31}"/>
    <cellStyle name="tableau | cellule | total | texte 3" xfId="1574" xr:uid="{5A34E1A1-3664-49C2-9054-A7E02AF13BCA}"/>
    <cellStyle name="tableau | cellule | total | texte 3 2" xfId="2553" xr:uid="{FC561E3D-C856-4510-A18F-01CE225AA1F5}"/>
    <cellStyle name="tableau | cellule | total | texte 4" xfId="1575" xr:uid="{F77394DC-26D3-40FB-8092-F975B64BCBB0}"/>
    <cellStyle name="tableau | cellule | total | texte 4 2" xfId="2554" xr:uid="{669D6D8F-6DA0-4910-8029-FDDE2141E5FF}"/>
    <cellStyle name="tableau | cellule | total | texte 5" xfId="1576" xr:uid="{4F8258BB-F857-4197-9926-1CC72016E9B2}"/>
    <cellStyle name="tableau | cellule | total | texte 5 2" xfId="2555" xr:uid="{603BD985-BC60-47BE-A7EC-E588CF334A1B}"/>
    <cellStyle name="tableau | cellule | total | texte 6" xfId="2550" xr:uid="{86FBD3A2-E894-4836-B67F-122DE2797015}"/>
    <cellStyle name="tableau | coin superieur gauche" xfId="1577" xr:uid="{34C4458A-CE24-4BCF-BD09-DC4164EAA400}"/>
    <cellStyle name="tableau | coin superieur gauche 2" xfId="1578" xr:uid="{9F5D22F4-B79F-4DBA-AEA7-24DDFF2BB1C0}"/>
    <cellStyle name="tableau | coin superieur gauche 2 2" xfId="2557" xr:uid="{255684D4-3625-494B-8E9E-FAC947E434A3}"/>
    <cellStyle name="tableau | coin superieur gauche 3" xfId="1579" xr:uid="{68BC9A0C-466E-4A8C-B405-FB027C611816}"/>
    <cellStyle name="tableau | coin superieur gauche 3 2" xfId="2558" xr:uid="{55078A1A-73FD-4CAC-BB1E-887C571AB822}"/>
    <cellStyle name="tableau | coin superieur gauche 4" xfId="1580" xr:uid="{98470CF1-FAFE-49A0-829E-6DB6E7E9D22E}"/>
    <cellStyle name="tableau | coin superieur gauche 4 2" xfId="2559" xr:uid="{7689FB92-8878-4919-9257-624D187B25D4}"/>
    <cellStyle name="tableau | coin superieur gauche 5" xfId="1581" xr:uid="{3F666210-2329-473A-8086-B8B1B96E88C2}"/>
    <cellStyle name="tableau | coin superieur gauche 5 2" xfId="2560" xr:uid="{D921374F-98D0-4258-9A90-204DB82DF523}"/>
    <cellStyle name="tableau | coin superieur gauche 6" xfId="2556" xr:uid="{0891A4BE-0E17-40CF-AEF1-21E5601E2025}"/>
    <cellStyle name="tableau | entete-colonne | series" xfId="53" xr:uid="{E1326D43-76DA-48B7-9451-D4AC5F57A3FE}"/>
    <cellStyle name="tableau | entete-colonne | series 2" xfId="1583" xr:uid="{13204168-697B-40EB-AADC-A80B1061A579}"/>
    <cellStyle name="tableau | entete-colonne | series 2 2" xfId="1584" xr:uid="{27815BEF-7FA7-4021-825E-286A14F3E6B6}"/>
    <cellStyle name="tableau | entete-colonne | series 2 2 2" xfId="2563" xr:uid="{0942BD8A-D513-45AC-956B-ABBB68E53736}"/>
    <cellStyle name="tableau | entete-colonne | series 2 3" xfId="1585" xr:uid="{6CC90182-B042-48FB-AA35-B70F93565920}"/>
    <cellStyle name="tableau | entete-colonne | series 2 3 2" xfId="2564" xr:uid="{2E9DBAF2-5D26-4842-8C65-170C08722273}"/>
    <cellStyle name="tableau | entete-colonne | series 2 4" xfId="2562" xr:uid="{673B335B-FCCB-4C69-B520-4B9DB9FCFC05}"/>
    <cellStyle name="tableau | entete-colonne | series 3" xfId="1586" xr:uid="{087933DD-230E-4FB3-BD8C-90A69B86E451}"/>
    <cellStyle name="tableau | entete-colonne | series 3 2" xfId="1587" xr:uid="{582BBB67-FE14-4C45-A7F8-2BCCAA80697C}"/>
    <cellStyle name="tableau | entete-colonne | series 3 2 2" xfId="2566" xr:uid="{EF08FF56-FCD7-4586-A136-AF5ECB56A272}"/>
    <cellStyle name="tableau | entete-colonne | series 3 3" xfId="2565" xr:uid="{D9B55409-BCC9-463A-93E7-5EB8116B1F63}"/>
    <cellStyle name="tableau | entete-colonne | series 4" xfId="1588" xr:uid="{862E3EF2-281C-4EBB-B79F-AC333B6AA35C}"/>
    <cellStyle name="tableau | entete-colonne | series 4 2" xfId="2567" xr:uid="{AD1CC33D-6BE8-40FE-919B-3370435BA078}"/>
    <cellStyle name="tableau | entete-colonne | series 5" xfId="1589" xr:uid="{8226B9C6-63F3-44C1-8A28-04E4EE7BB36B}"/>
    <cellStyle name="tableau | entete-colonne | series 5 2" xfId="2568" xr:uid="{4212C723-4C51-4A6D-BB55-0AB84FE20488}"/>
    <cellStyle name="tableau | entete-colonne | series 6" xfId="2561" xr:uid="{85AE5820-BC8E-42E6-9AB1-2A4591EC658D}"/>
    <cellStyle name="tableau | entete-colonne | series 7" xfId="1582" xr:uid="{52DA495E-A43E-444A-B794-96EC910B8CE3}"/>
    <cellStyle name="tableau | entete-colonne | structure | normal" xfId="1590" xr:uid="{8BA5CECD-F743-431D-BCED-AE0F7B2D33A5}"/>
    <cellStyle name="tableau | entete-colonne | structure | normal 2" xfId="1591" xr:uid="{6421C928-563A-4D32-A3BC-DA2104726E5B}"/>
    <cellStyle name="tableau | entete-colonne | structure | normal 2 2" xfId="2570" xr:uid="{B1C86142-602D-40EC-975A-EF558AD11E46}"/>
    <cellStyle name="tableau | entete-colonne | structure | normal 3" xfId="1592" xr:uid="{F0C0CAEE-20C2-4584-8C11-46372C6159CB}"/>
    <cellStyle name="tableau | entete-colonne | structure | normal 3 2" xfId="2571" xr:uid="{C2A64031-29BD-40CE-9B03-5ADCB0D86DDC}"/>
    <cellStyle name="tableau | entete-colonne | structure | normal 4" xfId="1593" xr:uid="{4829BDA5-FB60-48C7-9608-45BC0DD1AE29}"/>
    <cellStyle name="tableau | entete-colonne | structure | normal 4 2" xfId="2572" xr:uid="{797A25F4-795D-469C-BE1C-2825484A37DA}"/>
    <cellStyle name="tableau | entete-colonne | structure | normal 5" xfId="2569" xr:uid="{AAB6BE50-3607-4C39-812B-E85EAABFAB54}"/>
    <cellStyle name="tableau | entete-colonne | structure | total" xfId="1594" xr:uid="{D0697097-65C4-41B6-B49B-D31333DCCFA7}"/>
    <cellStyle name="tableau | entete-colonne | structure | total 2" xfId="1595" xr:uid="{188F7819-3F6D-4D92-9C63-E5EBB1577B56}"/>
    <cellStyle name="tableau | entete-colonne | structure | total 2 2" xfId="2574" xr:uid="{07BF8F76-BC25-4F74-A857-B695DF50E777}"/>
    <cellStyle name="tableau | entete-colonne | structure | total 3" xfId="1596" xr:uid="{CB66E0CE-0FEC-4AA9-8C1E-3DFEA7A1949D}"/>
    <cellStyle name="tableau | entete-colonne | structure | total 3 2" xfId="2575" xr:uid="{6739647B-6CD6-48F4-8A62-028177382F79}"/>
    <cellStyle name="tableau | entete-colonne | structure | total 4" xfId="1597" xr:uid="{A5124A73-F14A-4262-89BE-DB69F5C460AE}"/>
    <cellStyle name="tableau | entete-colonne | structure | total 4 2" xfId="2576" xr:uid="{487725F3-DF6A-466D-A190-DC447D1F23F1}"/>
    <cellStyle name="tableau | entete-colonne | structure | total 5" xfId="2573" xr:uid="{F8A2B18B-5419-4A7D-915C-416CE3A9AF1D}"/>
    <cellStyle name="tableau | entete-ligne | normal" xfId="1598" xr:uid="{5EC233D0-5B0A-4B7D-B66A-EE08C5579237}"/>
    <cellStyle name="tableau | entete-ligne | normal 2" xfId="1599" xr:uid="{5405CE0D-CA0B-45E0-BF5E-D8765F370CEC}"/>
    <cellStyle name="tableau | entete-ligne | normal 2 2" xfId="2578" xr:uid="{54E9C0CB-7F50-4897-8F67-F21F7E4D7B3D}"/>
    <cellStyle name="tableau | entete-ligne | normal 3" xfId="1600" xr:uid="{489C8FD1-FDF2-4D2A-AFD1-FD4FEB96BF33}"/>
    <cellStyle name="tableau | entete-ligne | normal 3 2" xfId="2579" xr:uid="{6D786304-05C9-462B-9832-D55E4E31E2BA}"/>
    <cellStyle name="tableau | entete-ligne | normal 4" xfId="1601" xr:uid="{D7E50D0A-874E-437E-9948-CCCBDA456F3B}"/>
    <cellStyle name="tableau | entete-ligne | normal 4 2" xfId="2580" xr:uid="{7A31666D-9308-4E3B-8B97-00FCAB8309A9}"/>
    <cellStyle name="tableau | entete-ligne | normal 5" xfId="1602" xr:uid="{9986E54B-AD90-4DF3-B36D-018741CDE6C4}"/>
    <cellStyle name="tableau | entete-ligne | normal 5 2" xfId="2581" xr:uid="{8C3B871C-0992-4CD4-A5A0-01B104EB8CEE}"/>
    <cellStyle name="tableau | entete-ligne | normal 6" xfId="2577" xr:uid="{80FB8FF8-130D-49F9-9C3E-976275F20582}"/>
    <cellStyle name="tableau | entete-ligne | total" xfId="1603" xr:uid="{D60A8E9D-4952-4BA6-804A-1B2CF3E6476B}"/>
    <cellStyle name="tableau | entete-ligne | total 2" xfId="1604" xr:uid="{917F7D4C-4FE0-4098-A63B-395BFEB81CA2}"/>
    <cellStyle name="tableau | entete-ligne | total 2 2" xfId="2583" xr:uid="{77D464C7-FF19-4E3E-B5F7-F6805ED2FDCB}"/>
    <cellStyle name="tableau | entete-ligne | total 3" xfId="1605" xr:uid="{E8ACF891-CB1C-40A4-B61F-4FDD10F5A215}"/>
    <cellStyle name="tableau | entete-ligne | total 3 2" xfId="2584" xr:uid="{B39F028B-E27B-497A-B419-76E7DD0112C1}"/>
    <cellStyle name="tableau | entete-ligne | total 4" xfId="1606" xr:uid="{5A67B8EA-C8F2-47B6-A562-1D7E9E279C53}"/>
    <cellStyle name="tableau | entete-ligne | total 4 2" xfId="2585" xr:uid="{2540DD26-E403-4A8F-8D95-42104CFD42E3}"/>
    <cellStyle name="tableau | entete-ligne | total 5" xfId="1607" xr:uid="{7B512A5C-E32E-463B-B25A-37851D821BD8}"/>
    <cellStyle name="tableau | entete-ligne | total 5 2" xfId="2586" xr:uid="{CD13081C-1C7E-4806-9081-4A68CD5EABA3}"/>
    <cellStyle name="tableau | entete-ligne | total 6" xfId="2582" xr:uid="{4A89CF88-6DB9-4904-ABF7-44BA02CCECE6}"/>
    <cellStyle name="tableau | indice | plage de cellules" xfId="1608" xr:uid="{E6F9DE13-521A-480A-B89B-1E056ABB10C0}"/>
    <cellStyle name="tableau | indice | plage de cellules 2" xfId="1609" xr:uid="{D16F257C-4923-439C-9196-25B5BC528421}"/>
    <cellStyle name="tableau | indice | plage de cellules 2 2" xfId="2588" xr:uid="{1E150B7E-DD9D-461B-BC8A-E00C3A5507E1}"/>
    <cellStyle name="tableau | indice | plage de cellules 3" xfId="1610" xr:uid="{1620DD3C-6AEF-47D6-94AB-F32771BB7CB5}"/>
    <cellStyle name="tableau | indice | plage de cellules 3 2" xfId="2589" xr:uid="{AD82056F-DABC-4C2C-A437-A3C8A92F8C4F}"/>
    <cellStyle name="tableau | indice | plage de cellules 4" xfId="1611" xr:uid="{1830D650-2FC5-41CF-A6A6-F8045D02B169}"/>
    <cellStyle name="tableau | indice | plage de cellules 4 2" xfId="2590" xr:uid="{CF94A4CB-9B3B-43DF-9742-B8AE081BB8F2}"/>
    <cellStyle name="tableau | indice | plage de cellules 5" xfId="1612" xr:uid="{EF592D74-25F0-4006-BDA3-A7A7AA36A6D4}"/>
    <cellStyle name="tableau | indice | plage de cellules 5 2" xfId="2591" xr:uid="{04CE3B02-31CD-4145-942C-188AE78238A2}"/>
    <cellStyle name="tableau | indice | plage de cellules 6" xfId="2587" xr:uid="{A3156DA0-57EE-494E-BD02-5CEDC33438DA}"/>
    <cellStyle name="tableau | indice | texte" xfId="1613" xr:uid="{F820CE5D-61EF-4409-8D07-5F42012370B8}"/>
    <cellStyle name="tableau | indice | texte 2" xfId="1614" xr:uid="{A2B6AFA8-E873-451A-A403-F98CEE218A16}"/>
    <cellStyle name="tableau | indice | texte 2 2" xfId="2593" xr:uid="{F023E470-4F99-411A-BF88-1B950C2640CC}"/>
    <cellStyle name="tableau | indice | texte 3" xfId="1615" xr:uid="{7EE2EBD4-9E44-433F-AF5A-AF3EAA9C6778}"/>
    <cellStyle name="tableau | indice | texte 3 2" xfId="2594" xr:uid="{EAC8E08C-C0B6-400B-B861-48850CEDE6C1}"/>
    <cellStyle name="tableau | indice | texte 4" xfId="1616" xr:uid="{3E0EE67E-8F92-4F8A-BFB2-D217553D4893}"/>
    <cellStyle name="tableau | indice | texte 4 2" xfId="2595" xr:uid="{D7922F92-2F84-4F85-BD7F-E7544112F3E7}"/>
    <cellStyle name="tableau | indice | texte 5" xfId="1617" xr:uid="{7C2FCBA4-972C-49B1-896D-19797C1D7088}"/>
    <cellStyle name="tableau | indice | texte 5 2" xfId="2596" xr:uid="{3A9A3B0F-25E9-474B-8CA1-8ECC63D610C6}"/>
    <cellStyle name="tableau | indice | texte 6" xfId="2592" xr:uid="{79FF191A-1166-4851-B808-0E7D6BF2B9C3}"/>
    <cellStyle name="tableau | ligne de cesure" xfId="1618" xr:uid="{3C5658E3-08EE-4FBF-A5B5-4623F727B9D6}"/>
    <cellStyle name="tableau | ligne de cesure 2" xfId="1619" xr:uid="{8B836D38-4B08-4EAB-A878-99D486D86CE7}"/>
    <cellStyle name="tableau | ligne de cesure 2 2" xfId="1620" xr:uid="{F4FC098C-12EA-423C-8534-9857D87D9F29}"/>
    <cellStyle name="tableau | ligne de cesure 2 2 2" xfId="2599" xr:uid="{ECD832C2-202B-456D-A2F5-10AD1FB42005}"/>
    <cellStyle name="tableau | ligne de cesure 2 3" xfId="2598" xr:uid="{1C8A700B-FB15-467C-A748-C4CCB66A0E08}"/>
    <cellStyle name="tableau | ligne de cesure 3" xfId="1621" xr:uid="{32935954-4998-4117-BF16-DB9BE806A347}"/>
    <cellStyle name="tableau | ligne de cesure 3 2" xfId="2600" xr:uid="{85CBCE49-BB87-44CE-BA45-731BD78E4B92}"/>
    <cellStyle name="tableau | ligne de cesure 4" xfId="1622" xr:uid="{7420916F-1F2E-480F-A8F8-3F73DBBB9EE5}"/>
    <cellStyle name="tableau | ligne de cesure 4 2" xfId="2601" xr:uid="{5CFFC20B-F492-462D-9E4F-90723DA9592E}"/>
    <cellStyle name="tableau | ligne de cesure 5" xfId="2597" xr:uid="{2BFA00C3-EBF0-4355-948A-F488624C7F09}"/>
    <cellStyle name="tableau | ligne-titre | niveau1" xfId="1623" xr:uid="{D2FD0F10-6BB5-409A-9C7D-BEB1CA21F50F}"/>
    <cellStyle name="tableau | ligne-titre | niveau1 2" xfId="1624" xr:uid="{1B7280E9-0134-4540-9F0B-E8CC9B6862E6}"/>
    <cellStyle name="tableau | ligne-titre | niveau1 2 2" xfId="2603" xr:uid="{C426553D-CE7E-47B6-B3E3-C5DA9FC2C6DA}"/>
    <cellStyle name="tableau | ligne-titre | niveau1 3" xfId="1625" xr:uid="{3F0E1EB3-D4AB-4E7A-A9FE-D8FF4605A3FD}"/>
    <cellStyle name="tableau | ligne-titre | niveau1 3 2" xfId="2604" xr:uid="{A566B171-FB79-482A-9AB4-99BF001375B9}"/>
    <cellStyle name="tableau | ligne-titre | niveau1 4" xfId="1626" xr:uid="{C407ED38-35F8-4A4E-870F-5DD1F9295B57}"/>
    <cellStyle name="tableau | ligne-titre | niveau1 4 2" xfId="2605" xr:uid="{C3C30720-B0A7-46EE-9A39-E8ABD025DCDA}"/>
    <cellStyle name="tableau | ligne-titre | niveau1 5" xfId="1627" xr:uid="{78602955-6068-4E0D-82BC-2ED23EBAC4BB}"/>
    <cellStyle name="tableau | ligne-titre | niveau1 5 2" xfId="2606" xr:uid="{321EE491-DA78-4EE6-8A48-252BE4C4933A}"/>
    <cellStyle name="tableau | ligne-titre | niveau1 6" xfId="2602" xr:uid="{385D62ED-2C85-4B9C-8F69-005A9274D454}"/>
    <cellStyle name="tableau | ligne-titre | niveau2" xfId="1628" xr:uid="{92B3F5B2-40CD-4789-8BFE-A02013AAB892}"/>
    <cellStyle name="tableau | ligne-titre | niveau2 2" xfId="1629" xr:uid="{E3C53A5C-9F62-4A38-BC01-BEE47A71FE85}"/>
    <cellStyle name="tableau | ligne-titre | niveau2 2 2" xfId="2608" xr:uid="{DA8FA6E5-12BF-45B3-86C3-1BAD3A75D121}"/>
    <cellStyle name="tableau | ligne-titre | niveau2 3" xfId="1630" xr:uid="{1B520093-8F54-49EF-A2B2-7E0ACAB74EFF}"/>
    <cellStyle name="tableau | ligne-titre | niveau2 3 2" xfId="2609" xr:uid="{A9B07EA1-D374-42DD-A98A-6D8989BBE527}"/>
    <cellStyle name="tableau | ligne-titre | niveau2 4" xfId="1631" xr:uid="{E3234570-0FFC-4926-ADAC-D6389C47F7B4}"/>
    <cellStyle name="tableau | ligne-titre | niveau2 4 2" xfId="2610" xr:uid="{93F736B8-233C-45DD-8075-9471C4D8C5DA}"/>
    <cellStyle name="tableau | ligne-titre | niveau2 5" xfId="2607" xr:uid="{98F273E5-E7E1-4208-A97B-1F3C7B462FDA}"/>
    <cellStyle name="tableau | ligne-titre | niveau3" xfId="1632" xr:uid="{2AC70979-2C73-41F9-AB5F-20A43FD2EE4B}"/>
    <cellStyle name="tableau | ligne-titre | niveau3 2" xfId="1633" xr:uid="{E7AFEBC6-90B1-4ED6-AF4D-72810C9B343C}"/>
    <cellStyle name="tableau | ligne-titre | niveau3 2 2" xfId="2612" xr:uid="{518EF2ED-C74C-43DB-A572-ECBC5D654713}"/>
    <cellStyle name="tableau | ligne-titre | niveau3 3" xfId="1634" xr:uid="{9E5BF740-CD88-48DF-96C7-F5BC71C86DF2}"/>
    <cellStyle name="tableau | ligne-titre | niveau3 3 2" xfId="2613" xr:uid="{95F3E1BD-D614-400E-842E-08C8123671F5}"/>
    <cellStyle name="tableau | ligne-titre | niveau3 4" xfId="2611" xr:uid="{E996CF2B-098C-40C1-9FE3-9CA926E7B694}"/>
    <cellStyle name="tableau | ligne-titre | niveau4" xfId="1635" xr:uid="{9200DFF3-5F4E-4A08-AEAB-5BCB3AD8B408}"/>
    <cellStyle name="tableau | ligne-titre | niveau4 2" xfId="1636" xr:uid="{FB16C716-B48D-45A7-93BB-A00699651CD9}"/>
    <cellStyle name="tableau | ligne-titre | niveau4 2 2" xfId="2615" xr:uid="{7A5B4741-5C49-4FEA-AF9C-142553B706F8}"/>
    <cellStyle name="tableau | ligne-titre | niveau4 3" xfId="1637" xr:uid="{703DDAAC-F0DC-4F8F-B39F-FF991CC9752D}"/>
    <cellStyle name="tableau | ligne-titre | niveau4 3 2" xfId="2616" xr:uid="{C595FB35-D45D-4869-B2DB-08E291129407}"/>
    <cellStyle name="tableau | ligne-titre | niveau4 4" xfId="1638" xr:uid="{F32DAD12-B375-4B95-9648-04D443BB193A}"/>
    <cellStyle name="tableau | ligne-titre | niveau4 4 2" xfId="2617" xr:uid="{542185EE-9FB8-42A0-BA75-0B6E1EE47040}"/>
    <cellStyle name="tableau | ligne-titre | niveau4 5" xfId="1639" xr:uid="{EC162D58-819B-497D-8974-BC4A78CE4F83}"/>
    <cellStyle name="tableau | ligne-titre | niveau4 5 2" xfId="2618" xr:uid="{90FCD0D1-D45D-493E-B156-8BBF96386909}"/>
    <cellStyle name="tableau | ligne-titre | niveau4 6" xfId="2614" xr:uid="{0A674C48-51D8-417A-9F52-653A9719899D}"/>
    <cellStyle name="tableau | ligne-titre | niveau5" xfId="1640" xr:uid="{E4152573-F1AD-4133-B4E7-A22FCA081A15}"/>
    <cellStyle name="tableau | ligne-titre | niveau5 2" xfId="1641" xr:uid="{8A71AFB0-D957-4672-8EFA-D5C8E9A79278}"/>
    <cellStyle name="tableau | ligne-titre | niveau5 2 2" xfId="2620" xr:uid="{679E836A-2BC7-4BAE-BFF4-8B159F80BA4D}"/>
    <cellStyle name="tableau | ligne-titre | niveau5 3" xfId="1642" xr:uid="{8ABE5078-295C-417D-A0A9-D5114FCDA634}"/>
    <cellStyle name="tableau | ligne-titre | niveau5 3 2" xfId="2621" xr:uid="{320E31E7-2294-4F58-A1F8-2864F5399D28}"/>
    <cellStyle name="tableau | ligne-titre | niveau5 4" xfId="2619" xr:uid="{AFBBAD3C-76EF-418D-BBEE-F56012D01B8E}"/>
    <cellStyle name="tableau | source | plage de cellules" xfId="1643" xr:uid="{312617AD-20E4-492A-8FDB-C09768A33514}"/>
    <cellStyle name="tableau | source | plage de cellules 2" xfId="1644" xr:uid="{DF1E9ABB-805D-4D25-A510-DCD5FA4177C0}"/>
    <cellStyle name="tableau | source | plage de cellules 2 2" xfId="2623" xr:uid="{FAA33D21-CF22-460B-8973-63A859E43463}"/>
    <cellStyle name="tableau | source | plage de cellules 3" xfId="1645" xr:uid="{731CD57F-7AF4-40FD-9DB3-340EE67FEF31}"/>
    <cellStyle name="tableau | source | plage de cellules 3 2" xfId="2624" xr:uid="{3131F584-E59C-435C-9AAB-79FB8C1061DC}"/>
    <cellStyle name="tableau | source | plage de cellules 4" xfId="1646" xr:uid="{A00AF13E-AA4A-4242-98A6-F9567EFF1A08}"/>
    <cellStyle name="tableau | source | plage de cellules 4 2" xfId="2625" xr:uid="{E1DC362C-C146-4500-A468-D26E65DF962A}"/>
    <cellStyle name="tableau | source | plage de cellules 5" xfId="1647" xr:uid="{DA3B6340-CDC5-4E88-9A6F-E7B468574E70}"/>
    <cellStyle name="tableau | source | plage de cellules 5 2" xfId="2626" xr:uid="{B00FDCDC-7EB3-4F06-8DF6-E9E22EBAD6FF}"/>
    <cellStyle name="tableau | source | plage de cellules 6" xfId="2622" xr:uid="{3B9258BF-B0B1-4577-818C-05AB00F78DEE}"/>
    <cellStyle name="tableau | source | texte" xfId="1648" xr:uid="{1C7CDF1C-DC76-45D0-AE35-78F98A07C027}"/>
    <cellStyle name="tableau | source | texte 2" xfId="1649" xr:uid="{29BA6F0F-1B58-4DDB-A525-5BB931690E3A}"/>
    <cellStyle name="tableau | source | texte 2 2" xfId="2628" xr:uid="{6072AED4-0A55-4770-BE37-EE633D7B9FD7}"/>
    <cellStyle name="tableau | source | texte 3" xfId="1650" xr:uid="{96B35111-B5C2-46A2-950F-FFD0CEFE990A}"/>
    <cellStyle name="tableau | source | texte 3 2" xfId="2629" xr:uid="{F56199B8-E620-4B56-ADD4-FFAC92AE486F}"/>
    <cellStyle name="tableau | source | texte 4" xfId="1651" xr:uid="{180E3DF1-0C63-418D-813B-D3C5F46771D0}"/>
    <cellStyle name="tableau | source | texte 4 2" xfId="2630" xr:uid="{5418A7DC-17DB-4717-A918-BC28E41AD06A}"/>
    <cellStyle name="tableau | source | texte 5" xfId="1652" xr:uid="{81243ABA-F9F1-44FF-98AB-AC5738BA4661}"/>
    <cellStyle name="tableau | source | texte 5 2" xfId="2631" xr:uid="{4B17BE8E-EC08-4E4C-BA17-0E885A63E91B}"/>
    <cellStyle name="tableau | source | texte 6" xfId="2627" xr:uid="{A16CEBA8-F9D3-405A-B0ED-DE48AEFEA9B5}"/>
    <cellStyle name="tableau | unite | plage de cellules" xfId="1653" xr:uid="{0FDFC47A-F86E-4411-8BCF-5A4FA0E6B3B1}"/>
    <cellStyle name="tableau | unite | plage de cellules 2" xfId="1654" xr:uid="{14F48D02-82B8-4FE8-AACD-091413D05389}"/>
    <cellStyle name="tableau | unite | plage de cellules 2 2" xfId="2633" xr:uid="{5BB2BDFA-6F1E-4DBD-8E39-B3A311259C53}"/>
    <cellStyle name="tableau | unite | plage de cellules 3" xfId="1655" xr:uid="{9A940D74-CDCB-4637-8B69-4FCF20B8C892}"/>
    <cellStyle name="tableau | unite | plage de cellules 3 2" xfId="2634" xr:uid="{F3C7E9C4-20B5-4FCA-B8FC-0D185CA3DD47}"/>
    <cellStyle name="tableau | unite | plage de cellules 4" xfId="1656" xr:uid="{486FAE3E-5BBF-48C8-8F92-70EC3E5926B3}"/>
    <cellStyle name="tableau | unite | plage de cellules 4 2" xfId="2635" xr:uid="{B6786316-C067-4C9E-A535-BABFE4CCDBA9}"/>
    <cellStyle name="tableau | unite | plage de cellules 5" xfId="1657" xr:uid="{5222E8C2-80A9-4C32-8651-4BF3391A9C8B}"/>
    <cellStyle name="tableau | unite | plage de cellules 5 2" xfId="2636" xr:uid="{82A7A7B3-6F8A-4737-AF58-D02411AA4205}"/>
    <cellStyle name="tableau | unite | plage de cellules 6" xfId="2632" xr:uid="{D2ED5AAB-5F7D-4DF4-86D9-2AA4E4A6A40B}"/>
    <cellStyle name="tableau | unite | texte" xfId="1658" xr:uid="{DAF4F5A2-AA20-43EE-9B70-BCC511C3A899}"/>
    <cellStyle name="tableau | unite | texte 2" xfId="1659" xr:uid="{4FB46313-3EDE-46A3-9A44-46A853F14CDD}"/>
    <cellStyle name="tableau | unite | texte 2 2" xfId="2638" xr:uid="{E2492DFC-AA8E-4F2F-959C-7AECFF2A327C}"/>
    <cellStyle name="tableau | unite | texte 3" xfId="1660" xr:uid="{B82973D1-E26D-4443-96EA-CF21D97388E8}"/>
    <cellStyle name="tableau | unite | texte 3 2" xfId="2639" xr:uid="{866A3832-622C-4DDC-BF15-BFE4E96D6AC0}"/>
    <cellStyle name="tableau | unite | texte 4" xfId="1661" xr:uid="{6D379498-02C0-4FA0-9FCD-5126298B227D}"/>
    <cellStyle name="tableau | unite | texte 4 2" xfId="2640" xr:uid="{879A9F43-AF76-47CC-8D61-A7A6525A43FB}"/>
    <cellStyle name="tableau | unite | texte 5" xfId="1662" xr:uid="{7E6DB992-4818-43FF-BC40-E00B68009382}"/>
    <cellStyle name="tableau | unite | texte 5 2" xfId="2641" xr:uid="{59815A1F-AC5E-4E18-8CFA-A2E829656BC3}"/>
    <cellStyle name="tableau | unite | texte 6" xfId="2637" xr:uid="{D06DA062-5BA0-41DC-89C6-41C1E4121483}"/>
    <cellStyle name="TableStyleLight1" xfId="1663" xr:uid="{623F9284-48DC-4347-AF8A-337E7D483C1A}"/>
    <cellStyle name="TableStyleLight1 2" xfId="2642" xr:uid="{9E3891CB-A2D8-4690-81F2-B4EB7152BB79}"/>
    <cellStyle name="Testo avviso" xfId="1664" xr:uid="{601000B6-3DB8-4F16-9DA0-27ED4BEC5EAB}"/>
    <cellStyle name="Testo avviso 2" xfId="2643" xr:uid="{90D46F34-E65E-40E1-AAC1-E89EA03EB7B3}"/>
    <cellStyle name="Testo descrittivo" xfId="1665" xr:uid="{C10775E2-C29E-460C-B927-A5B305AA7DB1}"/>
    <cellStyle name="Testo descrittivo 2" xfId="2644" xr:uid="{593A959C-5F47-4080-B70C-6963BD020260}"/>
    <cellStyle name="Text" xfId="2756" xr:uid="{FAD22639-5CCC-4619-BDFA-5B0E3FC8F7A9}"/>
    <cellStyle name="Texte explicatif" xfId="17" builtinId="53" customBuiltin="1"/>
    <cellStyle name="Texte explicatif 2" xfId="715" xr:uid="{0F33E8E0-3D1D-4A97-92E1-163C47AB4D3F}"/>
    <cellStyle name="Texte explicatif 2 2" xfId="2645" xr:uid="{D996ABFA-C751-4FA2-A6CE-755AB507F3C4}"/>
    <cellStyle name="Texte explicatif 2 3" xfId="1666" xr:uid="{8E0BBDEC-E704-4ED2-9E81-B64D6E949EF3}"/>
    <cellStyle name="Texto de advertencia" xfId="1667" xr:uid="{A592C368-E3B7-419E-B061-5BF2586D6DE9}"/>
    <cellStyle name="Texto de advertencia 2" xfId="2646" xr:uid="{DC0D6C4D-720B-477B-B2D7-A501C81A94DA}"/>
    <cellStyle name="Texto explicativo" xfId="1668" xr:uid="{5A34CC95-1BC0-475E-BEA1-A37EB422D22A}"/>
    <cellStyle name="Texto explicativo 2" xfId="2647" xr:uid="{E95A7A44-F6D4-4AE8-96EA-D5A47FA0AD45}"/>
    <cellStyle name="Title" xfId="1669" xr:uid="{6BE9C145-312D-433A-A46E-FE46572DAC80}"/>
    <cellStyle name="Title 2" xfId="2648" xr:uid="{8A7E92B8-4AB7-46C4-81F7-2A8E1150A4A2}"/>
    <cellStyle name="Titolo" xfId="1670" xr:uid="{13B9FA50-D48D-4F69-9DF4-665C63F036D7}"/>
    <cellStyle name="Titolo 1" xfId="1671" xr:uid="{A23FDBCB-1346-4F97-A096-A5129D99F02B}"/>
    <cellStyle name="Titolo 1 2" xfId="2650" xr:uid="{2F11E93F-6950-4FFD-AF3F-D65F5213E1C9}"/>
    <cellStyle name="Titolo 2" xfId="1672" xr:uid="{DBCD02C8-23A2-493B-90A4-B26A34B092BA}"/>
    <cellStyle name="Titolo 2 2" xfId="2651" xr:uid="{E0783DA3-1F5D-4D48-80ED-45502F4A72E5}"/>
    <cellStyle name="Titolo 3" xfId="1673" xr:uid="{BE0BEB5C-B09D-47A1-B48B-538851DFCC34}"/>
    <cellStyle name="Titolo 3 2" xfId="2652" xr:uid="{F10F6386-29D2-4362-A134-DD921605387E}"/>
    <cellStyle name="Titolo 4" xfId="1674" xr:uid="{72E9B42A-6AC9-4463-957D-EA5BE7C7546A}"/>
    <cellStyle name="Titolo 4 2" xfId="2653" xr:uid="{2CD3BC8F-45C5-46AA-9074-72DFB6A78F3D}"/>
    <cellStyle name="Titolo 5" xfId="2649" xr:uid="{4DF2EFC2-7EF0-4B45-9BA8-FC5D8D9E0F1B}"/>
    <cellStyle name="Titolo_ANNÉE 2015" xfId="1675" xr:uid="{E07964BB-2673-4449-AC97-FDDF6C246E55}"/>
    <cellStyle name="Titre" xfId="2" builtinId="15" customBuiltin="1"/>
    <cellStyle name="Titre 1" xfId="1682" xr:uid="{8E59DD6D-6BED-4006-9D52-10E17F067580}"/>
    <cellStyle name="Titre 1 2" xfId="1683" xr:uid="{9B5B7AF6-B711-4285-A040-5740323746F6}"/>
    <cellStyle name="Titre 1 2 2" xfId="2655" xr:uid="{9644FEBE-B512-4758-8340-37E67903DACC}"/>
    <cellStyle name="Titre 1 2 2 2" xfId="2730" xr:uid="{F4A1F249-4583-41B4-82E7-F7413E63DE7A}"/>
    <cellStyle name="Titre 1 2 3" xfId="2726" xr:uid="{5E520ACC-A993-409C-BB33-AC094EC3A2A0}"/>
    <cellStyle name="Titre 1 3" xfId="1684" xr:uid="{B0419849-B8EC-4C96-98DF-8F6A72E04EF3}"/>
    <cellStyle name="Titre 1 3 2" xfId="2656" xr:uid="{F8C2D3AA-D649-4D35-9F5C-7825B5A46473}"/>
    <cellStyle name="Titre 1 4" xfId="2654" xr:uid="{78DD7D17-A06C-42C2-8FD5-B4993F8D3D1B}"/>
    <cellStyle name="Titre 2" xfId="180" xr:uid="{9C8365F3-0EAD-45FA-851E-DFBDE8656780}"/>
    <cellStyle name="Titre 2 2" xfId="1686" xr:uid="{F199E0DA-0638-4F01-9EC1-64D2C4838577}"/>
    <cellStyle name="Titre 2 2 2" xfId="2658" xr:uid="{51860145-A61D-4BE7-8AA6-AAAC86037F0F}"/>
    <cellStyle name="Titre 2 2 2 2" xfId="2731" xr:uid="{EC89E02B-93F1-4D0B-9BD8-F664EBC53213}"/>
    <cellStyle name="Titre 2 2 3" xfId="2727" xr:uid="{7DFBE433-06F9-43CE-9B9C-B088EE40100E}"/>
    <cellStyle name="Titre 2 3" xfId="1687" xr:uid="{F028D3E1-E36F-4754-809F-E4C6D3E50990}"/>
    <cellStyle name="Titre 2 3 2" xfId="2659" xr:uid="{02475BA9-30EB-4BFA-A956-5BADB59DDA97}"/>
    <cellStyle name="Titre 2 4" xfId="2657" xr:uid="{073D045D-240E-4F68-842F-8DCFA4AEDCFD}"/>
    <cellStyle name="Titre 2 5" xfId="1685" xr:uid="{27BD733C-3FF8-4574-BA54-02369D28BFD8}"/>
    <cellStyle name="Titre 3" xfId="1688" xr:uid="{B8ADA00C-BBBD-464C-B5C5-F710F5BF9C24}"/>
    <cellStyle name="Titre 3 2" xfId="1689" xr:uid="{575E8785-9DA6-479E-B843-F16F2D8EEAB0}"/>
    <cellStyle name="Titre 3 2 2" xfId="2661" xr:uid="{D140F954-8DFB-4345-BDFD-F5F1130D0DF4}"/>
    <cellStyle name="Titre 3 2 2 2" xfId="2732" xr:uid="{7A6718FE-BE46-4D3C-8BA7-3D479A0AAAE9}"/>
    <cellStyle name="Titre 3 2 3" xfId="2728" xr:uid="{322E3C35-6399-4363-B1A7-5965D820F9D7}"/>
    <cellStyle name="Titre 3 3" xfId="2660" xr:uid="{2E7A0303-CDD4-48FD-AD05-6E2B060976CF}"/>
    <cellStyle name="Titre 4" xfId="1690" xr:uid="{9F64118C-BDA5-4B8A-837E-6806D5B8C653}"/>
    <cellStyle name="Titre 4 2" xfId="1691" xr:uid="{A0ED940F-F89B-4021-882B-BE25E9349B42}"/>
    <cellStyle name="Titre 4 2 2" xfId="2663" xr:uid="{6FDC4DF0-FE39-41AC-B933-EE22B4276754}"/>
    <cellStyle name="Titre 4 2 2 2" xfId="2733" xr:uid="{9083517F-C29C-4E97-A0BF-0FB436FE4DEE}"/>
    <cellStyle name="Titre 4 2 3" xfId="2729" xr:uid="{48E884C4-C895-4164-B503-B7F69CB49E26}"/>
    <cellStyle name="Titre 4 3" xfId="2662" xr:uid="{91E1538D-07F3-48E2-8A5A-1BE301B7C5AC}"/>
    <cellStyle name="Titre 5" xfId="1692" xr:uid="{38F3B72B-23C1-4FF8-AD63-FEB6FA8E6407}"/>
    <cellStyle name="Titre 5 2" xfId="1693" xr:uid="{717391C9-6E14-45F7-9ED8-E3BB3BB934E5}"/>
    <cellStyle name="Titre 5 2 2" xfId="2665" xr:uid="{F0490CAF-9696-4029-A0BA-5B961E4B51E8}"/>
    <cellStyle name="Titre 5 3" xfId="2664" xr:uid="{C9E88930-F28E-48B1-A75D-480DFE634C81}"/>
    <cellStyle name="Titre colonnes" xfId="1694" xr:uid="{87070394-42E4-46C9-9C71-D328F779D879}"/>
    <cellStyle name="Titre colonnes 2" xfId="1695" xr:uid="{B5459DDA-66E1-48D6-80EC-CBB88DA624B5}"/>
    <cellStyle name="Titre colonnes 2 2" xfId="2667" xr:uid="{809AC636-3F70-43FC-87AD-31CDF077BB88}"/>
    <cellStyle name="Titre colonnes 3" xfId="1696" xr:uid="{8EC728A4-0AF3-482A-859F-0A923D42EE1D}"/>
    <cellStyle name="Titre colonnes 3 2" xfId="2668" xr:uid="{6067D493-3D3C-4FB9-949D-39031A60AB2E}"/>
    <cellStyle name="Titre colonnes 4" xfId="1697" xr:uid="{22736117-3207-4ED9-AC37-3BE211EDBB82}"/>
    <cellStyle name="Titre colonnes 4 2" xfId="2669" xr:uid="{195A2528-1CB2-4410-9F0C-AA68D1C046BE}"/>
    <cellStyle name="Titre colonnes 5" xfId="2666" xr:uid="{2CC375B8-8D8C-4009-AE77-1028BE0A6462}"/>
    <cellStyle name="Titre général" xfId="1698" xr:uid="{6047310A-E4E6-496C-8378-B79FD8FF4A74}"/>
    <cellStyle name="Titre général 2" xfId="1699" xr:uid="{4338741B-5EE6-44A2-A701-1077FCDEBAF8}"/>
    <cellStyle name="Titre général 2 2" xfId="2671" xr:uid="{B1AAD0A6-EB13-47A0-8AEE-FB6849D49C93}"/>
    <cellStyle name="Titre général 3" xfId="1700" xr:uid="{78F37C55-5A9D-4F92-9475-D504803ECFE3}"/>
    <cellStyle name="Titre général 3 2" xfId="2672" xr:uid="{B61A2BD6-0DD0-4CF3-9D1B-67CE44AB3493}"/>
    <cellStyle name="Titre général 4" xfId="2670" xr:uid="{5A02C137-A692-48D9-92F4-50A8FC6288FC}"/>
    <cellStyle name="Titre lignes" xfId="1701" xr:uid="{C5AACD4B-F26E-4C3F-9D11-E4F0EB0FC41E}"/>
    <cellStyle name="Titre lignes 1" xfId="1702" xr:uid="{63CC96C4-8073-4BDB-9771-5C6D1DDDC6FD}"/>
    <cellStyle name="Titre lignes 1 2" xfId="2674" xr:uid="{94A777DB-2869-43D2-80DA-840FEAD45716}"/>
    <cellStyle name="Titre lignes 2" xfId="1703" xr:uid="{93FE1021-8ADB-4CA5-B32C-819E12EF3BFA}"/>
    <cellStyle name="Titre lignes 2 2" xfId="2675" xr:uid="{A36F4543-A6D7-4B58-8F52-D50E1FA82460}"/>
    <cellStyle name="Titre lignes 3" xfId="1704" xr:uid="{7421CF3D-99F9-4791-89E7-90057C7EC98C}"/>
    <cellStyle name="Titre lignes 3 2" xfId="2676" xr:uid="{5EB41CAB-439A-49B0-9F6D-0806BA580C06}"/>
    <cellStyle name="Titre lignes 4" xfId="1705" xr:uid="{01988E56-B6E6-4D4C-B302-A1FBA0EB9C5F}"/>
    <cellStyle name="Titre lignes 4 2" xfId="2677" xr:uid="{2E46F56C-6251-4FA8-9F77-A97D3A61B270}"/>
    <cellStyle name="Titre lignes 5" xfId="2673" xr:uid="{FB4300A8-C366-479D-A5C9-9B29A8AC15CA}"/>
    <cellStyle name="Titre lignes_Fiches C 2010 version juin rebasé3" xfId="1706" xr:uid="{43C94235-7CD0-4435-8318-3050D3B15489}"/>
    <cellStyle name="Titre page" xfId="1707" xr:uid="{DDBF782D-012D-418F-8B79-54B5359BBD56}"/>
    <cellStyle name="Titre page 2" xfId="1708" xr:uid="{B51B48A4-DCE0-4FF4-ADAC-172CB9F38DF0}"/>
    <cellStyle name="Titre page 2 2" xfId="2679" xr:uid="{23BAB30D-5EC5-4D7F-9291-81DBEB6E3FF0}"/>
    <cellStyle name="Titre page 3" xfId="1709" xr:uid="{0A8A5280-EE07-495C-B565-62993B22C520}"/>
    <cellStyle name="Titre page 3 2" xfId="2680" xr:uid="{9ACE311E-5218-42FC-B9F0-20BAACEA8AA7}"/>
    <cellStyle name="Titre page 4" xfId="2678" xr:uid="{497751C9-FA6C-4C91-81D0-5758D4AE46A4}"/>
    <cellStyle name="Titre " xfId="1676" xr:uid="{E6868FAE-3DCA-4098-AB5C-49EF21A5BEBE}"/>
    <cellStyle name="Titre  2" xfId="1677" xr:uid="{9A5D2216-3128-4BA1-91C1-C62F8CC0DE52}"/>
    <cellStyle name="Titre  2 2" xfId="2682" xr:uid="{E5DD602C-56BF-46D8-9FEF-A0AB607524F4}"/>
    <cellStyle name="Titre  3" xfId="2681" xr:uid="{8F69FAC2-8C5F-4FAF-926F-A3C95BB972F2}"/>
    <cellStyle name="Titre 1" xfId="3" builtinId="16" customBuiltin="1"/>
    <cellStyle name="Titre 1 2" xfId="1678" xr:uid="{3F0F8427-FCC4-4DBD-96EF-2042090400A5}"/>
    <cellStyle name="Titre 1 2 2" xfId="2683" xr:uid="{0EDD2FF0-CF56-4748-8893-56B7ADD7AC0A}"/>
    <cellStyle name="Titre 2" xfId="4" builtinId="17" customBuiltin="1"/>
    <cellStyle name="Titre 2 2" xfId="1679" xr:uid="{454E569C-CC13-4FDB-A58C-B42E60C5E562}"/>
    <cellStyle name="Titre 2 2 2" xfId="2684" xr:uid="{C3AA4400-84EE-4758-B4FB-150577292979}"/>
    <cellStyle name="Titre 3" xfId="5" builtinId="18" customBuiltin="1"/>
    <cellStyle name="Titre 3 2" xfId="1680" xr:uid="{022F7B09-85F1-4253-A33C-EF6CCF89436E}"/>
    <cellStyle name="Titre 3 2 2" xfId="2685" xr:uid="{8437B76A-B263-43D3-86FC-981F9EC6B436}"/>
    <cellStyle name="Titre 4" xfId="6" builtinId="19" customBuiltin="1"/>
    <cellStyle name="Titre 4 2" xfId="1681" xr:uid="{525505E6-C690-4D6D-9E82-071AC7306757}"/>
    <cellStyle name="Titre 4 2 2" xfId="2686" xr:uid="{C8631E30-4041-4E03-B9AC-6A4ECB8C4896}"/>
    <cellStyle name="Título" xfId="1195" xr:uid="{C7F24A34-4344-4932-9FF8-A9642FD03DAD}"/>
    <cellStyle name="Título 1" xfId="1196" xr:uid="{EDA94940-4C1A-461C-96F2-86C6C44B224C}"/>
    <cellStyle name="Título 1 2" xfId="2688" xr:uid="{D1A1613C-81BB-4277-8D67-357169B90938}"/>
    <cellStyle name="Título 2" xfId="1197" xr:uid="{70E803F9-A708-40B3-9E29-6C0FD90ACE59}"/>
    <cellStyle name="Título 2 2" xfId="2689" xr:uid="{6034ADF6-9A5B-4C46-AD97-93E9051F48F4}"/>
    <cellStyle name="Título 3" xfId="1198" xr:uid="{A596AFBF-6DAC-4A49-B88E-D71DA006391C}"/>
    <cellStyle name="Título 3 2" xfId="2690" xr:uid="{883FF9FD-CF7F-4080-BA7F-6DD24D7A311F}"/>
    <cellStyle name="Título 4" xfId="2687" xr:uid="{C3BF7A36-7441-410E-8F29-BC545167469C}"/>
    <cellStyle name="Total" xfId="18" builtinId="25" customBuiltin="1"/>
    <cellStyle name="Total 1" xfId="1710" xr:uid="{094C4459-4094-4844-9C85-3672E93D8047}"/>
    <cellStyle name="Total 1 2" xfId="2691" xr:uid="{71BF549E-6EAD-42F7-B4C3-CBF4CA1D5A6A}"/>
    <cellStyle name="Total 2" xfId="1711" xr:uid="{276E1BCF-09BF-43D0-9D9F-7B8EF8146329}"/>
    <cellStyle name="Total 2 2" xfId="2692" xr:uid="{E177F373-B69B-43E0-B0B9-ACF52173B79C}"/>
    <cellStyle name="Totale" xfId="1712" xr:uid="{BED4D43D-08AF-4F7C-A649-44BC0D7424E7}"/>
    <cellStyle name="Totale 2" xfId="2693" xr:uid="{93E76110-62A1-48E8-B10D-9C48E62CC771}"/>
    <cellStyle name="Valore non valido" xfId="1716" xr:uid="{A1DDBE7E-4459-4F31-B513-133721FBB3A1}"/>
    <cellStyle name="Valore non valido 2" xfId="2694" xr:uid="{F1CA3563-1F44-49AE-AFD1-BF937467CB1E}"/>
    <cellStyle name="Valore valido" xfId="1717" xr:uid="{2202817C-60A1-4D2E-990E-EACABFCA774E}"/>
    <cellStyle name="Valore valido 2" xfId="2695" xr:uid="{AAEE1016-E08D-4D78-8D79-6B8054009E92}"/>
    <cellStyle name="Vérification" xfId="14" builtinId="23" customBuiltin="1"/>
    <cellStyle name="Vérification 2" xfId="1713" xr:uid="{404CAB63-6275-4D3B-B47D-7FC685D46FE8}"/>
    <cellStyle name="Vérification 2 2" xfId="2696" xr:uid="{CC19476D-CCFB-421A-9983-8F0D310EADE0}"/>
    <cellStyle name="Vérification de cellule" xfId="1714" xr:uid="{5A3627A2-A7DD-4D9B-B64D-2477190435A1}"/>
    <cellStyle name="Vérification de cellule 2" xfId="1715" xr:uid="{9A912DE2-44B8-45D8-92B6-33E95923A33C}"/>
    <cellStyle name="Vérification de cellule 2 2" xfId="2698" xr:uid="{19B66D67-189F-41AC-952D-A6B1A58BD666}"/>
    <cellStyle name="Vérification de cellule 3" xfId="2697" xr:uid="{821E8CC9-EEC6-452A-B902-AFDDF741AD59}"/>
    <cellStyle name="Virgule fixe" xfId="1718" xr:uid="{82E0BCC0-C6DC-47F9-AE4B-852625695D1A}"/>
    <cellStyle name="Virgule fixe 2" xfId="1719" xr:uid="{570518B4-EDCC-4709-9914-EC01331BF5F6}"/>
    <cellStyle name="Virgule fixe 2 2" xfId="2700" xr:uid="{668BCFF8-A9E1-471B-B028-F26B22CD1454}"/>
    <cellStyle name="Virgule fixe 3" xfId="2699" xr:uid="{DA434699-24F6-4A5A-A943-924B4FFC1A66}"/>
    <cellStyle name="Währung [0]_VPVUL94-00 2ème version" xfId="1720" xr:uid="{25D81308-6EFD-4797-BED8-AFA012D00957}"/>
    <cellStyle name="Währung_VPVUL94-00 2ème version" xfId="1721" xr:uid="{9410FAC8-5310-479E-AB46-43CC8336E5AB}"/>
    <cellStyle name="Warning" xfId="2757" xr:uid="{0F0C2B44-2095-4F86-AB63-C3C79E372744}"/>
    <cellStyle name="Warning Text" xfId="1722" xr:uid="{6D3B2F57-494E-4433-98FA-EF29EA9F13BF}"/>
    <cellStyle name="Warning Text 2" xfId="2701" xr:uid="{8966B1B7-04BD-4AF9-8452-2AD26181A95B}"/>
    <cellStyle name="Обычный_CRF2002 (1)" xfId="720" xr:uid="{7FD14562-BC3C-4D54-8743-E46979166A59}"/>
  </cellStyles>
  <dxfs count="0"/>
  <tableStyles count="1" defaultTableStyle="TableStyleMedium2" defaultPivotStyle="PivotStyleLight16">
    <tableStyle name="Style de tableau 1" pivot="0" count="0" xr9:uid="{3895517B-974F-47DE-B7E2-DD752F4816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data\calibrations\Documents%20MTE\23-09-27%20I4CE%20investissements%20climat%20AMS23.xlsx" TargetMode="External"/><Relationship Id="rId1" Type="http://schemas.openxmlformats.org/officeDocument/2006/relationships/externalLinkPath" Target="/Users/Callonnecg/Github/ThreeME/data/calibrations/Documents%20MTE/23-09-27%20I4CE%20investissements%20climat%20AMS23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2018-comptes-transports-g-bilan-circulation.xls" TargetMode="External"/><Relationship Id="rId1" Type="http://schemas.openxmlformats.org/officeDocument/2006/relationships/externalLinkPath" Target="2018-comptes-transports-g-bilan-circulation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Documents%20MTE\23-12-05%20I4CE%20investissements%20climat%20AMS23-run2.xlsx" TargetMode="External"/><Relationship Id="rId1" Type="http://schemas.openxmlformats.org/officeDocument/2006/relationships/externalLinkPath" Target="Documents%20MTE/23-12-05%20I4CE%20investissements%20climat%20AMS23-run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1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Documents%20MTE\23-09-27%20I4CE%20investissements%20climat%20AMS23.xlsx" TargetMode="External"/><Relationship Id="rId1" Type="http://schemas.openxmlformats.org/officeDocument/2006/relationships/externalLinkPath" Target="Documents%20MTE/23-09-27%20I4CE%20investissements%20climat%20AMS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Documents%20MTE\Run%202\Copie%20de%20Trajectoire-v&#233;hicules_transport.xlsx" TargetMode="External"/><Relationship Id="rId1" Type="http://schemas.openxmlformats.org/officeDocument/2006/relationships/externalLinkPath" Target="Documents%20MTE/Run%202/Copie%20de%20Trajectoire-v&#233;hicules_transpor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data\calibrations\Documents%20MTE\Run%202\Copie%20de%20Trajectoire-v&#233;hicules_transport.xlsx" TargetMode="External"/><Relationship Id="rId1" Type="http://schemas.openxmlformats.org/officeDocument/2006/relationships/externalLinkPath" Target="/Users/Callonnecg/Github/ThreeME/data/calibrations/Documents%20MTE/Run%202/Copie%20de%20Trajectoire-v&#233;hicules_transpor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Documents%20MTE\AMS-run2\001_Transports\Transports_AMS_run2-vf10.xlsx" TargetMode="External"/><Relationship Id="rId1" Type="http://schemas.openxmlformats.org/officeDocument/2006/relationships/externalLinkPath" Target="Documents%20MTE/AMS-run2/001_Transports/Transports_AMS_run2-vf10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2021_comptes_transports_g_bilan_circulation_et_materiels_transport_v2.xlsx" TargetMode="External"/><Relationship Id="rId1" Type="http://schemas.openxmlformats.org/officeDocument/2006/relationships/externalLinkPath" Target="2021_comptes_transports_g_bilan_circulation_et_materiels_transport_v2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SAM_FRA_AME.xls" TargetMode="External"/><Relationship Id="rId1" Type="http://schemas.openxmlformats.org/officeDocument/2006/relationships/externalLinkPath" Target="SAM_FRA_AME.xls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database\2018-comptes-transports-e-transport-marchandises.xls" TargetMode="External"/><Relationship Id="rId1" Type="http://schemas.openxmlformats.org/officeDocument/2006/relationships/externalLinkPath" Target="/Users/callonnecg/Documents/Github/ThreeME/data/database/2018-comptes-transports-e-transport-marchandises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2018-comptes-transports-d-transport-developpement-durable_1.xls" TargetMode="External"/><Relationship Id="rId1" Type="http://schemas.openxmlformats.org/officeDocument/2006/relationships/externalLinkPath" Target="2018-comptes-transports-d-transport-developpement-durable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BESOINS"/>
      <sheetName val="SYNTHESE"/>
      <sheetName val="FIGURES"/>
      <sheetName val="BAT_NEUF"/>
      <sheetName val="LOG_RENO"/>
      <sheetName val="axLOG_RENO"/>
      <sheetName val="TER_RENO"/>
      <sheetName val="axTER"/>
      <sheetName val="VP"/>
      <sheetName val="VUL"/>
      <sheetName val="PL"/>
      <sheetName val="BUSCAR"/>
      <sheetName val="axBatteries"/>
      <sheetName val="synVéhicules"/>
      <sheetName val="IRVE"/>
      <sheetName val="IRVG"/>
      <sheetName val="IRVH"/>
      <sheetName val="INFRA_FER"/>
      <sheetName val="axFER"/>
      <sheetName val="axCOI18"/>
      <sheetName val="axCOI23"/>
      <sheetName val="axART"/>
      <sheetName val="INFRA_TCU"/>
      <sheetName val="synTCU"/>
      <sheetName val="axMétroTram"/>
      <sheetName val="axRER"/>
      <sheetName val="axIDF2"/>
      <sheetName val="axGPE 2023"/>
      <sheetName val="axTCU-Province"/>
      <sheetName val="axTram"/>
      <sheetName val="axBus"/>
      <sheetName val="CYCLABLES"/>
      <sheetName val="axVélo"/>
      <sheetName val="FLUVIAL"/>
      <sheetName val="ROUTES"/>
      <sheetName val="PRODELEC"/>
      <sheetName val="axREN"/>
      <sheetName val="RES"/>
      <sheetName val="axRES"/>
      <sheetName val="PRODCHA"/>
      <sheetName val="NUCLEAIRE"/>
      <sheetName val="axNUC"/>
      <sheetName val="RCU"/>
      <sheetName val="axRC"/>
      <sheetName val="BIOMETHANE"/>
      <sheetName val="PTG"/>
      <sheetName val="BIOCARB"/>
      <sheetName val="CSC"/>
      <sheetName val="axCCS"/>
      <sheetName val="axGénéral"/>
      <sheetName val="ax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98">
          <cell r="LH298">
            <v>606093</v>
          </cell>
        </row>
        <row r="324">
          <cell r="LH324">
            <v>171986.67502522125</v>
          </cell>
        </row>
        <row r="325">
          <cell r="LH325">
            <v>0.57258940336296238</v>
          </cell>
        </row>
        <row r="326">
          <cell r="LH326">
            <v>131</v>
          </cell>
        </row>
        <row r="327">
          <cell r="LH327">
            <v>1.4314735084074059</v>
          </cell>
        </row>
        <row r="328">
          <cell r="LH328">
            <v>1447.7923064032504</v>
          </cell>
        </row>
        <row r="542">
          <cell r="LH542">
            <v>91.601444544488345</v>
          </cell>
        </row>
        <row r="578">
          <cell r="LH578">
            <v>251.92100856752154</v>
          </cell>
        </row>
        <row r="598">
          <cell r="LH598">
            <v>391.68833644964138</v>
          </cell>
        </row>
      </sheetData>
      <sheetData sheetId="12" refreshError="1">
        <row r="71">
          <cell r="IM71">
            <v>93741.4</v>
          </cell>
          <cell r="IN71">
            <v>92976.8</v>
          </cell>
          <cell r="IO71">
            <v>92212.2</v>
          </cell>
          <cell r="IP71">
            <v>91447.6</v>
          </cell>
          <cell r="IQ71">
            <v>90683</v>
          </cell>
          <cell r="IR71">
            <v>90683</v>
          </cell>
          <cell r="IS71">
            <v>90683</v>
          </cell>
          <cell r="IT71">
            <v>90683</v>
          </cell>
          <cell r="IU71">
            <v>90683</v>
          </cell>
          <cell r="IV71">
            <v>90683</v>
          </cell>
          <cell r="IW71">
            <v>90683</v>
          </cell>
          <cell r="IX71">
            <v>90683</v>
          </cell>
          <cell r="IY71">
            <v>90683</v>
          </cell>
          <cell r="IZ71">
            <v>90683</v>
          </cell>
          <cell r="JA71">
            <v>90683</v>
          </cell>
          <cell r="JB71">
            <v>90683</v>
          </cell>
          <cell r="JC71">
            <v>90683</v>
          </cell>
          <cell r="JD71">
            <v>90683</v>
          </cell>
          <cell r="JE71">
            <v>90683</v>
          </cell>
          <cell r="JF71">
            <v>90683</v>
          </cell>
          <cell r="JG71">
            <v>90683</v>
          </cell>
          <cell r="JH71">
            <v>90683</v>
          </cell>
          <cell r="JI71">
            <v>90683</v>
          </cell>
          <cell r="JJ71">
            <v>90683</v>
          </cell>
          <cell r="JK71">
            <v>90683</v>
          </cell>
          <cell r="JL71">
            <v>90683</v>
          </cell>
          <cell r="JM71">
            <v>90683</v>
          </cell>
          <cell r="JN71">
            <v>90683</v>
          </cell>
          <cell r="JO71">
            <v>90683</v>
          </cell>
          <cell r="JP71">
            <v>90683</v>
          </cell>
          <cell r="LH71">
            <v>90132</v>
          </cell>
          <cell r="LI71">
            <v>90242.2</v>
          </cell>
          <cell r="LJ71">
            <v>90352.4</v>
          </cell>
          <cell r="LK71">
            <v>90462.6</v>
          </cell>
          <cell r="LL71">
            <v>90572.800000000003</v>
          </cell>
          <cell r="LM71">
            <v>90683</v>
          </cell>
          <cell r="LN71">
            <v>90683</v>
          </cell>
          <cell r="LO71">
            <v>90683</v>
          </cell>
          <cell r="LP71">
            <v>90683</v>
          </cell>
          <cell r="LQ71">
            <v>90683</v>
          </cell>
          <cell r="LR71">
            <v>90683</v>
          </cell>
          <cell r="LS71">
            <v>90683</v>
          </cell>
          <cell r="LT71">
            <v>90683</v>
          </cell>
          <cell r="LU71">
            <v>90683</v>
          </cell>
          <cell r="LV71">
            <v>90683</v>
          </cell>
          <cell r="LW71">
            <v>90683</v>
          </cell>
          <cell r="LX71">
            <v>90683</v>
          </cell>
          <cell r="LY71">
            <v>90683</v>
          </cell>
          <cell r="LZ71">
            <v>90683</v>
          </cell>
          <cell r="MA71">
            <v>90683</v>
          </cell>
          <cell r="MB71">
            <v>90683</v>
          </cell>
          <cell r="MC71">
            <v>90683</v>
          </cell>
          <cell r="MD71">
            <v>90683</v>
          </cell>
          <cell r="ME71">
            <v>90683</v>
          </cell>
          <cell r="MF71">
            <v>90683</v>
          </cell>
          <cell r="MG71">
            <v>90683</v>
          </cell>
          <cell r="MH71">
            <v>90683</v>
          </cell>
          <cell r="MI71">
            <v>90683</v>
          </cell>
          <cell r="MJ71">
            <v>90683</v>
          </cell>
          <cell r="MK71">
            <v>90683</v>
          </cell>
          <cell r="ML71">
            <v>90683</v>
          </cell>
        </row>
        <row r="113">
          <cell r="IM113">
            <v>5155.308</v>
          </cell>
          <cell r="IN113">
            <v>5142.1559999999999</v>
          </cell>
          <cell r="IO113">
            <v>5129.0039999999999</v>
          </cell>
          <cell r="IP113">
            <v>5115.8519999999999</v>
          </cell>
          <cell r="IQ113">
            <v>5102.7</v>
          </cell>
          <cell r="IR113">
            <v>4837.08</v>
          </cell>
          <cell r="IS113">
            <v>4571.46</v>
          </cell>
          <cell r="IT113">
            <v>4305.84</v>
          </cell>
          <cell r="IU113">
            <v>4040.2200000000003</v>
          </cell>
          <cell r="IV113">
            <v>3774.6000000000004</v>
          </cell>
          <cell r="IW113">
            <v>3774.6000000000004</v>
          </cell>
          <cell r="IX113">
            <v>3774.6000000000004</v>
          </cell>
          <cell r="IY113">
            <v>3774.6000000000004</v>
          </cell>
          <cell r="IZ113">
            <v>3774.6000000000004</v>
          </cell>
          <cell r="JA113">
            <v>3774.6000000000004</v>
          </cell>
          <cell r="JB113">
            <v>3774.6000000000004</v>
          </cell>
          <cell r="JC113">
            <v>3774.6000000000004</v>
          </cell>
          <cell r="JD113">
            <v>3774.6000000000004</v>
          </cell>
          <cell r="JE113">
            <v>3774.6000000000004</v>
          </cell>
          <cell r="JF113">
            <v>3774.6000000000004</v>
          </cell>
          <cell r="JG113">
            <v>3774.6000000000004</v>
          </cell>
          <cell r="JH113">
            <v>3774.6000000000004</v>
          </cell>
          <cell r="JI113">
            <v>3774.6000000000004</v>
          </cell>
          <cell r="JJ113">
            <v>3774.6000000000004</v>
          </cell>
          <cell r="JK113">
            <v>3774.6000000000004</v>
          </cell>
          <cell r="JL113">
            <v>3774.6000000000004</v>
          </cell>
          <cell r="JM113">
            <v>3774.6000000000004</v>
          </cell>
          <cell r="JN113">
            <v>3774.6000000000004</v>
          </cell>
          <cell r="JO113">
            <v>3774.6000000000004</v>
          </cell>
          <cell r="JP113">
            <v>3774.6000000000004</v>
          </cell>
          <cell r="LH113">
            <v>5168.46</v>
          </cell>
          <cell r="LI113">
            <v>5071.4279999999999</v>
          </cell>
          <cell r="LJ113">
            <v>4974.3959999999997</v>
          </cell>
          <cell r="LK113">
            <v>4877.3640000000005</v>
          </cell>
          <cell r="LL113">
            <v>4780.3320000000003</v>
          </cell>
          <cell r="LM113">
            <v>4683.3</v>
          </cell>
          <cell r="LN113">
            <v>4221.96</v>
          </cell>
          <cell r="LO113">
            <v>3760.6200000000003</v>
          </cell>
          <cell r="LP113">
            <v>3299.28</v>
          </cell>
          <cell r="LQ113">
            <v>2837.9400000000005</v>
          </cell>
          <cell r="LR113">
            <v>2376.6000000000004</v>
          </cell>
          <cell r="LS113">
            <v>2124.9600000000005</v>
          </cell>
          <cell r="LT113">
            <v>1873.3200000000002</v>
          </cell>
          <cell r="LU113">
            <v>1621.6800000000003</v>
          </cell>
          <cell r="LV113">
            <v>1370.0400000000002</v>
          </cell>
          <cell r="LW113">
            <v>1118.4000000000001</v>
          </cell>
          <cell r="LX113">
            <v>908.7</v>
          </cell>
          <cell r="LY113">
            <v>699.00000000000011</v>
          </cell>
          <cell r="LZ113">
            <v>489.30000000000007</v>
          </cell>
          <cell r="MA113">
            <v>279.60000000000014</v>
          </cell>
          <cell r="MB113">
            <v>69.900000000000006</v>
          </cell>
          <cell r="MC113">
            <v>55.92</v>
          </cell>
          <cell r="MD113">
            <v>41.940000000000005</v>
          </cell>
          <cell r="ME113">
            <v>27.96</v>
          </cell>
          <cell r="MF113">
            <v>13.980000000000004</v>
          </cell>
          <cell r="MG113">
            <v>0</v>
          </cell>
          <cell r="MH113">
            <v>0</v>
          </cell>
          <cell r="MI113">
            <v>0</v>
          </cell>
          <cell r="MJ113">
            <v>0</v>
          </cell>
          <cell r="MK113">
            <v>0</v>
          </cell>
          <cell r="ML113">
            <v>0</v>
          </cell>
        </row>
        <row r="114">
          <cell r="IM114">
            <v>0</v>
          </cell>
          <cell r="IN114">
            <v>0</v>
          </cell>
          <cell r="IO114">
            <v>0</v>
          </cell>
          <cell r="IP114">
            <v>0</v>
          </cell>
          <cell r="IQ114">
            <v>0</v>
          </cell>
          <cell r="IR114">
            <v>0</v>
          </cell>
          <cell r="IS114">
            <v>0</v>
          </cell>
          <cell r="IT114">
            <v>0</v>
          </cell>
          <cell r="IU114">
            <v>0</v>
          </cell>
          <cell r="IV114">
            <v>0</v>
          </cell>
          <cell r="IW114">
            <v>0</v>
          </cell>
          <cell r="IX114">
            <v>0</v>
          </cell>
          <cell r="IY114">
            <v>0</v>
          </cell>
          <cell r="IZ114">
            <v>0</v>
          </cell>
          <cell r="JA114">
            <v>0</v>
          </cell>
          <cell r="JB114">
            <v>0</v>
          </cell>
          <cell r="JC114">
            <v>0</v>
          </cell>
          <cell r="JD114">
            <v>0</v>
          </cell>
          <cell r="JE114">
            <v>0</v>
          </cell>
          <cell r="JF114">
            <v>0</v>
          </cell>
          <cell r="JG114">
            <v>0</v>
          </cell>
          <cell r="JH114">
            <v>0</v>
          </cell>
          <cell r="JI114">
            <v>0</v>
          </cell>
          <cell r="JJ114">
            <v>0</v>
          </cell>
          <cell r="JK114">
            <v>0</v>
          </cell>
          <cell r="JL114">
            <v>0</v>
          </cell>
          <cell r="JM114">
            <v>0</v>
          </cell>
          <cell r="JN114">
            <v>0</v>
          </cell>
          <cell r="JO114">
            <v>0</v>
          </cell>
          <cell r="JP114">
            <v>0</v>
          </cell>
          <cell r="LH114">
            <v>0</v>
          </cell>
          <cell r="LI114">
            <v>0</v>
          </cell>
          <cell r="LJ114">
            <v>0</v>
          </cell>
          <cell r="LK114">
            <v>0</v>
          </cell>
          <cell r="LL114">
            <v>0</v>
          </cell>
          <cell r="LM114">
            <v>0</v>
          </cell>
          <cell r="LN114">
            <v>0</v>
          </cell>
          <cell r="LO114">
            <v>0</v>
          </cell>
          <cell r="LP114">
            <v>0</v>
          </cell>
          <cell r="LQ114">
            <v>0</v>
          </cell>
          <cell r="LR114">
            <v>0</v>
          </cell>
          <cell r="LS114">
            <v>0</v>
          </cell>
          <cell r="LT114">
            <v>0</v>
          </cell>
          <cell r="LU114">
            <v>0</v>
          </cell>
          <cell r="LV114">
            <v>0</v>
          </cell>
          <cell r="LW114">
            <v>0</v>
          </cell>
          <cell r="LX114">
            <v>0</v>
          </cell>
          <cell r="LY114">
            <v>0</v>
          </cell>
          <cell r="LZ114">
            <v>0</v>
          </cell>
          <cell r="MA114">
            <v>0</v>
          </cell>
          <cell r="MB114">
            <v>0</v>
          </cell>
          <cell r="MC114">
            <v>0</v>
          </cell>
          <cell r="MD114">
            <v>0</v>
          </cell>
          <cell r="ME114">
            <v>0</v>
          </cell>
          <cell r="MF114">
            <v>0</v>
          </cell>
          <cell r="MG114">
            <v>0</v>
          </cell>
          <cell r="MH114">
            <v>0</v>
          </cell>
          <cell r="MI114">
            <v>0</v>
          </cell>
          <cell r="MJ114">
            <v>0</v>
          </cell>
          <cell r="MK114">
            <v>0</v>
          </cell>
          <cell r="ML114">
            <v>0</v>
          </cell>
        </row>
        <row r="115">
          <cell r="IM115">
            <v>319.03199999999998</v>
          </cell>
          <cell r="IN115">
            <v>448.97399999999993</v>
          </cell>
          <cell r="IO115">
            <v>578.91599999999994</v>
          </cell>
          <cell r="IP115">
            <v>708.85799999999995</v>
          </cell>
          <cell r="IQ115">
            <v>838.8</v>
          </cell>
          <cell r="IR115">
            <v>880.74</v>
          </cell>
          <cell r="IS115">
            <v>922.68</v>
          </cell>
          <cell r="IT115">
            <v>964.62</v>
          </cell>
          <cell r="IU115">
            <v>1006.56</v>
          </cell>
          <cell r="IV115">
            <v>1048.5</v>
          </cell>
          <cell r="IW115">
            <v>1048.5</v>
          </cell>
          <cell r="IX115">
            <v>1048.5</v>
          </cell>
          <cell r="IY115">
            <v>1048.5</v>
          </cell>
          <cell r="IZ115">
            <v>1048.5</v>
          </cell>
          <cell r="JA115">
            <v>1048.5</v>
          </cell>
          <cell r="JB115">
            <v>1048.5</v>
          </cell>
          <cell r="JC115">
            <v>1048.5</v>
          </cell>
          <cell r="JD115">
            <v>1048.5</v>
          </cell>
          <cell r="JE115">
            <v>1048.5</v>
          </cell>
          <cell r="JF115">
            <v>1048.5</v>
          </cell>
          <cell r="JG115">
            <v>1048.5</v>
          </cell>
          <cell r="JH115">
            <v>1048.5</v>
          </cell>
          <cell r="JI115">
            <v>1048.5</v>
          </cell>
          <cell r="JJ115">
            <v>1048.5</v>
          </cell>
          <cell r="JK115">
            <v>1048.5</v>
          </cell>
          <cell r="JL115">
            <v>1048.5</v>
          </cell>
          <cell r="JM115">
            <v>1048.5</v>
          </cell>
          <cell r="JN115">
            <v>1048.5</v>
          </cell>
          <cell r="JO115">
            <v>1048.5</v>
          </cell>
          <cell r="JP115">
            <v>1048.5</v>
          </cell>
          <cell r="LH115">
            <v>189.09</v>
          </cell>
          <cell r="LI115">
            <v>402.91200000000003</v>
          </cell>
          <cell r="LJ115">
            <v>616.73400000000004</v>
          </cell>
          <cell r="LK115">
            <v>830.55600000000015</v>
          </cell>
          <cell r="LL115">
            <v>1044.3780000000002</v>
          </cell>
          <cell r="LM115">
            <v>1258.2</v>
          </cell>
          <cell r="LN115">
            <v>1411.98</v>
          </cell>
          <cell r="LO115">
            <v>1565.76</v>
          </cell>
          <cell r="LP115">
            <v>1719.54</v>
          </cell>
          <cell r="LQ115">
            <v>1873.32</v>
          </cell>
          <cell r="LR115">
            <v>2027.1</v>
          </cell>
          <cell r="LS115">
            <v>2292.7199999999998</v>
          </cell>
          <cell r="LT115">
            <v>2558.34</v>
          </cell>
          <cell r="LU115">
            <v>2823.96</v>
          </cell>
          <cell r="LV115">
            <v>3089.58</v>
          </cell>
          <cell r="LW115">
            <v>3355.2</v>
          </cell>
          <cell r="LX115">
            <v>3578.88</v>
          </cell>
          <cell r="LY115">
            <v>3802.56</v>
          </cell>
          <cell r="LZ115">
            <v>4026.2400000000002</v>
          </cell>
          <cell r="MA115">
            <v>4249.92</v>
          </cell>
          <cell r="MB115">
            <v>4473.6000000000004</v>
          </cell>
          <cell r="MC115">
            <v>4487.58</v>
          </cell>
          <cell r="MD115">
            <v>4501.5600000000004</v>
          </cell>
          <cell r="ME115">
            <v>4515.54</v>
          </cell>
          <cell r="MF115">
            <v>4529.5200000000004</v>
          </cell>
          <cell r="MG115">
            <v>4543.5</v>
          </cell>
          <cell r="MH115">
            <v>4599.42</v>
          </cell>
          <cell r="MI115">
            <v>4655.34</v>
          </cell>
          <cell r="MJ115">
            <v>4711.2599999999993</v>
          </cell>
          <cell r="MK115">
            <v>4767.1799999999994</v>
          </cell>
          <cell r="ML115">
            <v>4823.0999999999995</v>
          </cell>
        </row>
        <row r="116">
          <cell r="IM116">
            <v>0</v>
          </cell>
          <cell r="IN116">
            <v>0</v>
          </cell>
          <cell r="IO116">
            <v>0</v>
          </cell>
          <cell r="IP116">
            <v>0</v>
          </cell>
          <cell r="IQ116">
            <v>0</v>
          </cell>
          <cell r="IR116">
            <v>0</v>
          </cell>
          <cell r="IS116">
            <v>0</v>
          </cell>
          <cell r="IT116">
            <v>0</v>
          </cell>
          <cell r="IU116">
            <v>0</v>
          </cell>
          <cell r="IV116">
            <v>0</v>
          </cell>
          <cell r="IW116">
            <v>0</v>
          </cell>
          <cell r="IX116">
            <v>0</v>
          </cell>
          <cell r="IY116">
            <v>0</v>
          </cell>
          <cell r="IZ116">
            <v>0</v>
          </cell>
          <cell r="JA116">
            <v>0</v>
          </cell>
          <cell r="JB116">
            <v>0</v>
          </cell>
          <cell r="JC116">
            <v>0</v>
          </cell>
          <cell r="JD116">
            <v>0</v>
          </cell>
          <cell r="JE116">
            <v>0</v>
          </cell>
          <cell r="JF116">
            <v>0</v>
          </cell>
          <cell r="JG116">
            <v>0</v>
          </cell>
          <cell r="JH116">
            <v>0</v>
          </cell>
          <cell r="JI116">
            <v>0</v>
          </cell>
          <cell r="JJ116">
            <v>0</v>
          </cell>
          <cell r="JK116">
            <v>0</v>
          </cell>
          <cell r="JL116">
            <v>0</v>
          </cell>
          <cell r="JM116">
            <v>0</v>
          </cell>
          <cell r="JN116">
            <v>0</v>
          </cell>
          <cell r="JO116">
            <v>0</v>
          </cell>
          <cell r="JP116">
            <v>0</v>
          </cell>
          <cell r="LH116">
            <v>0</v>
          </cell>
          <cell r="LI116">
            <v>0</v>
          </cell>
          <cell r="LJ116">
            <v>0</v>
          </cell>
          <cell r="LK116">
            <v>0</v>
          </cell>
          <cell r="LL116">
            <v>0</v>
          </cell>
          <cell r="LM116">
            <v>0</v>
          </cell>
          <cell r="LN116">
            <v>27.96</v>
          </cell>
          <cell r="LO116">
            <v>55.92</v>
          </cell>
          <cell r="LP116">
            <v>83.88000000000001</v>
          </cell>
          <cell r="LQ116">
            <v>111.84</v>
          </cell>
          <cell r="LR116">
            <v>139.80000000000001</v>
          </cell>
          <cell r="LS116">
            <v>167.76000000000002</v>
          </cell>
          <cell r="LT116">
            <v>195.72000000000003</v>
          </cell>
          <cell r="LU116">
            <v>223.68</v>
          </cell>
          <cell r="LV116">
            <v>251.64000000000001</v>
          </cell>
          <cell r="LW116">
            <v>279.60000000000002</v>
          </cell>
          <cell r="LX116">
            <v>293.58000000000004</v>
          </cell>
          <cell r="LY116">
            <v>307.56</v>
          </cell>
          <cell r="LZ116">
            <v>321.54000000000002</v>
          </cell>
          <cell r="MA116">
            <v>335.52</v>
          </cell>
          <cell r="MB116">
            <v>349.5</v>
          </cell>
          <cell r="MC116">
            <v>377.46000000000004</v>
          </cell>
          <cell r="MD116">
            <v>405.42</v>
          </cell>
          <cell r="ME116">
            <v>433.38000000000005</v>
          </cell>
          <cell r="MF116">
            <v>461.34000000000003</v>
          </cell>
          <cell r="MG116">
            <v>489.30000000000007</v>
          </cell>
          <cell r="MH116">
            <v>517.2600000000001</v>
          </cell>
          <cell r="MI116">
            <v>545.22</v>
          </cell>
          <cell r="MJ116">
            <v>573.18000000000006</v>
          </cell>
          <cell r="MK116">
            <v>601.14</v>
          </cell>
          <cell r="ML116">
            <v>629.1</v>
          </cell>
        </row>
        <row r="117">
          <cell r="IM117">
            <v>966.06</v>
          </cell>
          <cell r="IN117">
            <v>986.67</v>
          </cell>
          <cell r="IO117">
            <v>1007.28</v>
          </cell>
          <cell r="IP117">
            <v>1027.8899999999999</v>
          </cell>
          <cell r="IQ117">
            <v>1048.5</v>
          </cell>
          <cell r="IR117">
            <v>1272.18</v>
          </cell>
          <cell r="IS117">
            <v>1495.8600000000001</v>
          </cell>
          <cell r="IT117">
            <v>1719.54</v>
          </cell>
          <cell r="IU117">
            <v>1943.22</v>
          </cell>
          <cell r="IV117">
            <v>2166.9</v>
          </cell>
          <cell r="IW117">
            <v>2166.9</v>
          </cell>
          <cell r="IX117">
            <v>2166.9</v>
          </cell>
          <cell r="IY117">
            <v>2166.9</v>
          </cell>
          <cell r="IZ117">
            <v>2166.9</v>
          </cell>
          <cell r="JA117">
            <v>2166.9</v>
          </cell>
          <cell r="JB117">
            <v>2166.9</v>
          </cell>
          <cell r="JC117">
            <v>2166.9</v>
          </cell>
          <cell r="JD117">
            <v>2166.9</v>
          </cell>
          <cell r="JE117">
            <v>2166.9</v>
          </cell>
          <cell r="JF117">
            <v>2166.9</v>
          </cell>
          <cell r="JG117">
            <v>2166.9</v>
          </cell>
          <cell r="JH117">
            <v>2166.9</v>
          </cell>
          <cell r="JI117">
            <v>2166.9</v>
          </cell>
          <cell r="JJ117">
            <v>2166.9</v>
          </cell>
          <cell r="JK117">
            <v>2166.9</v>
          </cell>
          <cell r="JL117">
            <v>2166.9</v>
          </cell>
          <cell r="JM117">
            <v>2166.9</v>
          </cell>
          <cell r="JN117">
            <v>2166.9</v>
          </cell>
          <cell r="JO117">
            <v>2166.9</v>
          </cell>
          <cell r="JP117">
            <v>2166.9</v>
          </cell>
          <cell r="LH117">
            <v>945.44999999999993</v>
          </cell>
          <cell r="LI117">
            <v>966.06</v>
          </cell>
          <cell r="LJ117">
            <v>986.67</v>
          </cell>
          <cell r="LK117">
            <v>1007.28</v>
          </cell>
          <cell r="LL117">
            <v>1027.8899999999999</v>
          </cell>
          <cell r="LM117">
            <v>1048.5</v>
          </cell>
          <cell r="LN117">
            <v>1328.1</v>
          </cell>
          <cell r="LO117">
            <v>1607.7</v>
          </cell>
          <cell r="LP117">
            <v>1887.3</v>
          </cell>
          <cell r="LQ117">
            <v>2166.9</v>
          </cell>
          <cell r="LR117">
            <v>2446.5</v>
          </cell>
          <cell r="LS117">
            <v>2418.54</v>
          </cell>
          <cell r="LT117">
            <v>2390.58</v>
          </cell>
          <cell r="LU117">
            <v>2362.6200000000003</v>
          </cell>
          <cell r="LV117">
            <v>2334.6600000000003</v>
          </cell>
          <cell r="LW117">
            <v>2306.7000000000003</v>
          </cell>
          <cell r="LX117">
            <v>2264.7600000000002</v>
          </cell>
          <cell r="LY117">
            <v>2222.8200000000002</v>
          </cell>
          <cell r="LZ117">
            <v>2180.88</v>
          </cell>
          <cell r="MA117">
            <v>2138.94</v>
          </cell>
          <cell r="MB117">
            <v>2097</v>
          </cell>
          <cell r="MC117">
            <v>2069.04</v>
          </cell>
          <cell r="MD117">
            <v>2041.0800000000002</v>
          </cell>
          <cell r="ME117">
            <v>2013.1200000000001</v>
          </cell>
          <cell r="MF117">
            <v>1985.1600000000003</v>
          </cell>
          <cell r="MG117">
            <v>1957.2000000000003</v>
          </cell>
          <cell r="MH117">
            <v>1873.3200000000002</v>
          </cell>
          <cell r="MI117">
            <v>1789.44</v>
          </cell>
          <cell r="MJ117">
            <v>1705.5600000000002</v>
          </cell>
          <cell r="MK117">
            <v>1621.68</v>
          </cell>
          <cell r="ML117">
            <v>1537.8</v>
          </cell>
        </row>
        <row r="118">
          <cell r="IM118">
            <v>6440.4</v>
          </cell>
          <cell r="IN118">
            <v>6577.8</v>
          </cell>
          <cell r="IO118">
            <v>6715.2</v>
          </cell>
          <cell r="IP118">
            <v>6852.6</v>
          </cell>
          <cell r="IQ118">
            <v>6990</v>
          </cell>
          <cell r="IR118">
            <v>6990</v>
          </cell>
          <cell r="IS118">
            <v>6990</v>
          </cell>
          <cell r="IT118">
            <v>6990</v>
          </cell>
          <cell r="IU118">
            <v>6990</v>
          </cell>
          <cell r="IV118">
            <v>6990</v>
          </cell>
          <cell r="IW118">
            <v>6990</v>
          </cell>
          <cell r="IX118">
            <v>6990</v>
          </cell>
          <cell r="IY118">
            <v>6990</v>
          </cell>
          <cell r="IZ118">
            <v>6990</v>
          </cell>
          <cell r="JA118">
            <v>6990</v>
          </cell>
          <cell r="JB118">
            <v>6990</v>
          </cell>
          <cell r="JC118">
            <v>6990</v>
          </cell>
          <cell r="JD118">
            <v>6990</v>
          </cell>
          <cell r="JE118">
            <v>6990</v>
          </cell>
          <cell r="JF118">
            <v>6990</v>
          </cell>
          <cell r="JG118">
            <v>6990</v>
          </cell>
          <cell r="JH118">
            <v>6990</v>
          </cell>
          <cell r="JI118">
            <v>6990</v>
          </cell>
          <cell r="JJ118">
            <v>6990</v>
          </cell>
          <cell r="JK118">
            <v>6990</v>
          </cell>
          <cell r="JL118">
            <v>6990</v>
          </cell>
          <cell r="JM118">
            <v>6990</v>
          </cell>
          <cell r="JN118">
            <v>6990</v>
          </cell>
          <cell r="JO118">
            <v>6990</v>
          </cell>
          <cell r="JP118">
            <v>6990</v>
          </cell>
          <cell r="LH118">
            <v>6303</v>
          </cell>
          <cell r="LI118">
            <v>6440.4</v>
          </cell>
          <cell r="LJ118">
            <v>6577.8</v>
          </cell>
          <cell r="LK118">
            <v>6715.2</v>
          </cell>
          <cell r="LL118">
            <v>6852.6</v>
          </cell>
          <cell r="LM118">
            <v>6990</v>
          </cell>
          <cell r="LN118">
            <v>6990</v>
          </cell>
          <cell r="LO118">
            <v>6990</v>
          </cell>
          <cell r="LP118">
            <v>6990</v>
          </cell>
          <cell r="LQ118">
            <v>6990</v>
          </cell>
          <cell r="LR118">
            <v>6990</v>
          </cell>
          <cell r="LS118">
            <v>6990</v>
          </cell>
          <cell r="LT118">
            <v>6990</v>
          </cell>
          <cell r="LU118">
            <v>6990</v>
          </cell>
          <cell r="LV118">
            <v>6990</v>
          </cell>
          <cell r="LW118">
            <v>6990</v>
          </cell>
          <cell r="LX118">
            <v>6990</v>
          </cell>
          <cell r="LY118">
            <v>6990</v>
          </cell>
          <cell r="LZ118">
            <v>6990</v>
          </cell>
          <cell r="MA118">
            <v>6990</v>
          </cell>
          <cell r="MB118">
            <v>6990</v>
          </cell>
          <cell r="MC118">
            <v>6990</v>
          </cell>
          <cell r="MD118">
            <v>6990</v>
          </cell>
          <cell r="ME118">
            <v>6990</v>
          </cell>
          <cell r="MF118">
            <v>6990</v>
          </cell>
          <cell r="MG118">
            <v>6990</v>
          </cell>
          <cell r="MH118">
            <v>6990</v>
          </cell>
          <cell r="MI118">
            <v>6990</v>
          </cell>
          <cell r="MJ118">
            <v>6990</v>
          </cell>
          <cell r="MK118">
            <v>6990</v>
          </cell>
          <cell r="ML118">
            <v>6990</v>
          </cell>
        </row>
        <row r="119">
          <cell r="IM119">
            <v>5155.308</v>
          </cell>
          <cell r="IN119">
            <v>5142.1559999999999</v>
          </cell>
          <cell r="IO119">
            <v>5129.0039999999999</v>
          </cell>
          <cell r="IP119">
            <v>5115.8519999999999</v>
          </cell>
          <cell r="IQ119">
            <v>5102.7</v>
          </cell>
          <cell r="IR119">
            <v>4837.08</v>
          </cell>
          <cell r="IS119">
            <v>4571.46</v>
          </cell>
          <cell r="IT119">
            <v>4305.84</v>
          </cell>
          <cell r="IU119">
            <v>4040.2200000000003</v>
          </cell>
          <cell r="IV119">
            <v>3774.6000000000004</v>
          </cell>
          <cell r="IW119">
            <v>3774.6000000000004</v>
          </cell>
          <cell r="IX119">
            <v>3774.6000000000004</v>
          </cell>
          <cell r="IY119">
            <v>3774.6000000000004</v>
          </cell>
          <cell r="IZ119">
            <v>3774.6000000000004</v>
          </cell>
          <cell r="JA119">
            <v>3774.6000000000004</v>
          </cell>
          <cell r="JB119">
            <v>3774.6000000000004</v>
          </cell>
          <cell r="JC119">
            <v>3774.6000000000004</v>
          </cell>
          <cell r="JD119">
            <v>3774.6000000000004</v>
          </cell>
          <cell r="JE119">
            <v>3774.6000000000004</v>
          </cell>
          <cell r="JF119">
            <v>3774.6000000000004</v>
          </cell>
          <cell r="JG119">
            <v>3774.6000000000004</v>
          </cell>
          <cell r="JH119">
            <v>3774.6000000000004</v>
          </cell>
          <cell r="JI119">
            <v>3774.6000000000004</v>
          </cell>
          <cell r="JJ119">
            <v>3774.6000000000004</v>
          </cell>
          <cell r="JK119">
            <v>3774.6000000000004</v>
          </cell>
          <cell r="JL119">
            <v>3774.6000000000004</v>
          </cell>
          <cell r="JM119">
            <v>3774.6000000000004</v>
          </cell>
          <cell r="JN119">
            <v>3774.6000000000004</v>
          </cell>
          <cell r="JO119">
            <v>3774.6000000000004</v>
          </cell>
          <cell r="JP119">
            <v>3774.6000000000004</v>
          </cell>
          <cell r="LH119">
            <v>5168.46</v>
          </cell>
        </row>
        <row r="120">
          <cell r="IM120">
            <v>1285.0919999999999</v>
          </cell>
          <cell r="IN120">
            <v>1435.6439999999998</v>
          </cell>
          <cell r="IO120">
            <v>1586.1959999999999</v>
          </cell>
          <cell r="IP120">
            <v>1736.7479999999998</v>
          </cell>
          <cell r="IQ120">
            <v>1887.3</v>
          </cell>
          <cell r="IR120">
            <v>2152.92</v>
          </cell>
          <cell r="IS120">
            <v>2418.54</v>
          </cell>
          <cell r="IT120">
            <v>2684.16</v>
          </cell>
          <cell r="IU120">
            <v>2949.7799999999997</v>
          </cell>
          <cell r="IV120">
            <v>3215.4</v>
          </cell>
          <cell r="IW120">
            <v>3215.4</v>
          </cell>
          <cell r="IX120">
            <v>3215.4</v>
          </cell>
          <cell r="IY120">
            <v>3215.4</v>
          </cell>
          <cell r="IZ120">
            <v>3215.4</v>
          </cell>
          <cell r="JA120">
            <v>3215.4</v>
          </cell>
          <cell r="JB120">
            <v>3215.4</v>
          </cell>
          <cell r="JC120">
            <v>3215.4</v>
          </cell>
          <cell r="JD120">
            <v>3215.4</v>
          </cell>
          <cell r="JE120">
            <v>3215.4</v>
          </cell>
          <cell r="JF120">
            <v>3215.4</v>
          </cell>
          <cell r="JG120">
            <v>3215.4</v>
          </cell>
          <cell r="JH120">
            <v>3215.4</v>
          </cell>
          <cell r="JI120">
            <v>3215.4</v>
          </cell>
          <cell r="JJ120">
            <v>3215.4</v>
          </cell>
          <cell r="JK120">
            <v>3215.4</v>
          </cell>
          <cell r="JL120">
            <v>3215.4</v>
          </cell>
          <cell r="JM120">
            <v>3215.4</v>
          </cell>
          <cell r="JN120">
            <v>3215.4</v>
          </cell>
          <cell r="JO120">
            <v>3215.4</v>
          </cell>
          <cell r="JP120">
            <v>3215.4</v>
          </cell>
          <cell r="LH120">
            <v>1134.54</v>
          </cell>
          <cell r="LI120">
            <v>1368.972</v>
          </cell>
          <cell r="LJ120">
            <v>1603.404</v>
          </cell>
          <cell r="LK120">
            <v>1837.8360000000002</v>
          </cell>
          <cell r="LL120">
            <v>2072.268</v>
          </cell>
          <cell r="LM120">
            <v>2306.6999999999998</v>
          </cell>
          <cell r="LN120">
            <v>2768.04</v>
          </cell>
          <cell r="LO120">
            <v>3229.38</v>
          </cell>
          <cell r="LP120">
            <v>3690.7200000000003</v>
          </cell>
          <cell r="LQ120">
            <v>4152.0599999999995</v>
          </cell>
          <cell r="LR120">
            <v>4613.3999999999996</v>
          </cell>
          <cell r="LS120">
            <v>4879.0200000000004</v>
          </cell>
          <cell r="LT120">
            <v>5144.6400000000003</v>
          </cell>
          <cell r="LU120">
            <v>5410.26</v>
          </cell>
          <cell r="LV120">
            <v>5675.88</v>
          </cell>
          <cell r="LW120">
            <v>5941.5</v>
          </cell>
          <cell r="LX120">
            <v>6137.22</v>
          </cell>
          <cell r="LY120">
            <v>6332.9400000000005</v>
          </cell>
          <cell r="LZ120">
            <v>6528.6600000000008</v>
          </cell>
          <cell r="MA120">
            <v>6724.380000000001</v>
          </cell>
          <cell r="MB120">
            <v>6920.1</v>
          </cell>
          <cell r="MC120">
            <v>6934.08</v>
          </cell>
          <cell r="MD120">
            <v>6948.06</v>
          </cell>
          <cell r="ME120">
            <v>6962.04</v>
          </cell>
          <cell r="MF120">
            <v>6976.02</v>
          </cell>
          <cell r="MG120">
            <v>6990</v>
          </cell>
          <cell r="MH120">
            <v>6990</v>
          </cell>
          <cell r="MI120">
            <v>6990</v>
          </cell>
          <cell r="MJ120">
            <v>6990</v>
          </cell>
          <cell r="MK120">
            <v>6990</v>
          </cell>
          <cell r="ML120">
            <v>6990</v>
          </cell>
        </row>
        <row r="302">
          <cell r="P302">
            <v>238.99718555649855</v>
          </cell>
          <cell r="IP302">
            <v>238.99718555649855</v>
          </cell>
          <cell r="IQ302">
            <v>238.99718555649855</v>
          </cell>
          <cell r="IR302">
            <v>238.99718555649855</v>
          </cell>
          <cell r="IS302">
            <v>238.99718555649855</v>
          </cell>
          <cell r="IT302">
            <v>238.99718555649855</v>
          </cell>
          <cell r="IU302">
            <v>238.99718555649855</v>
          </cell>
          <cell r="IV302">
            <v>238.99718555649855</v>
          </cell>
          <cell r="IW302">
            <v>238.99718555649855</v>
          </cell>
          <cell r="IX302">
            <v>238.99718555649855</v>
          </cell>
          <cell r="IY302">
            <v>238.99718555649855</v>
          </cell>
          <cell r="IZ302">
            <v>238.99718555649855</v>
          </cell>
          <cell r="JA302">
            <v>238.99718555649855</v>
          </cell>
          <cell r="JB302">
            <v>238.99718555649855</v>
          </cell>
          <cell r="JC302">
            <v>238.99718555649855</v>
          </cell>
          <cell r="JD302">
            <v>238.99718555649855</v>
          </cell>
          <cell r="JE302">
            <v>238.99718555649855</v>
          </cell>
          <cell r="JF302">
            <v>238.99718555649855</v>
          </cell>
          <cell r="JG302">
            <v>238.99718555649855</v>
          </cell>
          <cell r="JH302">
            <v>238.99718555649855</v>
          </cell>
          <cell r="JI302">
            <v>238.99718555649855</v>
          </cell>
          <cell r="JJ302">
            <v>238.99718555649855</v>
          </cell>
          <cell r="JK302">
            <v>238.99718555649855</v>
          </cell>
          <cell r="JL302">
            <v>238.99718555649855</v>
          </cell>
          <cell r="JM302">
            <v>238.99718555649855</v>
          </cell>
          <cell r="JN302">
            <v>238.99718555649855</v>
          </cell>
          <cell r="JO302">
            <v>238.99718555649855</v>
          </cell>
          <cell r="JP302">
            <v>238.99718555649855</v>
          </cell>
          <cell r="LH302">
            <v>264.85445625338747</v>
          </cell>
          <cell r="LI302">
            <v>260.02895995842573</v>
          </cell>
          <cell r="LJ302">
            <v>251.42503920543646</v>
          </cell>
          <cell r="LK302">
            <v>238.99718555649855</v>
          </cell>
          <cell r="LL302">
            <v>238.99718555649855</v>
          </cell>
          <cell r="LM302">
            <v>238.99718555649855</v>
          </cell>
          <cell r="LN302">
            <v>238.99718555649855</v>
          </cell>
          <cell r="LO302">
            <v>238.99718555649855</v>
          </cell>
          <cell r="LP302">
            <v>238.99718555649855</v>
          </cell>
          <cell r="LQ302">
            <v>238.99718555649855</v>
          </cell>
          <cell r="LR302">
            <v>238.99718555649855</v>
          </cell>
          <cell r="LS302">
            <v>238.99718555649855</v>
          </cell>
          <cell r="LT302">
            <v>238.99718555649855</v>
          </cell>
          <cell r="LU302">
            <v>238.99718555649855</v>
          </cell>
          <cell r="LV302">
            <v>238.99718555649855</v>
          </cell>
          <cell r="LW302">
            <v>238.99718555649855</v>
          </cell>
          <cell r="LX302">
            <v>238.99718555649855</v>
          </cell>
          <cell r="LY302">
            <v>238.99718555649855</v>
          </cell>
          <cell r="LZ302">
            <v>238.99718555649855</v>
          </cell>
          <cell r="MA302">
            <v>238.99718555649855</v>
          </cell>
          <cell r="MB302">
            <v>238.99718555649855</v>
          </cell>
          <cell r="MC302">
            <v>238.99718555649855</v>
          </cell>
          <cell r="MD302">
            <v>238.99718555649855</v>
          </cell>
          <cell r="ME302">
            <v>238.99718555649855</v>
          </cell>
          <cell r="MF302">
            <v>238.99718555649855</v>
          </cell>
          <cell r="MG302">
            <v>238.99718555649855</v>
          </cell>
          <cell r="MH302">
            <v>238.99718555649855</v>
          </cell>
          <cell r="MI302">
            <v>238.99718555649855</v>
          </cell>
          <cell r="MJ302">
            <v>238.99718555649855</v>
          </cell>
          <cell r="MK302">
            <v>238.99718555649855</v>
          </cell>
          <cell r="ML302">
            <v>238.99718555649855</v>
          </cell>
        </row>
        <row r="359">
          <cell r="P359">
            <v>423.00380228136879</v>
          </cell>
          <cell r="IM359">
            <v>470.89185261260911</v>
          </cell>
          <cell r="IN359">
            <v>475.01575912175457</v>
          </cell>
          <cell r="IO359">
            <v>461.9656384950772</v>
          </cell>
          <cell r="IP359">
            <v>411.32473654986484</v>
          </cell>
          <cell r="IQ359">
            <v>385.6349056364466</v>
          </cell>
          <cell r="IR359">
            <v>374.25916637837986</v>
          </cell>
          <cell r="IS359">
            <v>364.02100104611975</v>
          </cell>
          <cell r="IT359">
            <v>354.80665224708571</v>
          </cell>
          <cell r="IU359">
            <v>346.51373832795502</v>
          </cell>
          <cell r="IV359">
            <v>339.05011580073744</v>
          </cell>
          <cell r="IW359">
            <v>332.33285552624159</v>
          </cell>
          <cell r="IX359">
            <v>326.28732127919534</v>
          </cell>
          <cell r="IY359">
            <v>322.62240935427116</v>
          </cell>
          <cell r="IZ359">
            <v>318.95749742934703</v>
          </cell>
          <cell r="JA359">
            <v>315.2925855044229</v>
          </cell>
          <cell r="JB359">
            <v>313.09363834946839</v>
          </cell>
          <cell r="JC359">
            <v>310.89469119451394</v>
          </cell>
          <cell r="JD359">
            <v>308.69574403955943</v>
          </cell>
          <cell r="JE359">
            <v>306.49679688460498</v>
          </cell>
          <cell r="JF359">
            <v>304.29784972965047</v>
          </cell>
          <cell r="JG359">
            <v>302.09890257469601</v>
          </cell>
          <cell r="JH359">
            <v>299.8999554197415</v>
          </cell>
          <cell r="JI359">
            <v>297.70100826478705</v>
          </cell>
          <cell r="JJ359">
            <v>295.50206110983254</v>
          </cell>
          <cell r="JK359">
            <v>293.30311395487809</v>
          </cell>
          <cell r="JL359">
            <v>291.10416679992358</v>
          </cell>
          <cell r="JM359">
            <v>288.90521964496912</v>
          </cell>
          <cell r="JN359">
            <v>286.70627249001461</v>
          </cell>
          <cell r="JO359">
            <v>284.50732533506016</v>
          </cell>
          <cell r="JP359">
            <v>282.30837818010565</v>
          </cell>
          <cell r="LH359">
            <v>493.1739221983122</v>
          </cell>
          <cell r="LI359">
            <v>470.89185261260911</v>
          </cell>
          <cell r="LJ359">
            <v>475.01575912175457</v>
          </cell>
          <cell r="LK359">
            <v>461.9656384950772</v>
          </cell>
          <cell r="LL359">
            <v>411.32473654986484</v>
          </cell>
          <cell r="LM359">
            <v>385.6349056364466</v>
          </cell>
          <cell r="LN359">
            <v>374.25916637837986</v>
          </cell>
          <cell r="LO359">
            <v>364.02100104611975</v>
          </cell>
          <cell r="LP359">
            <v>354.80665224708571</v>
          </cell>
          <cell r="LQ359">
            <v>346.51373832795502</v>
          </cell>
          <cell r="LR359">
            <v>339.05011580073744</v>
          </cell>
          <cell r="LS359">
            <v>332.33285552624159</v>
          </cell>
          <cell r="LT359">
            <v>326.28732127919534</v>
          </cell>
          <cell r="LU359">
            <v>322.62240935427116</v>
          </cell>
          <cell r="LV359">
            <v>318.95749742934703</v>
          </cell>
          <cell r="LW359">
            <v>315.2925855044229</v>
          </cell>
          <cell r="LX359">
            <v>313.09363834946839</v>
          </cell>
          <cell r="LY359">
            <v>310.89469119451394</v>
          </cell>
          <cell r="LZ359">
            <v>308.69574403955943</v>
          </cell>
          <cell r="MA359">
            <v>306.49679688460498</v>
          </cell>
          <cell r="MB359">
            <v>304.29784972965047</v>
          </cell>
          <cell r="MC359">
            <v>302.09890257469601</v>
          </cell>
          <cell r="MD359">
            <v>299.8999554197415</v>
          </cell>
          <cell r="ME359">
            <v>297.70100826478705</v>
          </cell>
          <cell r="MF359">
            <v>295.50206110983254</v>
          </cell>
          <cell r="MG359">
            <v>293.30311395487809</v>
          </cell>
          <cell r="MH359">
            <v>291.10416679992358</v>
          </cell>
          <cell r="MI359">
            <v>288.90521964496912</v>
          </cell>
          <cell r="MJ359">
            <v>286.70627249001461</v>
          </cell>
          <cell r="MK359">
            <v>284.50732533506016</v>
          </cell>
          <cell r="ML359">
            <v>282.30837818010565</v>
          </cell>
        </row>
        <row r="368">
          <cell r="F368">
            <v>1.59</v>
          </cell>
        </row>
        <row r="414">
          <cell r="IM414">
            <v>610</v>
          </cell>
          <cell r="IN414">
            <v>570</v>
          </cell>
          <cell r="IO414">
            <v>530</v>
          </cell>
          <cell r="IP414">
            <v>490</v>
          </cell>
          <cell r="IQ414">
            <v>450</v>
          </cell>
          <cell r="IR414">
            <v>450</v>
          </cell>
          <cell r="IS414">
            <v>450</v>
          </cell>
          <cell r="IT414">
            <v>450</v>
          </cell>
          <cell r="IU414">
            <v>450</v>
          </cell>
          <cell r="IV414">
            <v>450</v>
          </cell>
          <cell r="IW414">
            <v>450</v>
          </cell>
          <cell r="IX414">
            <v>450</v>
          </cell>
          <cell r="IY414">
            <v>450</v>
          </cell>
          <cell r="IZ414">
            <v>450</v>
          </cell>
          <cell r="JA414">
            <v>450</v>
          </cell>
          <cell r="JB414">
            <v>450</v>
          </cell>
          <cell r="JC414">
            <v>450</v>
          </cell>
          <cell r="JD414">
            <v>450</v>
          </cell>
          <cell r="JE414">
            <v>450</v>
          </cell>
          <cell r="JF414">
            <v>450</v>
          </cell>
          <cell r="JG414">
            <v>450</v>
          </cell>
          <cell r="JH414">
            <v>450</v>
          </cell>
          <cell r="JI414">
            <v>450</v>
          </cell>
          <cell r="JJ414">
            <v>450</v>
          </cell>
          <cell r="JK414">
            <v>450</v>
          </cell>
          <cell r="JL414">
            <v>450</v>
          </cell>
          <cell r="JM414">
            <v>450</v>
          </cell>
          <cell r="JN414">
            <v>450</v>
          </cell>
          <cell r="JO414">
            <v>450</v>
          </cell>
          <cell r="JP414">
            <v>450</v>
          </cell>
          <cell r="LH414">
            <v>650</v>
          </cell>
          <cell r="LI414">
            <v>610</v>
          </cell>
          <cell r="LJ414">
            <v>570</v>
          </cell>
          <cell r="LK414">
            <v>530</v>
          </cell>
          <cell r="LL414">
            <v>490</v>
          </cell>
          <cell r="LM414">
            <v>450</v>
          </cell>
          <cell r="LN414">
            <v>450</v>
          </cell>
          <cell r="LO414">
            <v>450</v>
          </cell>
          <cell r="LP414">
            <v>450</v>
          </cell>
          <cell r="LQ414">
            <v>450</v>
          </cell>
          <cell r="LR414">
            <v>450</v>
          </cell>
          <cell r="LS414">
            <v>450</v>
          </cell>
          <cell r="LT414">
            <v>450</v>
          </cell>
          <cell r="LU414">
            <v>450</v>
          </cell>
          <cell r="LV414">
            <v>450</v>
          </cell>
          <cell r="LW414">
            <v>450</v>
          </cell>
          <cell r="LX414">
            <v>450</v>
          </cell>
          <cell r="LY414">
            <v>450</v>
          </cell>
          <cell r="LZ414">
            <v>450</v>
          </cell>
          <cell r="MA414">
            <v>450</v>
          </cell>
          <cell r="MB414">
            <v>450</v>
          </cell>
          <cell r="MC414">
            <v>450</v>
          </cell>
          <cell r="MD414">
            <v>450</v>
          </cell>
          <cell r="ME414">
            <v>450</v>
          </cell>
          <cell r="MF414">
            <v>450</v>
          </cell>
          <cell r="MG414">
            <v>450</v>
          </cell>
          <cell r="MH414">
            <v>450</v>
          </cell>
          <cell r="MI414">
            <v>450</v>
          </cell>
          <cell r="MJ414">
            <v>450</v>
          </cell>
          <cell r="MK414">
            <v>450</v>
          </cell>
          <cell r="ML414">
            <v>450</v>
          </cell>
        </row>
        <row r="428">
          <cell r="IM428">
            <v>298.85483720077042</v>
          </cell>
          <cell r="IN428">
            <v>290.3</v>
          </cell>
          <cell r="IO428">
            <v>275.95057034220531</v>
          </cell>
          <cell r="IP428">
            <v>275.95057034220531</v>
          </cell>
          <cell r="IQ428">
            <v>275.95057034220531</v>
          </cell>
          <cell r="IR428">
            <v>275.95057034220531</v>
          </cell>
          <cell r="IS428">
            <v>275.95057034220531</v>
          </cell>
          <cell r="IT428">
            <v>275.95057034220531</v>
          </cell>
          <cell r="IU428">
            <v>275.95057034220531</v>
          </cell>
          <cell r="IV428">
            <v>275.95057034220531</v>
          </cell>
          <cell r="IW428">
            <v>275.95057034220531</v>
          </cell>
          <cell r="IX428">
            <v>275.95057034220531</v>
          </cell>
          <cell r="IY428">
            <v>275.95057034220531</v>
          </cell>
          <cell r="IZ428">
            <v>275.95057034220531</v>
          </cell>
          <cell r="JA428">
            <v>275.95057034220531</v>
          </cell>
          <cell r="JB428">
            <v>275.95057034220531</v>
          </cell>
          <cell r="JC428">
            <v>275.95057034220531</v>
          </cell>
          <cell r="JD428">
            <v>275.95057034220531</v>
          </cell>
          <cell r="JE428">
            <v>275.95057034220531</v>
          </cell>
          <cell r="JF428">
            <v>275.95057034220531</v>
          </cell>
          <cell r="JG428">
            <v>275.95057034220531</v>
          </cell>
          <cell r="JH428">
            <v>275.95057034220531</v>
          </cell>
          <cell r="JI428">
            <v>275.95057034220531</v>
          </cell>
          <cell r="JJ428">
            <v>275.95057034220531</v>
          </cell>
          <cell r="JK428">
            <v>275.95057034220531</v>
          </cell>
          <cell r="JL428">
            <v>275.95057034220531</v>
          </cell>
          <cell r="JM428">
            <v>275.95057034220531</v>
          </cell>
          <cell r="JN428">
            <v>275.95057034220531</v>
          </cell>
          <cell r="JO428">
            <v>275.95057034220531</v>
          </cell>
          <cell r="JP428">
            <v>275.95057034220531</v>
          </cell>
          <cell r="LH428">
            <v>302.79788649196735</v>
          </cell>
          <cell r="LI428">
            <v>298.85483720077042</v>
          </cell>
          <cell r="LJ428">
            <v>290.3</v>
          </cell>
          <cell r="LK428">
            <v>275.95057034220531</v>
          </cell>
          <cell r="LL428">
            <v>275.95057034220531</v>
          </cell>
          <cell r="LM428">
            <v>275.95057034220531</v>
          </cell>
          <cell r="LN428">
            <v>275.95057034220531</v>
          </cell>
          <cell r="LO428">
            <v>275.95057034220531</v>
          </cell>
          <cell r="LP428">
            <v>275.95057034220531</v>
          </cell>
          <cell r="LQ428">
            <v>275.95057034220531</v>
          </cell>
          <cell r="LR428">
            <v>275.95057034220531</v>
          </cell>
          <cell r="LS428">
            <v>275.95057034220531</v>
          </cell>
          <cell r="LT428">
            <v>275.95057034220531</v>
          </cell>
          <cell r="LU428">
            <v>275.95057034220531</v>
          </cell>
          <cell r="LV428">
            <v>275.95057034220531</v>
          </cell>
          <cell r="LW428">
            <v>275.95057034220531</v>
          </cell>
          <cell r="LX428">
            <v>275.95057034220531</v>
          </cell>
          <cell r="LY428">
            <v>275.95057034220531</v>
          </cell>
          <cell r="LZ428">
            <v>275.95057034220531</v>
          </cell>
          <cell r="MA428">
            <v>275.95057034220531</v>
          </cell>
          <cell r="MB428">
            <v>275.95057034220531</v>
          </cell>
          <cell r="MC428">
            <v>275.95057034220531</v>
          </cell>
          <cell r="MD428">
            <v>275.95057034220531</v>
          </cell>
          <cell r="ME428">
            <v>275.95057034220531</v>
          </cell>
          <cell r="MF428">
            <v>275.95057034220531</v>
          </cell>
          <cell r="MG428">
            <v>275.95057034220531</v>
          </cell>
          <cell r="MH428">
            <v>275.95057034220531</v>
          </cell>
          <cell r="MI428">
            <v>275.95057034220531</v>
          </cell>
          <cell r="MJ428">
            <v>275.95057034220531</v>
          </cell>
          <cell r="MK428">
            <v>275.95057034220531</v>
          </cell>
          <cell r="ML428">
            <v>275.95057034220531</v>
          </cell>
        </row>
        <row r="467">
          <cell r="M467">
            <v>1766.745847422128</v>
          </cell>
          <cell r="N467">
            <v>2062.1818180491582</v>
          </cell>
          <cell r="O467">
            <v>1770.1631999999997</v>
          </cell>
          <cell r="P467">
            <v>1969.7295430913798</v>
          </cell>
          <cell r="IM467">
            <v>1779.4706510542339</v>
          </cell>
          <cell r="IN467">
            <v>1792.5668003364008</v>
          </cell>
          <cell r="IO467">
            <v>1771.2163107773358</v>
          </cell>
          <cell r="IP467">
            <v>1797.8918915738977</v>
          </cell>
          <cell r="IQ467">
            <v>1831.6629682662542</v>
          </cell>
          <cell r="IR467">
            <v>1835.9392125228949</v>
          </cell>
          <cell r="IS467">
            <v>1840.2243344722492</v>
          </cell>
          <cell r="IT467">
            <v>1844.6875937527241</v>
          </cell>
          <cell r="IU467">
            <v>1849.3469590190441</v>
          </cell>
          <cell r="IV467">
            <v>1854.2150238216771</v>
          </cell>
          <cell r="IW467">
            <v>1847.3074854310164</v>
          </cell>
          <cell r="IX467">
            <v>1841.0907008794215</v>
          </cell>
          <cell r="IY467">
            <v>1837.3219739304416</v>
          </cell>
          <cell r="IZ467">
            <v>1833.5532469814618</v>
          </cell>
          <cell r="JA467">
            <v>1829.7845200324819</v>
          </cell>
          <cell r="JB467">
            <v>1827.5232838630939</v>
          </cell>
          <cell r="JC467">
            <v>1825.2620476937061</v>
          </cell>
          <cell r="JD467">
            <v>1823.0008115243181</v>
          </cell>
          <cell r="JE467">
            <v>1820.7395753549301</v>
          </cell>
          <cell r="JF467">
            <v>1818.4783391855424</v>
          </cell>
          <cell r="JG467">
            <v>1816.2171030161544</v>
          </cell>
          <cell r="JH467">
            <v>1813.9558668467664</v>
          </cell>
          <cell r="JI467">
            <v>1811.6946306773787</v>
          </cell>
          <cell r="JJ467">
            <v>1809.4333945079907</v>
          </cell>
          <cell r="JK467">
            <v>1807.1721583386027</v>
          </cell>
          <cell r="JL467">
            <v>1804.9109221692149</v>
          </cell>
          <cell r="JM467">
            <v>1802.6496859998269</v>
          </cell>
          <cell r="JN467">
            <v>1800.388449830439</v>
          </cell>
          <cell r="JO467">
            <v>1798.1272136610512</v>
          </cell>
          <cell r="JP467">
            <v>1795.8659774916632</v>
          </cell>
          <cell r="JW467">
            <v>1748.4241816996921</v>
          </cell>
          <cell r="JX467">
            <v>1797.1578304900665</v>
          </cell>
          <cell r="JY467">
            <v>1830.0763795095622</v>
          </cell>
          <cell r="JZ467">
            <v>1827.6532031665115</v>
          </cell>
          <cell r="KA467">
            <v>1854.6121847193963</v>
          </cell>
          <cell r="KB467">
            <v>1889.885819811378</v>
          </cell>
          <cell r="KC467">
            <v>1911.8785600036988</v>
          </cell>
          <cell r="KD467">
            <v>1932.2984668061936</v>
          </cell>
          <cell r="KE467">
            <v>1951.4931762251856</v>
          </cell>
          <cell r="KF467">
            <v>1969.7164100877583</v>
          </cell>
          <cell r="KG467">
            <v>1987.1833978294139</v>
          </cell>
          <cell r="KH467">
            <v>2005.9896577868544</v>
          </cell>
          <cell r="KI467">
            <v>2023.1225537165587</v>
          </cell>
          <cell r="KJ467">
            <v>2043.6467709536876</v>
          </cell>
          <cell r="KK467">
            <v>2062.36825873619</v>
          </cell>
          <cell r="KL467">
            <v>2079.2870170640663</v>
          </cell>
          <cell r="KM467">
            <v>2086.2758734157005</v>
          </cell>
          <cell r="KN467">
            <v>2092.3538769902607</v>
          </cell>
          <cell r="KO467">
            <v>2097.5210277877459</v>
          </cell>
          <cell r="KP467">
            <v>2101.777325808157</v>
          </cell>
          <cell r="KQ467">
            <v>2105.1227710514941</v>
          </cell>
          <cell r="KR467">
            <v>2101.6019806955378</v>
          </cell>
          <cell r="KS467">
            <v>2098.0242620410149</v>
          </cell>
          <cell r="KT467">
            <v>2094.3896150879245</v>
          </cell>
          <cell r="KU467">
            <v>2090.6980398362675</v>
          </cell>
          <cell r="KV467">
            <v>2086.9495362860434</v>
          </cell>
          <cell r="KW467">
            <v>2083.203307149086</v>
          </cell>
          <cell r="KX467">
            <v>2079.2293648178593</v>
          </cell>
          <cell r="KY467">
            <v>2075.0277092923643</v>
          </cell>
          <cell r="KZ467">
            <v>2070.598340572601</v>
          </cell>
          <cell r="LA467">
            <v>2065.9412586585695</v>
          </cell>
          <cell r="LH467">
            <v>1748.4241816996921</v>
          </cell>
          <cell r="LI467">
            <v>1797.1578304900665</v>
          </cell>
          <cell r="LJ467">
            <v>1830.0763795095622</v>
          </cell>
          <cell r="LK467">
            <v>1827.6532031665115</v>
          </cell>
          <cell r="LL467">
            <v>1854.6121847193963</v>
          </cell>
          <cell r="LM467">
            <v>1889.885819811378</v>
          </cell>
          <cell r="LN467">
            <v>1911.8785600036988</v>
          </cell>
          <cell r="LO467">
            <v>1932.2984668061936</v>
          </cell>
          <cell r="LP467">
            <v>1951.4931762251856</v>
          </cell>
          <cell r="LQ467">
            <v>1969.7164100877583</v>
          </cell>
          <cell r="LR467">
            <v>1987.1833978294139</v>
          </cell>
          <cell r="LS467">
            <v>2005.9896577868544</v>
          </cell>
          <cell r="LT467">
            <v>2023.1225537165587</v>
          </cell>
          <cell r="LU467">
            <v>2043.6467709536876</v>
          </cell>
          <cell r="LV467">
            <v>2062.36825873619</v>
          </cell>
          <cell r="LW467">
            <v>2079.2870170640663</v>
          </cell>
          <cell r="LX467">
            <v>2086.2758734157005</v>
          </cell>
          <cell r="LY467">
            <v>2092.3538769902607</v>
          </cell>
          <cell r="LZ467">
            <v>2097.5210277877459</v>
          </cell>
          <cell r="MA467">
            <v>2101.777325808157</v>
          </cell>
          <cell r="MB467">
            <v>2105.1227710514941</v>
          </cell>
          <cell r="MC467">
            <v>2101.6019806955378</v>
          </cell>
          <cell r="MD467">
            <v>2098.0242620410149</v>
          </cell>
          <cell r="ME467">
            <v>2094.3896150879245</v>
          </cell>
          <cell r="MF467">
            <v>2090.6980398362675</v>
          </cell>
          <cell r="MG467">
            <v>2086.9495362860434</v>
          </cell>
          <cell r="MH467">
            <v>2083.203307149086</v>
          </cell>
          <cell r="MI467">
            <v>2079.2293648178593</v>
          </cell>
          <cell r="MJ467">
            <v>2075.0277092923643</v>
          </cell>
          <cell r="MK467">
            <v>2070.598340572601</v>
          </cell>
          <cell r="ML467">
            <v>2065.9412586585695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maire"/>
      <sheetName val="G1.a"/>
      <sheetName val="G1.b"/>
      <sheetName val="G1.c"/>
      <sheetName val="G1.d"/>
      <sheetName val="G2.a"/>
      <sheetName val="G3.a"/>
      <sheetName val="G3.b"/>
    </sheetNames>
    <sheetDataSet>
      <sheetData sheetId="0" refreshError="1"/>
      <sheetData sheetId="1">
        <row r="7">
          <cell r="R7">
            <v>15595.442316281156</v>
          </cell>
          <cell r="S7">
            <v>15482.709385141716</v>
          </cell>
          <cell r="T7">
            <v>15202.291169114931</v>
          </cell>
          <cell r="U7">
            <v>15185.281376793095</v>
          </cell>
          <cell r="V7">
            <v>15587.548247424504</v>
          </cell>
          <cell r="W7">
            <v>15897.398384990629</v>
          </cell>
          <cell r="X7">
            <v>15711.65737177707</v>
          </cell>
          <cell r="Y7">
            <v>15962.255371135936</v>
          </cell>
          <cell r="Z7">
            <v>15962.782722092623</v>
          </cell>
          <cell r="AA7">
            <v>16188.501484579649</v>
          </cell>
          <cell r="AB7">
            <v>16251.550148223843</v>
          </cell>
          <cell r="AC7">
            <v>16600.77158663328</v>
          </cell>
          <cell r="AD7">
            <v>16474.179577085619</v>
          </cell>
        </row>
        <row r="11">
          <cell r="R11">
            <v>41262.20582148269</v>
          </cell>
          <cell r="S11">
            <v>42179.243905620635</v>
          </cell>
          <cell r="T11">
            <v>37537.373569694872</v>
          </cell>
          <cell r="U11">
            <v>33932.696914616376</v>
          </cell>
          <cell r="V11">
            <v>35313.168516452126</v>
          </cell>
          <cell r="W11">
            <v>36303.230839186923</v>
          </cell>
          <cell r="X11">
            <v>33108.148884984315</v>
          </cell>
          <cell r="Y11">
            <v>33345.981447484934</v>
          </cell>
          <cell r="Z11">
            <v>32025.211339575741</v>
          </cell>
          <cell r="AA11">
            <v>30775.380559108151</v>
          </cell>
          <cell r="AB11">
            <v>32109.08095293742</v>
          </cell>
          <cell r="AC11">
            <v>32487.815623445284</v>
          </cell>
          <cell r="AD11">
            <v>32255.904965714537</v>
          </cell>
        </row>
      </sheetData>
      <sheetData sheetId="2" refreshError="1"/>
      <sheetData sheetId="3" refreshError="1"/>
      <sheetData sheetId="4">
        <row r="7">
          <cell r="R7">
            <v>5611.2155288317826</v>
          </cell>
          <cell r="S7">
            <v>5678.5</v>
          </cell>
          <cell r="T7">
            <v>5731.084919724095</v>
          </cell>
          <cell r="U7">
            <v>5766.084919724095</v>
          </cell>
          <cell r="V7">
            <v>5810.0445098324399</v>
          </cell>
          <cell r="W7">
            <v>5868.9567709938401</v>
          </cell>
          <cell r="X7">
            <v>5911.3999763288321</v>
          </cell>
          <cell r="Y7">
            <v>5935.3268287686024</v>
          </cell>
          <cell r="Z7">
            <v>5970.3562190536195</v>
          </cell>
          <cell r="AA7">
            <v>6019.9716807162022</v>
          </cell>
          <cell r="AB7">
            <v>6080.6028299810005</v>
          </cell>
          <cell r="AC7">
            <v>6151.5119711932703</v>
          </cell>
          <cell r="AD7">
            <v>6177.8721297178272</v>
          </cell>
        </row>
        <row r="11">
          <cell r="R11">
            <v>565.14922565793722</v>
          </cell>
          <cell r="S11">
            <v>567.28499999999997</v>
          </cell>
          <cell r="T11">
            <v>564.5745527728086</v>
          </cell>
          <cell r="U11">
            <v>552.41879248658324</v>
          </cell>
          <cell r="V11">
            <v>551.30783917211045</v>
          </cell>
          <cell r="W11">
            <v>556.81091197691376</v>
          </cell>
          <cell r="X11">
            <v>559.81528740124963</v>
          </cell>
          <cell r="Y11">
            <v>551.80361960302071</v>
          </cell>
          <cell r="Z11">
            <v>550.81021575404452</v>
          </cell>
          <cell r="AA11">
            <v>550.25220540475118</v>
          </cell>
          <cell r="AB11">
            <v>543.7459235341945</v>
          </cell>
          <cell r="AC11">
            <v>546.81169597039104</v>
          </cell>
          <cell r="AD11">
            <v>553.88235017769136</v>
          </cell>
        </row>
        <row r="12">
          <cell r="R12">
            <v>85.721433581244113</v>
          </cell>
          <cell r="S12">
            <v>85.998437125748495</v>
          </cell>
          <cell r="T12">
            <v>86.516499999999994</v>
          </cell>
          <cell r="U12">
            <v>87.3095</v>
          </cell>
          <cell r="V12">
            <v>88.338999999999999</v>
          </cell>
          <cell r="W12">
            <v>89.751999999999995</v>
          </cell>
          <cell r="X12">
            <v>90.717962330999214</v>
          </cell>
          <cell r="Y12">
            <v>91.568433853166198</v>
          </cell>
          <cell r="Z12">
            <v>92.276948528723892</v>
          </cell>
          <cell r="AA12">
            <v>92.953900470901687</v>
          </cell>
          <cell r="AB12">
            <v>93.405951403728366</v>
          </cell>
          <cell r="AC12">
            <v>93.677922487195701</v>
          </cell>
          <cell r="AD12">
            <v>94.389686788856423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BESOINS"/>
      <sheetName val="SYNTHESE"/>
      <sheetName val="JPF-SM"/>
      <sheetName val="FIGURES"/>
      <sheetName val="VOLUMES"/>
      <sheetName val="BAT_NEUF"/>
      <sheetName val="LOG_RENO"/>
      <sheetName val="axLOG_RENO"/>
      <sheetName val="TER_RENO"/>
      <sheetName val="axTER"/>
      <sheetName val="ECLA"/>
      <sheetName val="VP"/>
      <sheetName val="VUL"/>
      <sheetName val="PL"/>
      <sheetName val="BUSCAR"/>
      <sheetName val="axBatteries"/>
      <sheetName val="synVéhicules"/>
      <sheetName val="IRVE"/>
      <sheetName val="IRVG"/>
      <sheetName val="IRVH"/>
      <sheetName val="INFRA_FER"/>
      <sheetName val="axFER"/>
      <sheetName val="axCOI18"/>
      <sheetName val="axCOI23"/>
      <sheetName val="axART"/>
      <sheetName val="INFRA_TCU"/>
      <sheetName val="synTCU"/>
      <sheetName val="axMétroTram"/>
      <sheetName val="axRER"/>
      <sheetName val="axIDF2"/>
      <sheetName val="axGPE 2023"/>
      <sheetName val="axTCU-Province"/>
      <sheetName val="axTram"/>
      <sheetName val="axBus"/>
      <sheetName val="CYCLABLES"/>
      <sheetName val="axVélo"/>
      <sheetName val="FLUVIAL"/>
      <sheetName val="ROUTES"/>
      <sheetName val="PRODELEC"/>
      <sheetName val="axREN"/>
      <sheetName val="RES"/>
      <sheetName val="axRES"/>
      <sheetName val="PRODCHA"/>
      <sheetName val="NUCLEAIRE"/>
      <sheetName val="axNUC"/>
      <sheetName val="RCU"/>
      <sheetName val="axRC"/>
      <sheetName val="BIOMETHANE"/>
      <sheetName val="PTG"/>
      <sheetName val="BIOCARB"/>
      <sheetName val="CSC"/>
      <sheetName val="axCCS"/>
      <sheetName val="axGénéral"/>
      <sheetName val="axInd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9">
          <cell r="H109">
            <v>383941</v>
          </cell>
          <cell r="I109">
            <v>414526</v>
          </cell>
          <cell r="J109">
            <v>444111</v>
          </cell>
          <cell r="K109">
            <v>461195</v>
          </cell>
          <cell r="L109">
            <v>478840</v>
          </cell>
          <cell r="M109">
            <v>398126</v>
          </cell>
          <cell r="N109">
            <v>422839</v>
          </cell>
          <cell r="O109">
            <v>333634</v>
          </cell>
          <cell r="P109">
            <v>328370.5636658133</v>
          </cell>
        </row>
        <row r="110">
          <cell r="H110">
            <v>8</v>
          </cell>
          <cell r="I110">
            <v>9</v>
          </cell>
          <cell r="J110">
            <v>7</v>
          </cell>
          <cell r="K110">
            <v>21</v>
          </cell>
          <cell r="L110">
            <v>169</v>
          </cell>
          <cell r="M110">
            <v>474</v>
          </cell>
          <cell r="N110">
            <v>832</v>
          </cell>
          <cell r="O110">
            <v>561</v>
          </cell>
          <cell r="P110">
            <v>756.61085972850674</v>
          </cell>
        </row>
        <row r="111">
          <cell r="H111">
            <v>4965</v>
          </cell>
          <cell r="I111">
            <v>5954</v>
          </cell>
          <cell r="J111">
            <v>6109</v>
          </cell>
          <cell r="K111">
            <v>8248</v>
          </cell>
          <cell r="L111">
            <v>7989</v>
          </cell>
          <cell r="M111">
            <v>8958</v>
          </cell>
          <cell r="N111">
            <v>12417</v>
          </cell>
          <cell r="O111">
            <v>16510</v>
          </cell>
          <cell r="P111">
            <v>34060</v>
          </cell>
        </row>
        <row r="113">
          <cell r="H113">
            <v>666</v>
          </cell>
          <cell r="I113">
            <v>856</v>
          </cell>
          <cell r="J113">
            <v>1009</v>
          </cell>
          <cell r="K113">
            <v>935</v>
          </cell>
          <cell r="L113">
            <v>1303</v>
          </cell>
          <cell r="M113">
            <v>1696</v>
          </cell>
          <cell r="N113">
            <v>2588</v>
          </cell>
          <cell r="O113">
            <v>904</v>
          </cell>
          <cell r="P113">
            <v>1031.6235294117646</v>
          </cell>
        </row>
        <row r="114">
          <cell r="H114">
            <v>389580</v>
          </cell>
          <cell r="I114">
            <v>421345</v>
          </cell>
          <cell r="J114">
            <v>451236</v>
          </cell>
          <cell r="K114">
            <v>470399</v>
          </cell>
          <cell r="L114">
            <v>488301</v>
          </cell>
          <cell r="M114">
            <v>409254</v>
          </cell>
          <cell r="N114">
            <v>438676</v>
          </cell>
          <cell r="O114">
            <v>351609</v>
          </cell>
          <cell r="P114">
            <v>364218.79805495357</v>
          </cell>
        </row>
        <row r="297">
          <cell r="H297">
            <v>21.4</v>
          </cell>
          <cell r="I297">
            <v>21.4</v>
          </cell>
          <cell r="J297">
            <v>21.4</v>
          </cell>
          <cell r="K297">
            <v>21.4</v>
          </cell>
          <cell r="L297">
            <v>22.472999999999999</v>
          </cell>
        </row>
        <row r="299">
          <cell r="H299">
            <v>38.784637457044667</v>
          </cell>
          <cell r="I299">
            <v>35.60094339622642</v>
          </cell>
          <cell r="J299">
            <v>39.378297238765555</v>
          </cell>
          <cell r="K299">
            <v>38.525784953111675</v>
          </cell>
          <cell r="L299">
            <v>40.044398129942756</v>
          </cell>
        </row>
        <row r="301">
          <cell r="H301">
            <v>23.573106796116505</v>
          </cell>
          <cell r="I301">
            <v>23.573106796116505</v>
          </cell>
          <cell r="J301">
            <v>23.573106796116505</v>
          </cell>
          <cell r="K301">
            <v>23.540000000000003</v>
          </cell>
          <cell r="L301">
            <v>24.720300000000002</v>
          </cell>
        </row>
        <row r="373">
          <cell r="IL373">
            <v>25.149658723881178</v>
          </cell>
          <cell r="IM373">
            <v>25.149658723881178</v>
          </cell>
          <cell r="IN373">
            <v>25.149658723881178</v>
          </cell>
          <cell r="IO373">
            <v>25.149658723881178</v>
          </cell>
          <cell r="IP373">
            <v>25.149658723881178</v>
          </cell>
          <cell r="IQ373">
            <v>25.149658723881178</v>
          </cell>
          <cell r="IR373">
            <v>25.149658723881178</v>
          </cell>
          <cell r="IS373">
            <v>25.149658723881178</v>
          </cell>
          <cell r="IT373">
            <v>25.149658723881178</v>
          </cell>
          <cell r="IU373">
            <v>25.149658723881178</v>
          </cell>
          <cell r="IV373">
            <v>25.149658723881178</v>
          </cell>
          <cell r="IW373">
            <v>25.149658723881178</v>
          </cell>
          <cell r="IX373">
            <v>25.149658723881178</v>
          </cell>
          <cell r="IY373">
            <v>25.149658723881178</v>
          </cell>
          <cell r="IZ373">
            <v>25.149658723881178</v>
          </cell>
          <cell r="JA373">
            <v>25.149658723881178</v>
          </cell>
          <cell r="JB373">
            <v>25.149658723881178</v>
          </cell>
          <cell r="JC373">
            <v>25.149658723881178</v>
          </cell>
          <cell r="JD373">
            <v>25.149658723881178</v>
          </cell>
          <cell r="JE373">
            <v>25.149658723881178</v>
          </cell>
          <cell r="JF373">
            <v>25.149658723881178</v>
          </cell>
          <cell r="JG373">
            <v>25.149658723881178</v>
          </cell>
          <cell r="JH373">
            <v>25.149658723881178</v>
          </cell>
          <cell r="JI373">
            <v>25.149658723881178</v>
          </cell>
          <cell r="JJ373">
            <v>25.149658723881178</v>
          </cell>
          <cell r="JK373">
            <v>25.149658723881178</v>
          </cell>
          <cell r="JL373">
            <v>25.149658723881178</v>
          </cell>
          <cell r="JM373">
            <v>25.149658723881178</v>
          </cell>
          <cell r="JN373">
            <v>25.149658723881178</v>
          </cell>
          <cell r="JO373">
            <v>25.149658723881178</v>
          </cell>
          <cell r="JP373">
            <v>25.149658723881178</v>
          </cell>
        </row>
        <row r="375">
          <cell r="IL375">
            <v>30.678899201992298</v>
          </cell>
          <cell r="IM375">
            <v>30.845801891234583</v>
          </cell>
          <cell r="IN375">
            <v>31.8697093568348</v>
          </cell>
          <cell r="IO375">
            <v>31.897855999999997</v>
          </cell>
          <cell r="IP375">
            <v>31.141691314641744</v>
          </cell>
          <cell r="IQ375">
            <v>30.383714392523363</v>
          </cell>
          <cell r="IR375">
            <v>29.846728971962616</v>
          </cell>
          <cell r="IS375">
            <v>29.716154082140413</v>
          </cell>
          <cell r="IT375">
            <v>29.552028044077439</v>
          </cell>
          <cell r="IU375">
            <v>29.354350857773682</v>
          </cell>
          <cell r="IV375">
            <v>29.123122523229149</v>
          </cell>
          <cell r="IW375">
            <v>28.714183527868215</v>
          </cell>
          <cell r="IX375">
            <v>28.305244532507277</v>
          </cell>
          <cell r="IY375">
            <v>28.077526600123413</v>
          </cell>
          <cell r="IZ375">
            <v>27.849808667739545</v>
          </cell>
          <cell r="JA375">
            <v>27.622090735355677</v>
          </cell>
          <cell r="JB375">
            <v>27.547564866575502</v>
          </cell>
          <cell r="JC375">
            <v>27.473038997795328</v>
          </cell>
          <cell r="JD375">
            <v>27.398513129015154</v>
          </cell>
          <cell r="JE375">
            <v>27.323987260234979</v>
          </cell>
          <cell r="JF375">
            <v>27.249461391454805</v>
          </cell>
          <cell r="JG375">
            <v>27.249461391454805</v>
          </cell>
          <cell r="JH375">
            <v>27.249461391454805</v>
          </cell>
          <cell r="JI375">
            <v>27.249461391454805</v>
          </cell>
          <cell r="JJ375">
            <v>27.249461391454805</v>
          </cell>
          <cell r="JK375">
            <v>27.249461391454805</v>
          </cell>
          <cell r="JL375">
            <v>27.249461391454805</v>
          </cell>
          <cell r="JM375">
            <v>27.249461391454805</v>
          </cell>
          <cell r="JN375">
            <v>27.249461391454805</v>
          </cell>
          <cell r="JO375">
            <v>27.249461391454801</v>
          </cell>
          <cell r="JP375">
            <v>27.249461391454805</v>
          </cell>
        </row>
        <row r="377">
          <cell r="IL377">
            <v>27.749947774553554</v>
          </cell>
          <cell r="IM377">
            <v>27.749947774553554</v>
          </cell>
          <cell r="IN377">
            <v>27.749947774553554</v>
          </cell>
          <cell r="IO377">
            <v>27.749947774553554</v>
          </cell>
          <cell r="IP377">
            <v>27.749947774553554</v>
          </cell>
          <cell r="IQ377">
            <v>27.749947774553554</v>
          </cell>
          <cell r="IR377">
            <v>27.749947774553554</v>
          </cell>
          <cell r="IS377">
            <v>27.749947774553554</v>
          </cell>
          <cell r="IT377">
            <v>27.749947774553554</v>
          </cell>
          <cell r="IU377">
            <v>27.749947774553554</v>
          </cell>
          <cell r="IV377">
            <v>27.749947774553554</v>
          </cell>
          <cell r="IW377">
            <v>27.749947774553554</v>
          </cell>
          <cell r="IX377">
            <v>27.749947774553554</v>
          </cell>
          <cell r="IY377">
            <v>27.749947774553554</v>
          </cell>
          <cell r="IZ377">
            <v>27.749947774553554</v>
          </cell>
          <cell r="JA377">
            <v>27.749947774553554</v>
          </cell>
          <cell r="JB377">
            <v>27.749947774553554</v>
          </cell>
          <cell r="JC377">
            <v>27.749947774553554</v>
          </cell>
          <cell r="JD377">
            <v>27.749947774553554</v>
          </cell>
          <cell r="JE377">
            <v>27.749947774553554</v>
          </cell>
          <cell r="JF377">
            <v>27.749947774553554</v>
          </cell>
          <cell r="JG377">
            <v>27.749947774553554</v>
          </cell>
          <cell r="JH377">
            <v>27.749947774553554</v>
          </cell>
          <cell r="JI377">
            <v>27.749947774553554</v>
          </cell>
          <cell r="JJ377">
            <v>27.749947774553554</v>
          </cell>
          <cell r="JK377">
            <v>27.749947774553554</v>
          </cell>
          <cell r="JL377">
            <v>27.749947774553554</v>
          </cell>
          <cell r="JM377">
            <v>27.749947774553554</v>
          </cell>
          <cell r="JN377">
            <v>27.749947774553554</v>
          </cell>
          <cell r="JO377">
            <v>27.749947774553554</v>
          </cell>
          <cell r="JP377">
            <v>27.749947774553554</v>
          </cell>
        </row>
      </sheetData>
      <sheetData sheetId="14">
        <row r="70">
          <cell r="H70">
            <v>260</v>
          </cell>
          <cell r="I70">
            <v>305</v>
          </cell>
          <cell r="J70">
            <v>187</v>
          </cell>
          <cell r="K70">
            <v>162</v>
          </cell>
          <cell r="L70">
            <v>180</v>
          </cell>
          <cell r="M70">
            <v>165</v>
          </cell>
          <cell r="N70">
            <v>191.35599999999999</v>
          </cell>
        </row>
        <row r="71">
          <cell r="H71">
            <v>579030</v>
          </cell>
          <cell r="I71">
            <v>583757</v>
          </cell>
          <cell r="J71">
            <v>593033</v>
          </cell>
          <cell r="K71">
            <v>599983</v>
          </cell>
          <cell r="L71">
            <v>604529</v>
          </cell>
          <cell r="M71">
            <v>600733</v>
          </cell>
          <cell r="N71">
            <v>607102.23600000003</v>
          </cell>
        </row>
        <row r="72">
          <cell r="H72">
            <v>5</v>
          </cell>
          <cell r="I72">
            <v>3</v>
          </cell>
          <cell r="J72">
            <v>3</v>
          </cell>
          <cell r="K72">
            <v>2</v>
          </cell>
          <cell r="L72">
            <v>2</v>
          </cell>
          <cell r="M72">
            <v>2</v>
          </cell>
          <cell r="N72">
            <v>10</v>
          </cell>
        </row>
        <row r="73">
          <cell r="H73">
            <v>108</v>
          </cell>
          <cell r="I73">
            <v>110</v>
          </cell>
          <cell r="J73">
            <v>120</v>
          </cell>
          <cell r="K73">
            <v>137</v>
          </cell>
          <cell r="L73">
            <v>138</v>
          </cell>
          <cell r="M73">
            <v>131</v>
          </cell>
          <cell r="N73">
            <v>180.46100000000001</v>
          </cell>
        </row>
        <row r="74">
          <cell r="H74">
            <v>3</v>
          </cell>
          <cell r="I74">
            <v>2</v>
          </cell>
          <cell r="J74">
            <v>2</v>
          </cell>
          <cell r="K74">
            <v>2</v>
          </cell>
          <cell r="L74">
            <v>2</v>
          </cell>
          <cell r="M74">
            <v>5</v>
          </cell>
          <cell r="N74">
            <v>3.177</v>
          </cell>
        </row>
        <row r="75">
          <cell r="H75">
            <v>347</v>
          </cell>
          <cell r="I75">
            <v>607</v>
          </cell>
          <cell r="J75">
            <v>1285</v>
          </cell>
          <cell r="K75">
            <v>2282</v>
          </cell>
          <cell r="L75">
            <v>3513</v>
          </cell>
          <cell r="M75">
            <v>5057</v>
          </cell>
          <cell r="N75">
            <v>6964</v>
          </cell>
          <cell r="O75">
            <v>9033</v>
          </cell>
        </row>
        <row r="76">
          <cell r="H76">
            <v>579753</v>
          </cell>
          <cell r="I76">
            <v>584784</v>
          </cell>
          <cell r="J76">
            <v>594630</v>
          </cell>
          <cell r="K76">
            <v>602568</v>
          </cell>
          <cell r="L76">
            <v>608364</v>
          </cell>
          <cell r="M76">
            <v>606093</v>
          </cell>
          <cell r="N76">
            <v>614451.2300000001</v>
          </cell>
        </row>
        <row r="548">
          <cell r="H548">
            <v>92.693864709604682</v>
          </cell>
          <cell r="I548">
            <v>93.652308064563726</v>
          </cell>
          <cell r="J548">
            <v>94.530710392672972</v>
          </cell>
          <cell r="K548">
            <v>94.446985505420926</v>
          </cell>
          <cell r="L548">
            <v>94.161666453013922</v>
          </cell>
          <cell r="M548">
            <v>91.601444544488345</v>
          </cell>
          <cell r="N548">
            <v>95.386475355406773</v>
          </cell>
          <cell r="O548">
            <v>98.381</v>
          </cell>
          <cell r="JZ548">
            <v>97.0008380624312</v>
          </cell>
          <cell r="KA548">
            <v>97.0008380624312</v>
          </cell>
          <cell r="KB548">
            <v>97.0008380624312</v>
          </cell>
          <cell r="KC548">
            <v>97.0008380624312</v>
          </cell>
          <cell r="KD548">
            <v>98.600838062431194</v>
          </cell>
          <cell r="KE548">
            <v>98.600838062431194</v>
          </cell>
          <cell r="KF548">
            <v>98.600838062431194</v>
          </cell>
          <cell r="KG548">
            <v>98.600838062431194</v>
          </cell>
          <cell r="KH548">
            <v>98.600838062431194</v>
          </cell>
          <cell r="KI548">
            <v>98.600838062431194</v>
          </cell>
          <cell r="KJ548">
            <v>98.600838062431194</v>
          </cell>
          <cell r="KK548">
            <v>98.600838062431194</v>
          </cell>
          <cell r="KL548">
            <v>98.600838062431194</v>
          </cell>
          <cell r="KM548">
            <v>98.600838062431194</v>
          </cell>
          <cell r="KN548">
            <v>98.600838062431194</v>
          </cell>
          <cell r="KO548">
            <v>98.600838062431194</v>
          </cell>
          <cell r="KP548">
            <v>98.600838062431194</v>
          </cell>
          <cell r="KQ548">
            <v>98.600838062431194</v>
          </cell>
          <cell r="KR548">
            <v>98.600838062431194</v>
          </cell>
          <cell r="KS548">
            <v>98.600838062431194</v>
          </cell>
          <cell r="KT548">
            <v>98.600838062431194</v>
          </cell>
          <cell r="KU548">
            <v>98.600838062431194</v>
          </cell>
          <cell r="KV548">
            <v>98.600838062431194</v>
          </cell>
          <cell r="KW548">
            <v>98.600838062431194</v>
          </cell>
          <cell r="KX548">
            <v>98.600838062431194</v>
          </cell>
          <cell r="KY548">
            <v>98.600838062431194</v>
          </cell>
          <cell r="KZ548">
            <v>98.600838062431194</v>
          </cell>
          <cell r="LA548">
            <v>98.600838062431194</v>
          </cell>
        </row>
        <row r="584">
          <cell r="X584">
            <v>251.92100856752154</v>
          </cell>
          <cell r="AC584">
            <v>220.81035056140058</v>
          </cell>
        </row>
        <row r="604">
          <cell r="X604">
            <v>391.68833644964138</v>
          </cell>
          <cell r="Y604">
            <v>388.05476181173776</v>
          </cell>
          <cell r="Z604">
            <v>437.88792492712616</v>
          </cell>
          <cell r="AA604">
            <v>440.03249808226656</v>
          </cell>
          <cell r="AB604">
            <v>379.44572903933988</v>
          </cell>
          <cell r="AC604">
            <v>343.49570112280117</v>
          </cell>
          <cell r="AD604">
            <v>262.73993905059581</v>
          </cell>
          <cell r="AE604">
            <v>234.78377533744501</v>
          </cell>
          <cell r="AF604">
            <v>212.79168585754286</v>
          </cell>
          <cell r="AG604">
            <v>196.91402542349232</v>
          </cell>
          <cell r="AH604">
            <v>182.95756537270114</v>
          </cell>
          <cell r="AI604">
            <v>172.19167288998037</v>
          </cell>
          <cell r="AJ604">
            <v>163.46392342254347</v>
          </cell>
          <cell r="AK604">
            <v>156.82443524125807</v>
          </cell>
          <cell r="AL604">
            <v>150.08471051823739</v>
          </cell>
          <cell r="AM604">
            <v>143.24474925348142</v>
          </cell>
          <cell r="AN604">
            <v>141.30301366152241</v>
          </cell>
          <cell r="AO604">
            <v>139.33454832510068</v>
          </cell>
          <cell r="AP604">
            <v>137.33935324421623</v>
          </cell>
          <cell r="AQ604">
            <v>135.31742841886901</v>
          </cell>
          <cell r="AR604">
            <v>133.26877384905907</v>
          </cell>
          <cell r="AS604">
            <v>133.57783651940949</v>
          </cell>
          <cell r="AT604">
            <v>133.8868991897599</v>
          </cell>
          <cell r="AU604">
            <v>134.19596186011034</v>
          </cell>
          <cell r="AV604">
            <v>134.50502453046073</v>
          </cell>
          <cell r="AW604">
            <v>134.81408720081117</v>
          </cell>
          <cell r="AX604">
            <v>135.12314987116159</v>
          </cell>
          <cell r="AY604">
            <v>135.432212541512</v>
          </cell>
          <cell r="AZ604">
            <v>135.74127521186244</v>
          </cell>
          <cell r="BA604">
            <v>136.05033788221286</v>
          </cell>
          <cell r="BB604">
            <v>136.35940055256327</v>
          </cell>
        </row>
        <row r="630">
          <cell r="H630">
            <v>171.96397647256487</v>
          </cell>
          <cell r="I630">
            <v>170.56432639251196</v>
          </cell>
          <cell r="J630">
            <v>141.26731904784265</v>
          </cell>
          <cell r="K630">
            <v>136.72602805153315</v>
          </cell>
          <cell r="L630">
            <v>137.82274470583098</v>
          </cell>
          <cell r="JW630">
            <v>112.74660148664032</v>
          </cell>
          <cell r="JX630">
            <v>112.74660148664032</v>
          </cell>
          <cell r="JY630">
            <v>112.74660148664032</v>
          </cell>
          <cell r="JZ630">
            <v>111.6728243296247</v>
          </cell>
          <cell r="KA630">
            <v>110.59904717260908</v>
          </cell>
          <cell r="KB630">
            <v>109.52527001559345</v>
          </cell>
          <cell r="KC630">
            <v>108.45149285857784</v>
          </cell>
          <cell r="KD630">
            <v>107.37771570156221</v>
          </cell>
          <cell r="KE630">
            <v>106.30393854454658</v>
          </cell>
          <cell r="KF630">
            <v>105.23016138753097</v>
          </cell>
          <cell r="KG630">
            <v>104.15638423051534</v>
          </cell>
          <cell r="KH630">
            <v>104.15638423051534</v>
          </cell>
          <cell r="KI630">
            <v>104.15638423051534</v>
          </cell>
          <cell r="KJ630">
            <v>104.15638423051534</v>
          </cell>
          <cell r="KK630">
            <v>104.15638423051534</v>
          </cell>
          <cell r="KL630">
            <v>104.15638423051534</v>
          </cell>
          <cell r="KM630">
            <v>104.15638423051534</v>
          </cell>
          <cell r="KN630">
            <v>104.15638423051534</v>
          </cell>
          <cell r="KO630">
            <v>104.15638423051534</v>
          </cell>
          <cell r="KP630">
            <v>104.15638423051534</v>
          </cell>
          <cell r="KQ630">
            <v>104.15638423051534</v>
          </cell>
          <cell r="KR630">
            <v>104.15638423051534</v>
          </cell>
          <cell r="KS630">
            <v>104.15638423051534</v>
          </cell>
          <cell r="KT630">
            <v>104.15638423051534</v>
          </cell>
          <cell r="KU630">
            <v>104.15638423051534</v>
          </cell>
          <cell r="KV630">
            <v>104.15638423051534</v>
          </cell>
          <cell r="KW630">
            <v>104.15638423051534</v>
          </cell>
          <cell r="KX630">
            <v>104.15638423051534</v>
          </cell>
          <cell r="KY630">
            <v>104.15638423051534</v>
          </cell>
          <cell r="KZ630">
            <v>104.15638423051534</v>
          </cell>
          <cell r="LA630">
            <v>104.15638423051534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BESOINS"/>
      <sheetName val="SYNTHESE"/>
      <sheetName val="FIGURES"/>
      <sheetName val="BAT_NEUF"/>
      <sheetName val="LOG_RENO"/>
      <sheetName val="axLOG_RENO"/>
      <sheetName val="TER_RENO"/>
      <sheetName val="axTER"/>
      <sheetName val="VP"/>
      <sheetName val="VUL"/>
      <sheetName val="PL"/>
      <sheetName val="BUSCAR"/>
      <sheetName val="axBatteries"/>
      <sheetName val="synVéhicules"/>
      <sheetName val="IRVE"/>
      <sheetName val="IRVG"/>
      <sheetName val="IRVH"/>
      <sheetName val="INFRA_FER"/>
      <sheetName val="axFER"/>
      <sheetName val="axCOI18"/>
      <sheetName val="axCOI23"/>
      <sheetName val="axART"/>
      <sheetName val="INFRA_TCU"/>
      <sheetName val="synTCU"/>
      <sheetName val="axMétroTram"/>
      <sheetName val="axRER"/>
      <sheetName val="axIDF2"/>
      <sheetName val="axGPE 2023"/>
      <sheetName val="axTCU-Province"/>
      <sheetName val="axTram"/>
      <sheetName val="axBus"/>
      <sheetName val="CYCLABLES"/>
      <sheetName val="axVélo"/>
      <sheetName val="FLUVIAL"/>
      <sheetName val="ROUTES"/>
      <sheetName val="PRODELEC"/>
      <sheetName val="axREN"/>
      <sheetName val="RES"/>
      <sheetName val="axRES"/>
      <sheetName val="PRODCHA"/>
      <sheetName val="NUCLEAIRE"/>
      <sheetName val="axNUC"/>
      <sheetName val="RCU"/>
      <sheetName val="axRC"/>
      <sheetName val="BIOMETHANE"/>
      <sheetName val="PTG"/>
      <sheetName val="BIOCARB"/>
      <sheetName val="CSC"/>
      <sheetName val="axCCS"/>
      <sheetName val="axGénéral"/>
      <sheetName val="ax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4">
          <cell r="H74">
            <v>244028</v>
          </cell>
          <cell r="I74">
            <v>234144</v>
          </cell>
          <cell r="J74">
            <v>229912</v>
          </cell>
          <cell r="K74">
            <v>226872</v>
          </cell>
          <cell r="L74">
            <v>221571</v>
          </cell>
          <cell r="M74">
            <v>217685</v>
          </cell>
          <cell r="N74">
            <v>232947.00599999999</v>
          </cell>
        </row>
        <row r="75">
          <cell r="H75">
            <v>5666148</v>
          </cell>
          <cell r="I75">
            <v>5802289</v>
          </cell>
          <cell r="J75">
            <v>5953374</v>
          </cell>
          <cell r="K75">
            <v>6024778</v>
          </cell>
          <cell r="L75">
            <v>5984489</v>
          </cell>
          <cell r="M75">
            <v>5971888</v>
          </cell>
          <cell r="N75">
            <v>5966138.1540000001</v>
          </cell>
          <cell r="KG75">
            <v>4893916</v>
          </cell>
          <cell r="LA75">
            <v>0</v>
          </cell>
        </row>
        <row r="76">
          <cell r="H76">
            <v>91</v>
          </cell>
          <cell r="I76">
            <v>95</v>
          </cell>
          <cell r="J76">
            <v>100</v>
          </cell>
          <cell r="K76">
            <v>124</v>
          </cell>
          <cell r="L76">
            <v>287</v>
          </cell>
          <cell r="M76">
            <v>759</v>
          </cell>
          <cell r="N76">
            <v>1605.202</v>
          </cell>
        </row>
        <row r="77">
          <cell r="H77">
            <v>19485</v>
          </cell>
          <cell r="I77">
            <v>24428</v>
          </cell>
          <cell r="J77">
            <v>29206</v>
          </cell>
          <cell r="K77">
            <v>35469</v>
          </cell>
          <cell r="L77">
            <v>41315</v>
          </cell>
          <cell r="M77">
            <v>48643</v>
          </cell>
          <cell r="N77">
            <v>58964.625</v>
          </cell>
          <cell r="KG77">
            <v>796684.00000000012</v>
          </cell>
          <cell r="LA77">
            <v>5531263.2000000002</v>
          </cell>
        </row>
        <row r="78">
          <cell r="H78">
            <v>68</v>
          </cell>
          <cell r="I78">
            <v>89</v>
          </cell>
          <cell r="J78">
            <v>161</v>
          </cell>
          <cell r="K78">
            <v>192</v>
          </cell>
          <cell r="L78">
            <v>185</v>
          </cell>
          <cell r="M78">
            <v>173</v>
          </cell>
          <cell r="N78">
            <v>182.012</v>
          </cell>
          <cell r="KG78">
            <v>0</v>
          </cell>
          <cell r="LA78">
            <v>159336.80000000002</v>
          </cell>
        </row>
        <row r="79">
          <cell r="H79">
            <v>6968</v>
          </cell>
          <cell r="I79">
            <v>6951</v>
          </cell>
          <cell r="J79">
            <v>7037</v>
          </cell>
          <cell r="K79">
            <v>7214</v>
          </cell>
          <cell r="L79">
            <v>7762</v>
          </cell>
          <cell r="M79">
            <v>8461</v>
          </cell>
          <cell r="N79">
            <v>9575</v>
          </cell>
          <cell r="KG79">
            <v>0</v>
          </cell>
          <cell r="LA79">
            <v>0</v>
          </cell>
        </row>
        <row r="80">
          <cell r="H80">
            <v>5936788</v>
          </cell>
          <cell r="I80">
            <v>6067996</v>
          </cell>
          <cell r="J80">
            <v>6219790</v>
          </cell>
          <cell r="K80">
            <v>6294649</v>
          </cell>
          <cell r="L80">
            <v>6255609</v>
          </cell>
          <cell r="M80">
            <v>6247609</v>
          </cell>
          <cell r="N80">
            <v>6269411.9989999998</v>
          </cell>
          <cell r="KG80">
            <v>5690600</v>
          </cell>
          <cell r="LA80">
            <v>5690600</v>
          </cell>
        </row>
        <row r="106">
          <cell r="C106" t="str">
            <v>Essence</v>
          </cell>
        </row>
        <row r="107">
          <cell r="C107" t="str">
            <v>Diesel</v>
          </cell>
        </row>
        <row r="108">
          <cell r="C108" t="str">
            <v>Hybrides rechargeables</v>
          </cell>
        </row>
        <row r="109">
          <cell r="C109" t="str">
            <v>Electriques</v>
          </cell>
        </row>
        <row r="110">
          <cell r="C110" t="str">
            <v>Hydrogène</v>
          </cell>
        </row>
        <row r="111">
          <cell r="C111" t="str">
            <v>GNV</v>
          </cell>
        </row>
      </sheetData>
      <sheetData sheetId="11">
        <row r="298">
          <cell r="JW298">
            <v>589000</v>
          </cell>
          <cell r="LR298">
            <v>589000</v>
          </cell>
          <cell r="ML298">
            <v>589000</v>
          </cell>
        </row>
        <row r="324">
          <cell r="IL324">
            <v>167031.25355340703</v>
          </cell>
          <cell r="LR324">
            <v>146454.64533414636</v>
          </cell>
          <cell r="ML324">
            <v>34200.508656283928</v>
          </cell>
        </row>
        <row r="325">
          <cell r="LR325">
            <v>0</v>
          </cell>
          <cell r="ML325">
            <v>0</v>
          </cell>
        </row>
        <row r="326">
          <cell r="IL326">
            <v>0</v>
          </cell>
          <cell r="LR326">
            <v>13223.382392776526</v>
          </cell>
          <cell r="ML326">
            <v>66116.911963882623</v>
          </cell>
        </row>
        <row r="327">
          <cell r="IL327">
            <v>0</v>
          </cell>
          <cell r="LR327">
            <v>904.04102058115029</v>
          </cell>
          <cell r="ML327">
            <v>41040.610387540706</v>
          </cell>
        </row>
        <row r="328">
          <cell r="IL328">
            <v>1687.1843793273438</v>
          </cell>
          <cell r="LR328">
            <v>8136.3691852303527</v>
          </cell>
          <cell r="ML328">
            <v>27360.406925027139</v>
          </cell>
        </row>
        <row r="331">
          <cell r="IL331">
            <v>416078.74644659302</v>
          </cell>
          <cell r="JW331">
            <v>416078.74644659302</v>
          </cell>
          <cell r="LR331">
            <v>330635.35466585372</v>
          </cell>
          <cell r="ML331">
            <v>24699.491343716109</v>
          </cell>
        </row>
        <row r="332">
          <cell r="JW332">
            <v>0</v>
          </cell>
          <cell r="LR332">
            <v>0</v>
          </cell>
          <cell r="ML332">
            <v>0</v>
          </cell>
        </row>
        <row r="333">
          <cell r="IL333">
            <v>0</v>
          </cell>
          <cell r="JW333">
            <v>0</v>
          </cell>
          <cell r="LR333">
            <v>69236.617607223481</v>
          </cell>
          <cell r="ML333">
            <v>346183.08803611738</v>
          </cell>
        </row>
        <row r="334">
          <cell r="IL334">
            <v>0</v>
          </cell>
          <cell r="JW334">
            <v>0</v>
          </cell>
          <cell r="LR334">
            <v>2040.9589794188498</v>
          </cell>
          <cell r="ML334">
            <v>29639.389612459327</v>
          </cell>
        </row>
        <row r="335">
          <cell r="IL335">
            <v>4202.8156206726571</v>
          </cell>
          <cell r="JW335">
            <v>4202.8156206726571</v>
          </cell>
          <cell r="LR335">
            <v>18368.630814769647</v>
          </cell>
          <cell r="ML335">
            <v>19759.593074972883</v>
          </cell>
        </row>
        <row r="336">
          <cell r="IL336">
            <v>589000</v>
          </cell>
          <cell r="IM336">
            <v>589000</v>
          </cell>
          <cell r="IN336">
            <v>589000.00000000012</v>
          </cell>
          <cell r="IO336">
            <v>589000</v>
          </cell>
          <cell r="IP336">
            <v>589000</v>
          </cell>
          <cell r="IQ336">
            <v>589000</v>
          </cell>
          <cell r="IR336">
            <v>589000.00000000012</v>
          </cell>
          <cell r="IS336">
            <v>589000</v>
          </cell>
          <cell r="IT336">
            <v>589000.00000000012</v>
          </cell>
          <cell r="IU336">
            <v>589000.00000000012</v>
          </cell>
          <cell r="IV336">
            <v>589000.00000000012</v>
          </cell>
          <cell r="IW336">
            <v>589000</v>
          </cell>
          <cell r="IX336">
            <v>589000.00000000012</v>
          </cell>
          <cell r="IY336">
            <v>589000</v>
          </cell>
          <cell r="IZ336">
            <v>589000</v>
          </cell>
          <cell r="JA336">
            <v>589000.00000000012</v>
          </cell>
          <cell r="JB336">
            <v>589000.00000000012</v>
          </cell>
          <cell r="JC336">
            <v>589000.00000000012</v>
          </cell>
          <cell r="JD336">
            <v>589000.00000000023</v>
          </cell>
          <cell r="JE336">
            <v>589000</v>
          </cell>
          <cell r="JF336">
            <v>589000.00000000012</v>
          </cell>
          <cell r="JG336">
            <v>589000</v>
          </cell>
          <cell r="JH336">
            <v>589000.00000000012</v>
          </cell>
          <cell r="JI336">
            <v>589000.00000000012</v>
          </cell>
          <cell r="JJ336">
            <v>589000</v>
          </cell>
          <cell r="JK336">
            <v>589000</v>
          </cell>
          <cell r="JL336">
            <v>589000</v>
          </cell>
          <cell r="JM336">
            <v>589000</v>
          </cell>
          <cell r="JN336">
            <v>589000</v>
          </cell>
          <cell r="JO336">
            <v>589000</v>
          </cell>
          <cell r="JP336">
            <v>589000</v>
          </cell>
          <cell r="LH336">
            <v>605928.00000000012</v>
          </cell>
          <cell r="LI336">
            <v>614259.87400000019</v>
          </cell>
          <cell r="LJ336">
            <v>607944.90550000011</v>
          </cell>
          <cell r="LK336">
            <v>601629.93700000003</v>
          </cell>
          <cell r="LL336">
            <v>595314.96850000008</v>
          </cell>
          <cell r="LM336">
            <v>589000</v>
          </cell>
          <cell r="LN336">
            <v>589000</v>
          </cell>
          <cell r="LO336">
            <v>589000.00000000012</v>
          </cell>
          <cell r="LP336">
            <v>589000.00000000012</v>
          </cell>
          <cell r="LQ336">
            <v>589000</v>
          </cell>
          <cell r="LR336">
            <v>589000.00000000012</v>
          </cell>
          <cell r="LS336">
            <v>589000</v>
          </cell>
          <cell r="LT336">
            <v>588999.99999999988</v>
          </cell>
          <cell r="LU336">
            <v>589000.00000000012</v>
          </cell>
          <cell r="LV336">
            <v>589000</v>
          </cell>
          <cell r="LW336">
            <v>589000.00000000012</v>
          </cell>
          <cell r="LX336">
            <v>589000.00000000012</v>
          </cell>
          <cell r="LY336">
            <v>589000</v>
          </cell>
          <cell r="LZ336">
            <v>589000.00000000012</v>
          </cell>
          <cell r="MA336">
            <v>589000.00000000012</v>
          </cell>
          <cell r="MB336">
            <v>589000</v>
          </cell>
          <cell r="MC336">
            <v>589000.00000000012</v>
          </cell>
          <cell r="MD336">
            <v>589000</v>
          </cell>
          <cell r="ME336">
            <v>589000</v>
          </cell>
          <cell r="MF336">
            <v>589000.00000000023</v>
          </cell>
          <cell r="MG336">
            <v>588999.99999999988</v>
          </cell>
          <cell r="MH336">
            <v>589000.00000000012</v>
          </cell>
          <cell r="MI336">
            <v>589000</v>
          </cell>
          <cell r="MJ336">
            <v>589000.00000000012</v>
          </cell>
          <cell r="MK336">
            <v>589000.00000000012</v>
          </cell>
          <cell r="ML336">
            <v>589000.00000000012</v>
          </cell>
        </row>
        <row r="343">
          <cell r="JW343">
            <v>0</v>
          </cell>
          <cell r="JX343">
            <v>0</v>
          </cell>
          <cell r="JY343">
            <v>0</v>
          </cell>
          <cell r="JZ343">
            <v>0</v>
          </cell>
          <cell r="KA343">
            <v>0</v>
          </cell>
          <cell r="KB343">
            <v>0</v>
          </cell>
          <cell r="KC343">
            <v>0</v>
          </cell>
          <cell r="KD343">
            <v>0</v>
          </cell>
          <cell r="KE343">
            <v>0</v>
          </cell>
          <cell r="KF343">
            <v>0</v>
          </cell>
          <cell r="KG343">
            <v>0</v>
          </cell>
          <cell r="KH343">
            <v>0</v>
          </cell>
          <cell r="KI343">
            <v>0</v>
          </cell>
          <cell r="KJ343">
            <v>0</v>
          </cell>
          <cell r="KK343">
            <v>0</v>
          </cell>
          <cell r="KL343">
            <v>0</v>
          </cell>
          <cell r="KM343">
            <v>0</v>
          </cell>
          <cell r="KN343">
            <v>0</v>
          </cell>
          <cell r="KO343">
            <v>0</v>
          </cell>
          <cell r="KP343">
            <v>0</v>
          </cell>
          <cell r="KQ343">
            <v>0</v>
          </cell>
          <cell r="KR343">
            <v>0</v>
          </cell>
          <cell r="KS343">
            <v>0</v>
          </cell>
          <cell r="KT343">
            <v>0</v>
          </cell>
          <cell r="KU343">
            <v>0</v>
          </cell>
          <cell r="KV343">
            <v>0</v>
          </cell>
          <cell r="KW343">
            <v>0</v>
          </cell>
          <cell r="KX343">
            <v>0</v>
          </cell>
          <cell r="KY343">
            <v>0</v>
          </cell>
          <cell r="KZ343">
            <v>0</v>
          </cell>
          <cell r="LA343">
            <v>0</v>
          </cell>
        </row>
        <row r="344">
          <cell r="JW344">
            <v>42070.84</v>
          </cell>
          <cell r="JX344">
            <v>40124.471999999994</v>
          </cell>
          <cell r="JY344">
            <v>38178.103999999999</v>
          </cell>
          <cell r="JZ344">
            <v>36231.735999999997</v>
          </cell>
          <cell r="KA344">
            <v>34285.368000000002</v>
          </cell>
          <cell r="KB344">
            <v>32339</v>
          </cell>
          <cell r="KC344">
            <v>30301.200000000001</v>
          </cell>
          <cell r="KD344">
            <v>28263.4</v>
          </cell>
          <cell r="KE344">
            <v>26225.599999999999</v>
          </cell>
          <cell r="KF344">
            <v>24187.8</v>
          </cell>
          <cell r="KG344">
            <v>22150</v>
          </cell>
          <cell r="KH344">
            <v>20732.400000000001</v>
          </cell>
          <cell r="KI344">
            <v>19314.8</v>
          </cell>
          <cell r="KJ344">
            <v>17897.2</v>
          </cell>
          <cell r="KK344">
            <v>16479.600000000002</v>
          </cell>
          <cell r="KL344">
            <v>15062.000000000002</v>
          </cell>
          <cell r="KM344">
            <v>12226.800000000001</v>
          </cell>
          <cell r="KN344">
            <v>9391.6000000000022</v>
          </cell>
          <cell r="KO344">
            <v>6556.4</v>
          </cell>
          <cell r="KP344">
            <v>3721.2000000000007</v>
          </cell>
          <cell r="KQ344">
            <v>886</v>
          </cell>
          <cell r="KR344">
            <v>708.8</v>
          </cell>
          <cell r="KS344">
            <v>531.6</v>
          </cell>
          <cell r="KT344">
            <v>354.4</v>
          </cell>
          <cell r="KU344">
            <v>177.20000000000005</v>
          </cell>
          <cell r="KV344">
            <v>0</v>
          </cell>
          <cell r="KW344">
            <v>0</v>
          </cell>
          <cell r="KX344">
            <v>0</v>
          </cell>
          <cell r="KY344">
            <v>0</v>
          </cell>
          <cell r="KZ344">
            <v>0</v>
          </cell>
          <cell r="LA344">
            <v>0</v>
          </cell>
        </row>
        <row r="349">
          <cell r="IL349">
            <v>43400</v>
          </cell>
          <cell r="IM349">
            <v>43580</v>
          </cell>
          <cell r="IN349">
            <v>43760</v>
          </cell>
          <cell r="IO349">
            <v>43940</v>
          </cell>
          <cell r="IP349">
            <v>44120</v>
          </cell>
          <cell r="IQ349">
            <v>44300</v>
          </cell>
          <cell r="IR349">
            <v>44300</v>
          </cell>
          <cell r="IS349">
            <v>44300</v>
          </cell>
          <cell r="IT349">
            <v>44300</v>
          </cell>
          <cell r="IU349">
            <v>44300</v>
          </cell>
          <cell r="IV349">
            <v>44300</v>
          </cell>
          <cell r="IW349">
            <v>44300</v>
          </cell>
          <cell r="IX349">
            <v>44300</v>
          </cell>
          <cell r="IY349">
            <v>44300</v>
          </cell>
          <cell r="IZ349">
            <v>44300</v>
          </cell>
          <cell r="JA349">
            <v>44300</v>
          </cell>
          <cell r="JB349">
            <v>44300</v>
          </cell>
          <cell r="JC349">
            <v>44300</v>
          </cell>
          <cell r="JD349">
            <v>44300</v>
          </cell>
          <cell r="JE349">
            <v>44300</v>
          </cell>
          <cell r="JF349">
            <v>44300</v>
          </cell>
          <cell r="JG349">
            <v>44300</v>
          </cell>
          <cell r="JH349">
            <v>44300</v>
          </cell>
          <cell r="JI349">
            <v>44300</v>
          </cell>
          <cell r="JJ349">
            <v>44300</v>
          </cell>
          <cell r="JK349">
            <v>44300</v>
          </cell>
          <cell r="JL349">
            <v>44300</v>
          </cell>
          <cell r="JM349">
            <v>44300</v>
          </cell>
          <cell r="JN349">
            <v>44300</v>
          </cell>
          <cell r="JO349">
            <v>44300</v>
          </cell>
          <cell r="JP349">
            <v>44300</v>
          </cell>
          <cell r="JW349">
            <v>43372</v>
          </cell>
          <cell r="JX349">
            <v>43557.599999999999</v>
          </cell>
          <cell r="JY349">
            <v>43743.199999999997</v>
          </cell>
          <cell r="JZ349">
            <v>43928.800000000003</v>
          </cell>
          <cell r="KA349">
            <v>44114.400000000001</v>
          </cell>
          <cell r="KB349">
            <v>44300</v>
          </cell>
          <cell r="KC349">
            <v>44300</v>
          </cell>
          <cell r="KD349">
            <v>44300</v>
          </cell>
          <cell r="KE349">
            <v>44300</v>
          </cell>
          <cell r="KF349">
            <v>44300</v>
          </cell>
          <cell r="KG349">
            <v>44300</v>
          </cell>
          <cell r="KH349">
            <v>44300</v>
          </cell>
          <cell r="KI349">
            <v>44300</v>
          </cell>
          <cell r="KJ349">
            <v>44300</v>
          </cell>
          <cell r="KK349">
            <v>44300</v>
          </cell>
          <cell r="KL349">
            <v>44300</v>
          </cell>
          <cell r="KM349">
            <v>44300</v>
          </cell>
          <cell r="KN349">
            <v>44300</v>
          </cell>
          <cell r="KO349">
            <v>44300</v>
          </cell>
          <cell r="KP349">
            <v>44300</v>
          </cell>
          <cell r="KQ349">
            <v>44300</v>
          </cell>
          <cell r="KR349">
            <v>44300</v>
          </cell>
          <cell r="KS349">
            <v>44300</v>
          </cell>
          <cell r="KT349">
            <v>44300</v>
          </cell>
          <cell r="KU349">
            <v>44300</v>
          </cell>
          <cell r="KV349">
            <v>44300</v>
          </cell>
          <cell r="KW349">
            <v>44300</v>
          </cell>
          <cell r="KX349">
            <v>44300</v>
          </cell>
          <cell r="KY349">
            <v>44300</v>
          </cell>
          <cell r="KZ349">
            <v>44300</v>
          </cell>
          <cell r="LA349">
            <v>44300</v>
          </cell>
        </row>
        <row r="350">
          <cell r="IL350">
            <v>42098</v>
          </cell>
          <cell r="IM350">
            <v>40855</v>
          </cell>
          <cell r="IN350">
            <v>39612</v>
          </cell>
          <cell r="IO350">
            <v>38369</v>
          </cell>
          <cell r="IP350">
            <v>37126</v>
          </cell>
          <cell r="IQ350">
            <v>35883</v>
          </cell>
          <cell r="IR350">
            <v>34465.4</v>
          </cell>
          <cell r="IS350">
            <v>33047.800000000003</v>
          </cell>
          <cell r="IT350">
            <v>31630.2</v>
          </cell>
          <cell r="IU350">
            <v>30212.6</v>
          </cell>
          <cell r="IV350">
            <v>28795</v>
          </cell>
          <cell r="IW350">
            <v>28706.400000000001</v>
          </cell>
          <cell r="IX350">
            <v>28617.8</v>
          </cell>
          <cell r="IY350">
            <v>28529.200000000001</v>
          </cell>
          <cell r="IZ350">
            <v>28440.6</v>
          </cell>
          <cell r="JA350">
            <v>28352</v>
          </cell>
          <cell r="JB350">
            <v>28352</v>
          </cell>
          <cell r="JC350">
            <v>28352</v>
          </cell>
          <cell r="JD350">
            <v>28352</v>
          </cell>
          <cell r="JE350">
            <v>28352</v>
          </cell>
          <cell r="JF350">
            <v>28352</v>
          </cell>
          <cell r="JG350">
            <v>28352</v>
          </cell>
          <cell r="JH350">
            <v>28352</v>
          </cell>
          <cell r="JI350">
            <v>28352</v>
          </cell>
          <cell r="JJ350">
            <v>28352</v>
          </cell>
          <cell r="JK350">
            <v>28352</v>
          </cell>
          <cell r="JL350">
            <v>28352</v>
          </cell>
          <cell r="JM350">
            <v>28352</v>
          </cell>
          <cell r="JN350">
            <v>28352</v>
          </cell>
          <cell r="JO350">
            <v>28352</v>
          </cell>
          <cell r="JP350">
            <v>28352</v>
          </cell>
          <cell r="JW350">
            <v>42070.84</v>
          </cell>
          <cell r="JX350">
            <v>40124.471999999994</v>
          </cell>
          <cell r="JY350">
            <v>38178.103999999999</v>
          </cell>
          <cell r="JZ350">
            <v>36231.735999999997</v>
          </cell>
          <cell r="KA350">
            <v>34285.368000000002</v>
          </cell>
          <cell r="KB350">
            <v>32339</v>
          </cell>
          <cell r="KC350">
            <v>30301.200000000001</v>
          </cell>
          <cell r="KD350">
            <v>28263.4</v>
          </cell>
          <cell r="KE350">
            <v>26225.599999999999</v>
          </cell>
          <cell r="KF350">
            <v>24187.8</v>
          </cell>
          <cell r="KG350">
            <v>22150</v>
          </cell>
          <cell r="KH350">
            <v>20732.400000000001</v>
          </cell>
          <cell r="KI350">
            <v>19314.8</v>
          </cell>
          <cell r="KJ350">
            <v>17897.2</v>
          </cell>
          <cell r="KK350">
            <v>16479.600000000002</v>
          </cell>
          <cell r="KL350">
            <v>15062.000000000002</v>
          </cell>
          <cell r="KM350">
            <v>12226.800000000001</v>
          </cell>
          <cell r="KN350">
            <v>9391.6000000000022</v>
          </cell>
          <cell r="KO350">
            <v>6556.4</v>
          </cell>
          <cell r="KP350">
            <v>3721.2000000000007</v>
          </cell>
          <cell r="KQ350">
            <v>886</v>
          </cell>
          <cell r="KR350">
            <v>708.8</v>
          </cell>
          <cell r="KS350">
            <v>531.6</v>
          </cell>
          <cell r="KT350">
            <v>354.4</v>
          </cell>
          <cell r="KU350">
            <v>177.20000000000005</v>
          </cell>
          <cell r="KV350">
            <v>0</v>
          </cell>
          <cell r="KW350">
            <v>0</v>
          </cell>
          <cell r="KX350">
            <v>0</v>
          </cell>
          <cell r="KY350">
            <v>0</v>
          </cell>
          <cell r="KZ350">
            <v>0</v>
          </cell>
          <cell r="LA350">
            <v>0</v>
          </cell>
        </row>
        <row r="351">
          <cell r="IL351">
            <v>1302</v>
          </cell>
          <cell r="IM351">
            <v>2725</v>
          </cell>
          <cell r="IN351">
            <v>4148</v>
          </cell>
          <cell r="IO351">
            <v>5571</v>
          </cell>
          <cell r="IP351">
            <v>6994</v>
          </cell>
          <cell r="IQ351">
            <v>8417</v>
          </cell>
          <cell r="IR351">
            <v>9834.6</v>
          </cell>
          <cell r="IS351">
            <v>11252.199999999999</v>
          </cell>
          <cell r="IT351">
            <v>12669.800000000001</v>
          </cell>
          <cell r="IU351">
            <v>14087.400000000001</v>
          </cell>
          <cell r="IV351">
            <v>15505</v>
          </cell>
          <cell r="IW351">
            <v>15593.6</v>
          </cell>
          <cell r="IX351">
            <v>15682.2</v>
          </cell>
          <cell r="IY351">
            <v>15770.8</v>
          </cell>
          <cell r="IZ351">
            <v>15859.4</v>
          </cell>
          <cell r="JA351">
            <v>15948</v>
          </cell>
          <cell r="JB351">
            <v>15948</v>
          </cell>
          <cell r="JC351">
            <v>15948</v>
          </cell>
          <cell r="JD351">
            <v>15948</v>
          </cell>
          <cell r="JE351">
            <v>15948</v>
          </cell>
          <cell r="JF351">
            <v>15948</v>
          </cell>
          <cell r="JG351">
            <v>15948</v>
          </cell>
          <cell r="JH351">
            <v>15948</v>
          </cell>
          <cell r="JI351">
            <v>15948</v>
          </cell>
          <cell r="JJ351">
            <v>15948</v>
          </cell>
          <cell r="JK351">
            <v>15948</v>
          </cell>
          <cell r="JL351">
            <v>15948</v>
          </cell>
          <cell r="JM351">
            <v>15948</v>
          </cell>
          <cell r="JN351">
            <v>15948</v>
          </cell>
          <cell r="JO351">
            <v>15948</v>
          </cell>
          <cell r="JP351">
            <v>15948</v>
          </cell>
          <cell r="JW351">
            <v>1301.1599999999999</v>
          </cell>
          <cell r="JX351">
            <v>3433.1279999999997</v>
          </cell>
          <cell r="JY351">
            <v>5565.0959999999995</v>
          </cell>
          <cell r="JZ351">
            <v>7697.0640000000003</v>
          </cell>
          <cell r="KA351">
            <v>9829.0319999999992</v>
          </cell>
          <cell r="KB351">
            <v>11961</v>
          </cell>
          <cell r="KC351">
            <v>13998.8</v>
          </cell>
          <cell r="KD351">
            <v>16036.6</v>
          </cell>
          <cell r="KE351">
            <v>18074.400000000001</v>
          </cell>
          <cell r="KF351">
            <v>20112.2</v>
          </cell>
          <cell r="KG351">
            <v>22150</v>
          </cell>
          <cell r="KH351">
            <v>23567.599999999999</v>
          </cell>
          <cell r="KI351">
            <v>24985.200000000001</v>
          </cell>
          <cell r="KJ351">
            <v>26402.799999999999</v>
          </cell>
          <cell r="KK351">
            <v>27820.400000000001</v>
          </cell>
          <cell r="KL351">
            <v>29238</v>
          </cell>
          <cell r="KM351">
            <v>32073.199999999997</v>
          </cell>
          <cell r="KN351">
            <v>34908.399999999994</v>
          </cell>
          <cell r="KO351">
            <v>37743.600000000006</v>
          </cell>
          <cell r="KP351">
            <v>40578.800000000003</v>
          </cell>
          <cell r="KQ351">
            <v>43414</v>
          </cell>
          <cell r="KR351">
            <v>43591.200000000004</v>
          </cell>
          <cell r="KS351">
            <v>43768.4</v>
          </cell>
          <cell r="KT351">
            <v>43945.600000000006</v>
          </cell>
          <cell r="KU351">
            <v>44122.8</v>
          </cell>
          <cell r="KV351">
            <v>44300</v>
          </cell>
          <cell r="KW351">
            <v>44300</v>
          </cell>
          <cell r="KX351">
            <v>44300</v>
          </cell>
          <cell r="KY351">
            <v>44300</v>
          </cell>
          <cell r="KZ351">
            <v>44300</v>
          </cell>
          <cell r="LA351">
            <v>44300</v>
          </cell>
        </row>
        <row r="542">
          <cell r="LR542">
            <v>91.664884533138178</v>
          </cell>
          <cell r="ML542">
            <v>91.664884533138178</v>
          </cell>
        </row>
        <row r="578">
          <cell r="LR578">
            <v>137.28729104456784</v>
          </cell>
          <cell r="ML578">
            <v>109.31641689690136</v>
          </cell>
        </row>
        <row r="598">
          <cell r="LR598">
            <v>182.95756537270114</v>
          </cell>
          <cell r="ML598">
            <v>136.35940055256327</v>
          </cell>
        </row>
        <row r="774">
          <cell r="M774">
            <v>3593.7699345016808</v>
          </cell>
          <cell r="N774">
            <v>3796.2925318061352</v>
          </cell>
          <cell r="O774">
            <v>3890.8716014520792</v>
          </cell>
          <cell r="P774">
            <v>4649.8044497574783</v>
          </cell>
          <cell r="IL774">
            <v>4003.0336875694761</v>
          </cell>
          <cell r="IM774">
            <v>4052.3337606053738</v>
          </cell>
          <cell r="IN774">
            <v>4171.3278619618386</v>
          </cell>
          <cell r="IO774">
            <v>4206.0511759911842</v>
          </cell>
          <cell r="IP774">
            <v>4255.1019514604059</v>
          </cell>
          <cell r="IQ774">
            <v>4301.5703214692248</v>
          </cell>
          <cell r="IR774">
            <v>4335.1239670518953</v>
          </cell>
          <cell r="IS774">
            <v>4437.0183446285564</v>
          </cell>
          <cell r="IT774">
            <v>4472.1731665185762</v>
          </cell>
          <cell r="IU774">
            <v>4499.8960215958996</v>
          </cell>
          <cell r="IV774">
            <v>4516.9490607363477</v>
          </cell>
          <cell r="IW774">
            <v>4512.2916165503821</v>
          </cell>
          <cell r="IX774">
            <v>4511.3345713634772</v>
          </cell>
          <cell r="IY774">
            <v>4514.077925175633</v>
          </cell>
          <cell r="IZ774">
            <v>4516.821278987788</v>
          </cell>
          <cell r="JA774">
            <v>4519.564632799943</v>
          </cell>
          <cell r="JB774">
            <v>4514.8323136006948</v>
          </cell>
          <cell r="JC774">
            <v>4510.0999944014466</v>
          </cell>
          <cell r="JD774">
            <v>4505.3676752021984</v>
          </cell>
          <cell r="JE774">
            <v>4500.6353560029502</v>
          </cell>
          <cell r="JF774">
            <v>4495.9030368037011</v>
          </cell>
          <cell r="JG774">
            <v>4495.9030368037011</v>
          </cell>
          <cell r="JH774">
            <v>4495.903036803702</v>
          </cell>
          <cell r="JI774">
            <v>4495.903036803702</v>
          </cell>
          <cell r="JJ774">
            <v>4495.903036803702</v>
          </cell>
          <cell r="JK774">
            <v>4495.903036803702</v>
          </cell>
          <cell r="JL774">
            <v>4495.903036803702</v>
          </cell>
          <cell r="JM774">
            <v>4495.903036803702</v>
          </cell>
          <cell r="JN774">
            <v>4495.903036803702</v>
          </cell>
          <cell r="JO774">
            <v>4495.903036803702</v>
          </cell>
          <cell r="JP774">
            <v>4495.903036803702</v>
          </cell>
          <cell r="JW774">
            <v>4000.4510851903988</v>
          </cell>
          <cell r="JX774">
            <v>4114.0665556487975</v>
          </cell>
          <cell r="JY774">
            <v>4313.7767403780917</v>
          </cell>
          <cell r="JZ774">
            <v>4421.9454015317115</v>
          </cell>
          <cell r="KA774">
            <v>4496.5770127603109</v>
          </cell>
          <cell r="KB774">
            <v>4567.7350903462175</v>
          </cell>
          <cell r="KC774">
            <v>4619.7364188066676</v>
          </cell>
          <cell r="KD774">
            <v>4751.6965480030185</v>
          </cell>
          <cell r="KE774">
            <v>4809.5493592630964</v>
          </cell>
          <cell r="KF774">
            <v>4854.2656192087316</v>
          </cell>
          <cell r="KG774">
            <v>4877.9819799669185</v>
          </cell>
          <cell r="KH774">
            <v>4939.1380096619478</v>
          </cell>
          <cell r="KI774">
            <v>5006.32673760533</v>
          </cell>
          <cell r="KJ774">
            <v>5080.9358134217182</v>
          </cell>
          <cell r="KK774">
            <v>5152.3265899888102</v>
          </cell>
          <cell r="KL774">
            <v>5220.4990673066077</v>
          </cell>
          <cell r="KM774">
            <v>5329.2398042868926</v>
          </cell>
          <cell r="KN774">
            <v>5433.7214539878551</v>
          </cell>
          <cell r="KO774">
            <v>5533.944016409494</v>
          </cell>
          <cell r="KP774">
            <v>5629.9074915518086</v>
          </cell>
          <cell r="KQ774">
            <v>5721.6118794148006</v>
          </cell>
          <cell r="KR774">
            <v>5767.3547849696233</v>
          </cell>
          <cell r="KS774">
            <v>5823.9335753533887</v>
          </cell>
          <cell r="KT774">
            <v>5901.1032035124099</v>
          </cell>
          <cell r="KU774">
            <v>5975.2103397598239</v>
          </cell>
          <cell r="KV774">
            <v>6046.7799827090485</v>
          </cell>
          <cell r="KW774">
            <v>6107.5106253844169</v>
          </cell>
          <cell r="KX774">
            <v>6167.4234853536018</v>
          </cell>
          <cell r="KY774">
            <v>6226.6061821922667</v>
          </cell>
          <cell r="KZ774">
            <v>6285.1342500173596</v>
          </cell>
          <cell r="LA774">
            <v>6343.0731517302365</v>
          </cell>
          <cell r="LH774">
            <v>3571.9891120066527</v>
          </cell>
          <cell r="LI774">
            <v>3777.7807914100395</v>
          </cell>
          <cell r="LJ774">
            <v>3967.8301651673873</v>
          </cell>
          <cell r="LK774">
            <v>4155.5728297215428</v>
          </cell>
          <cell r="LL774">
            <v>4446.3715972759455</v>
          </cell>
          <cell r="LM774">
            <v>5021.3537865514145</v>
          </cell>
          <cell r="LN774">
            <v>4803.919059319147</v>
          </cell>
          <cell r="LO774">
            <v>5046.8320159278192</v>
          </cell>
          <cell r="LP774">
            <v>5262.0646676798215</v>
          </cell>
          <cell r="LQ774">
            <v>5588.7854288437893</v>
          </cell>
          <cell r="LR774">
            <v>6115.5680996557458</v>
          </cell>
          <cell r="LS774">
            <v>6013.0230855326563</v>
          </cell>
          <cell r="LT774">
            <v>5937.7778318302453</v>
          </cell>
          <cell r="LU774">
            <v>5895.8699864033933</v>
          </cell>
          <cell r="LV774">
            <v>5840.8889933145847</v>
          </cell>
          <cell r="LW774">
            <v>5772.6111486594364</v>
          </cell>
          <cell r="LX774">
            <v>5816.2023604398364</v>
          </cell>
          <cell r="LY774">
            <v>5855.888826878243</v>
          </cell>
          <cell r="LZ774">
            <v>5891.6108936001565</v>
          </cell>
          <cell r="MA774">
            <v>5923.3089062310728</v>
          </cell>
          <cell r="MB774">
            <v>5950.9232103964914</v>
          </cell>
          <cell r="MC774">
            <v>6045.0822349056598</v>
          </cell>
          <cell r="MD774">
            <v>6139.7010952182845</v>
          </cell>
          <cell r="ME774">
            <v>6234.7797913343638</v>
          </cell>
          <cell r="MF774">
            <v>6330.3183232538959</v>
          </cell>
          <cell r="MG774">
            <v>6426.3166909768843</v>
          </cell>
          <cell r="MH774">
            <v>6435.5134070459662</v>
          </cell>
          <cell r="MI774">
            <v>6444.71012311505</v>
          </cell>
          <cell r="MJ774">
            <v>6453.9068391841338</v>
          </cell>
          <cell r="MK774">
            <v>6463.1035552532176</v>
          </cell>
          <cell r="ML774">
            <v>6472.3002713223004</v>
          </cell>
        </row>
        <row r="887">
          <cell r="IL887">
            <v>112.74660148664033</v>
          </cell>
          <cell r="IM887">
            <v>126.01631437739614</v>
          </cell>
          <cell r="IN887">
            <v>133.2969811224265</v>
          </cell>
          <cell r="IO887">
            <v>134.68885681909981</v>
          </cell>
          <cell r="IP887">
            <v>130.30498259695702</v>
          </cell>
          <cell r="IQ887">
            <v>127.09659852282614</v>
          </cell>
          <cell r="IR887">
            <v>125.1704894620498</v>
          </cell>
          <cell r="IS887">
            <v>125.10403063883614</v>
          </cell>
          <cell r="IT887">
            <v>124.13728202169796</v>
          </cell>
          <cell r="IU887">
            <v>122.8375378813698</v>
          </cell>
          <cell r="IV887">
            <v>121.08730800416861</v>
          </cell>
          <cell r="IW887">
            <v>120.62145849504314</v>
          </cell>
          <cell r="IX887">
            <v>120.39683454942774</v>
          </cell>
          <cell r="IY887">
            <v>120.4093705679374</v>
          </cell>
          <cell r="IZ887">
            <v>120.42176651920114</v>
          </cell>
          <cell r="JA887">
            <v>120.43402473767307</v>
          </cell>
          <cell r="JB887">
            <v>120.13729040112626</v>
          </cell>
          <cell r="JC887">
            <v>119.84055606457947</v>
          </cell>
          <cell r="JD887">
            <v>119.54382172803267</v>
          </cell>
          <cell r="JE887">
            <v>119.24708739148586</v>
          </cell>
          <cell r="JF887">
            <v>118.95035305493906</v>
          </cell>
          <cell r="JG887">
            <v>118.95035305493906</v>
          </cell>
          <cell r="JH887">
            <v>118.95035305493907</v>
          </cell>
          <cell r="JI887">
            <v>118.95035305493907</v>
          </cell>
          <cell r="JJ887">
            <v>118.95035305493907</v>
          </cell>
          <cell r="JK887">
            <v>118.95035305493907</v>
          </cell>
          <cell r="JL887">
            <v>118.95035305493907</v>
          </cell>
          <cell r="JM887">
            <v>118.95035305493907</v>
          </cell>
          <cell r="JN887">
            <v>118.95035305493907</v>
          </cell>
          <cell r="JO887">
            <v>118.95035305493907</v>
          </cell>
          <cell r="JP887">
            <v>118.95035305493907</v>
          </cell>
          <cell r="JW887">
            <v>112.74660148664032</v>
          </cell>
          <cell r="JX887">
            <v>137.3228065675624</v>
          </cell>
          <cell r="JY887">
            <v>148.48727413060354</v>
          </cell>
          <cell r="JZ887">
            <v>150.54289301174649</v>
          </cell>
          <cell r="KA887">
            <v>143.31719569782251</v>
          </cell>
          <cell r="KB887">
            <v>138.3769575645064</v>
          </cell>
          <cell r="KC887">
            <v>135.05888644677691</v>
          </cell>
          <cell r="KD887">
            <v>134.75021204551592</v>
          </cell>
          <cell r="KE887">
            <v>133.09336760560947</v>
          </cell>
          <cell r="KF887">
            <v>131.1191080586953</v>
          </cell>
          <cell r="KG887">
            <v>128.56003555566176</v>
          </cell>
          <cell r="KH887">
            <v>128.93569805865312</v>
          </cell>
          <cell r="KI887">
            <v>129.51018306135924</v>
          </cell>
          <cell r="KJ887">
            <v>130.30402237471927</v>
          </cell>
          <cell r="KK887">
            <v>130.90127959470411</v>
          </cell>
          <cell r="KL887">
            <v>131.33054848035022</v>
          </cell>
          <cell r="KM887">
            <v>131.21458395411494</v>
          </cell>
          <cell r="KN887">
            <v>130.99544878614992</v>
          </cell>
          <cell r="KO887">
            <v>130.69639269853502</v>
          </cell>
          <cell r="KP887">
            <v>130.33416767442839</v>
          </cell>
          <cell r="KQ887">
            <v>129.9211496687345</v>
          </cell>
          <cell r="KR887">
            <v>130.81499740343313</v>
          </cell>
          <cell r="KS887">
            <v>131.94918074993768</v>
          </cell>
          <cell r="KT887">
            <v>133.54277034410421</v>
          </cell>
          <cell r="KU887">
            <v>135.05415164542032</v>
          </cell>
          <cell r="KV887">
            <v>136.49616213790176</v>
          </cell>
          <cell r="KW887">
            <v>137.86705700642028</v>
          </cell>
          <cell r="KX887">
            <v>139.21949176870433</v>
          </cell>
          <cell r="KY887">
            <v>140.55544429327915</v>
          </cell>
          <cell r="KZ887">
            <v>141.87661963921803</v>
          </cell>
          <cell r="LA887">
            <v>143.18449552438457</v>
          </cell>
        </row>
        <row r="888">
          <cell r="IL888">
            <v>91.601444544488345</v>
          </cell>
          <cell r="IM888">
            <v>90.782996057446326</v>
          </cell>
          <cell r="IN888">
            <v>91.346359291780615</v>
          </cell>
          <cell r="IO888">
            <v>90.064884533138184</v>
          </cell>
          <cell r="IP888">
            <v>90.064884533138184</v>
          </cell>
          <cell r="IQ888">
            <v>90.064884533138184</v>
          </cell>
          <cell r="IR888">
            <v>90.064884533138184</v>
          </cell>
          <cell r="IS888">
            <v>91.664884533138178</v>
          </cell>
          <cell r="IT888">
            <v>91.664884533138178</v>
          </cell>
          <cell r="IU888">
            <v>91.664884533138178</v>
          </cell>
          <cell r="IV888">
            <v>91.664884533138178</v>
          </cell>
          <cell r="IW888">
            <v>91.664884533138178</v>
          </cell>
          <cell r="IX888">
            <v>91.664884533138178</v>
          </cell>
          <cell r="IY888">
            <v>91.664884533138178</v>
          </cell>
          <cell r="IZ888">
            <v>91.664884533138178</v>
          </cell>
          <cell r="JA888">
            <v>91.664884533138178</v>
          </cell>
          <cell r="JB888">
            <v>91.664884533138178</v>
          </cell>
          <cell r="JC888">
            <v>91.664884533138178</v>
          </cell>
          <cell r="JD888">
            <v>91.664884533138178</v>
          </cell>
          <cell r="JE888">
            <v>91.664884533138178</v>
          </cell>
          <cell r="JF888">
            <v>91.664884533138178</v>
          </cell>
          <cell r="JG888">
            <v>91.664884533138178</v>
          </cell>
          <cell r="JH888">
            <v>91.664884533138178</v>
          </cell>
          <cell r="JI888">
            <v>91.664884533138178</v>
          </cell>
          <cell r="JJ888">
            <v>91.664884533138178</v>
          </cell>
          <cell r="JK888">
            <v>91.664884533138178</v>
          </cell>
          <cell r="JL888">
            <v>91.664884533138178</v>
          </cell>
          <cell r="JM888">
            <v>91.664884533138178</v>
          </cell>
          <cell r="JN888">
            <v>91.664884533138178</v>
          </cell>
          <cell r="JO888">
            <v>91.664884533138178</v>
          </cell>
          <cell r="JP888">
            <v>91.664884533138178</v>
          </cell>
          <cell r="JW888">
            <v>91.601444544488345</v>
          </cell>
          <cell r="JX888">
            <v>90.782996057446326</v>
          </cell>
          <cell r="JY888">
            <v>91.346359291780615</v>
          </cell>
          <cell r="JZ888">
            <v>90.064884533138184</v>
          </cell>
          <cell r="KA888">
            <v>90.064884533138184</v>
          </cell>
          <cell r="KB888">
            <v>90.064884533138184</v>
          </cell>
          <cell r="KC888">
            <v>90.064884533138184</v>
          </cell>
          <cell r="KD888">
            <v>91.664884533138178</v>
          </cell>
          <cell r="KE888">
            <v>91.664884533138178</v>
          </cell>
          <cell r="KF888">
            <v>91.664884533138178</v>
          </cell>
          <cell r="KG888">
            <v>91.664884533138178</v>
          </cell>
          <cell r="KH888">
            <v>91.664884533138178</v>
          </cell>
          <cell r="KI888">
            <v>91.664884533138178</v>
          </cell>
          <cell r="KJ888">
            <v>91.664884533138178</v>
          </cell>
          <cell r="KK888">
            <v>91.664884533138178</v>
          </cell>
          <cell r="KL888">
            <v>91.664884533138178</v>
          </cell>
          <cell r="KM888">
            <v>91.664884533138192</v>
          </cell>
          <cell r="KN888">
            <v>91.664884533138178</v>
          </cell>
          <cell r="KO888">
            <v>91.664884533138178</v>
          </cell>
          <cell r="KP888">
            <v>91.664884533138178</v>
          </cell>
          <cell r="KQ888">
            <v>91.664884533138178</v>
          </cell>
          <cell r="KR888">
            <v>91.664884533138178</v>
          </cell>
          <cell r="KS888">
            <v>91.664884533138178</v>
          </cell>
          <cell r="KT888">
            <v>91.664884533138178</v>
          </cell>
          <cell r="KU888">
            <v>91.664884533138178</v>
          </cell>
          <cell r="KV888">
            <v>91.664884533138178</v>
          </cell>
          <cell r="KW888">
            <v>91.664884533138178</v>
          </cell>
          <cell r="KX888">
            <v>91.664884533138178</v>
          </cell>
          <cell r="KY888">
            <v>91.664884533138178</v>
          </cell>
          <cell r="KZ888">
            <v>91.664884533138178</v>
          </cell>
          <cell r="LA888">
            <v>91.664884533138178</v>
          </cell>
        </row>
      </sheetData>
      <sheetData sheetId="12">
        <row r="65">
          <cell r="H65">
            <v>13</v>
          </cell>
          <cell r="I65">
            <v>6</v>
          </cell>
          <cell r="J65">
            <v>1</v>
          </cell>
          <cell r="K65">
            <v>1</v>
          </cell>
          <cell r="L65">
            <v>16</v>
          </cell>
          <cell r="M65">
            <v>31</v>
          </cell>
          <cell r="N65">
            <v>37</v>
          </cell>
        </row>
        <row r="66">
          <cell r="H66">
            <v>84256</v>
          </cell>
          <cell r="I66">
            <v>85424</v>
          </cell>
          <cell r="J66">
            <v>86221</v>
          </cell>
          <cell r="K66">
            <v>87362</v>
          </cell>
          <cell r="L66">
            <v>88275</v>
          </cell>
          <cell r="M66">
            <v>87881</v>
          </cell>
          <cell r="N66">
            <v>87230</v>
          </cell>
        </row>
        <row r="67">
          <cell r="H67">
            <v>47</v>
          </cell>
          <cell r="I67">
            <v>47</v>
          </cell>
          <cell r="J67">
            <v>48</v>
          </cell>
          <cell r="K67">
            <v>74</v>
          </cell>
          <cell r="L67">
            <v>72</v>
          </cell>
          <cell r="M67">
            <v>73</v>
          </cell>
          <cell r="N67">
            <v>62</v>
          </cell>
        </row>
        <row r="68">
          <cell r="H68">
            <v>335</v>
          </cell>
          <cell r="I68">
            <v>379</v>
          </cell>
          <cell r="J68">
            <v>426</v>
          </cell>
          <cell r="K68">
            <v>445</v>
          </cell>
          <cell r="L68">
            <v>701</v>
          </cell>
          <cell r="M68">
            <v>828</v>
          </cell>
          <cell r="N68">
            <v>1486</v>
          </cell>
        </row>
        <row r="69"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16</v>
          </cell>
          <cell r="M69">
            <v>22</v>
          </cell>
          <cell r="N69">
            <v>26</v>
          </cell>
        </row>
        <row r="70">
          <cell r="H70">
            <v>2612</v>
          </cell>
          <cell r="I70">
            <v>2575</v>
          </cell>
          <cell r="J70">
            <v>2680</v>
          </cell>
          <cell r="K70">
            <v>2813</v>
          </cell>
          <cell r="L70">
            <v>3149</v>
          </cell>
          <cell r="M70">
            <v>4016</v>
          </cell>
          <cell r="N70">
            <v>5629</v>
          </cell>
        </row>
        <row r="71">
          <cell r="H71">
            <v>87263</v>
          </cell>
          <cell r="I71">
            <v>88431</v>
          </cell>
          <cell r="J71">
            <v>89376</v>
          </cell>
          <cell r="K71">
            <v>90695</v>
          </cell>
          <cell r="L71">
            <v>92229</v>
          </cell>
          <cell r="M71">
            <v>92851</v>
          </cell>
          <cell r="N71">
            <v>94470</v>
          </cell>
        </row>
        <row r="101">
          <cell r="H101">
            <v>51</v>
          </cell>
          <cell r="I101">
            <v>82</v>
          </cell>
          <cell r="J101">
            <v>81</v>
          </cell>
          <cell r="K101">
            <v>67</v>
          </cell>
          <cell r="L101">
            <v>264</v>
          </cell>
          <cell r="M101">
            <v>175</v>
          </cell>
          <cell r="N101">
            <v>613</v>
          </cell>
          <cell r="O101">
            <v>729</v>
          </cell>
          <cell r="P101">
            <v>1725.8855421686749</v>
          </cell>
        </row>
        <row r="108">
          <cell r="H108">
            <v>0</v>
          </cell>
          <cell r="I108">
            <v>0</v>
          </cell>
          <cell r="J108">
            <v>22</v>
          </cell>
          <cell r="K108">
            <v>25</v>
          </cell>
          <cell r="L108">
            <v>17</v>
          </cell>
          <cell r="M108">
            <v>5</v>
          </cell>
          <cell r="N108">
            <v>9</v>
          </cell>
          <cell r="O108">
            <v>63</v>
          </cell>
          <cell r="P108">
            <v>149.15060240963857</v>
          </cell>
        </row>
        <row r="302">
          <cell r="H302">
            <v>280.5161841446361</v>
          </cell>
          <cell r="I302">
            <v>276.39148506767521</v>
          </cell>
          <cell r="J302">
            <v>275.97516959013564</v>
          </cell>
          <cell r="K302">
            <v>274.39975482665022</v>
          </cell>
          <cell r="L302">
            <v>271.41528863955403</v>
          </cell>
          <cell r="M302">
            <v>264.85445625338747</v>
          </cell>
          <cell r="N302">
            <v>260.02895995842573</v>
          </cell>
          <cell r="O302">
            <v>251.42503920543646</v>
          </cell>
          <cell r="P302">
            <v>238.99718555649855</v>
          </cell>
          <cell r="AH302">
            <v>250</v>
          </cell>
          <cell r="BB302">
            <v>250</v>
          </cell>
        </row>
        <row r="359">
          <cell r="H359">
            <v>613.71966026617088</v>
          </cell>
          <cell r="I359">
            <v>583.69848721807477</v>
          </cell>
          <cell r="J359">
            <v>556.65156208107874</v>
          </cell>
          <cell r="K359">
            <v>529.77725941033418</v>
          </cell>
          <cell r="L359">
            <v>504.06568050530461</v>
          </cell>
          <cell r="M359">
            <v>473.50183428692355</v>
          </cell>
          <cell r="N359">
            <v>458.11368430707142</v>
          </cell>
          <cell r="O359">
            <v>445</v>
          </cell>
          <cell r="P359">
            <v>423.00380228136879</v>
          </cell>
          <cell r="AH359">
            <v>339.05011580073744</v>
          </cell>
          <cell r="BB359">
            <v>282.30837818010565</v>
          </cell>
          <cell r="IP359">
            <v>411.32473654986484</v>
          </cell>
          <cell r="IQ359">
            <v>385.6349056364466</v>
          </cell>
          <cell r="IR359">
            <v>374.25916637837986</v>
          </cell>
          <cell r="IS359">
            <v>364.02100104611975</v>
          </cell>
          <cell r="IT359">
            <v>354.80665224708571</v>
          </cell>
          <cell r="IU359">
            <v>346.51373832795502</v>
          </cell>
          <cell r="IV359">
            <v>339.05011580073744</v>
          </cell>
          <cell r="IW359">
            <v>332.33285552624159</v>
          </cell>
          <cell r="IX359">
            <v>326.28732127919534</v>
          </cell>
          <cell r="IY359">
            <v>322.62240935427116</v>
          </cell>
          <cell r="IZ359">
            <v>318.95749742934703</v>
          </cell>
          <cell r="JA359">
            <v>315.2925855044229</v>
          </cell>
          <cell r="JB359">
            <v>313.09363834946839</v>
          </cell>
          <cell r="JC359">
            <v>310.89469119451394</v>
          </cell>
          <cell r="JD359">
            <v>308.69574403955943</v>
          </cell>
          <cell r="JE359">
            <v>306.49679688460498</v>
          </cell>
          <cell r="JF359">
            <v>304.29784972965047</v>
          </cell>
          <cell r="JG359">
            <v>302.09890257469601</v>
          </cell>
          <cell r="JH359">
            <v>299.8999554197415</v>
          </cell>
          <cell r="JI359">
            <v>297.70100826478705</v>
          </cell>
          <cell r="JJ359">
            <v>295.50206110983254</v>
          </cell>
          <cell r="JK359">
            <v>293.30311395487809</v>
          </cell>
          <cell r="JL359">
            <v>291.10416679992358</v>
          </cell>
          <cell r="JM359">
            <v>288.90521964496912</v>
          </cell>
          <cell r="JN359">
            <v>286.70627249001461</v>
          </cell>
          <cell r="JO359">
            <v>284.50732533506016</v>
          </cell>
          <cell r="JP359">
            <v>282.30837818010565</v>
          </cell>
        </row>
        <row r="385">
          <cell r="H385">
            <v>443.92018825762813</v>
          </cell>
          <cell r="I385">
            <v>441.61035537588401</v>
          </cell>
          <cell r="J385">
            <v>439.32013659892169</v>
          </cell>
          <cell r="K385">
            <v>435.00402088924631</v>
          </cell>
          <cell r="L385">
            <v>429.51086280624884</v>
          </cell>
          <cell r="M385">
            <v>417.65225723029982</v>
          </cell>
          <cell r="N385">
            <v>411.78758139961479</v>
          </cell>
          <cell r="O385">
            <v>400</v>
          </cell>
          <cell r="P385">
            <v>380.22813688212926</v>
          </cell>
        </row>
        <row r="428">
          <cell r="H428">
            <v>292.56116086930723</v>
          </cell>
          <cell r="I428">
            <v>310.63093202317373</v>
          </cell>
          <cell r="J428">
            <v>309.57462235682067</v>
          </cell>
          <cell r="K428">
            <v>310.9811120035655</v>
          </cell>
          <cell r="L428">
            <v>311.39537553453039</v>
          </cell>
          <cell r="M428">
            <v>302.79788649196735</v>
          </cell>
          <cell r="N428">
            <v>298.85483720077042</v>
          </cell>
          <cell r="O428">
            <v>290.3</v>
          </cell>
          <cell r="P428">
            <v>275.95057034220531</v>
          </cell>
          <cell r="IQ428">
            <v>275.95057034220531</v>
          </cell>
          <cell r="IR428">
            <v>275.95057034220531</v>
          </cell>
          <cell r="IS428">
            <v>275.95057034220531</v>
          </cell>
          <cell r="IT428">
            <v>275.95057034220531</v>
          </cell>
          <cell r="IU428">
            <v>275.95057034220531</v>
          </cell>
          <cell r="IV428">
            <v>275.95057034220531</v>
          </cell>
          <cell r="IW428">
            <v>275.95057034220531</v>
          </cell>
          <cell r="IX428">
            <v>275.95057034220531</v>
          </cell>
          <cell r="IY428">
            <v>275.95057034220531</v>
          </cell>
          <cell r="IZ428">
            <v>275.95057034220531</v>
          </cell>
          <cell r="JA428">
            <v>275.95057034220531</v>
          </cell>
          <cell r="JB428">
            <v>275.95057034220531</v>
          </cell>
          <cell r="JC428">
            <v>275.95057034220531</v>
          </cell>
          <cell r="JD428">
            <v>275.95057034220531</v>
          </cell>
          <cell r="JE428">
            <v>275.95057034220531</v>
          </cell>
          <cell r="JF428">
            <v>275.95057034220531</v>
          </cell>
          <cell r="JG428">
            <v>275.95057034220531</v>
          </cell>
          <cell r="JH428">
            <v>275.95057034220531</v>
          </cell>
          <cell r="JI428">
            <v>275.95057034220531</v>
          </cell>
          <cell r="JJ428">
            <v>275.95057034220531</v>
          </cell>
          <cell r="JK428">
            <v>275.95057034220531</v>
          </cell>
          <cell r="JL428">
            <v>275.95057034220531</v>
          </cell>
          <cell r="JM428">
            <v>275.95057034220531</v>
          </cell>
          <cell r="JN428">
            <v>275.95057034220531</v>
          </cell>
          <cell r="JO428">
            <v>275.95057034220531</v>
          </cell>
          <cell r="JP428">
            <v>275.95057034220531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P"/>
      <sheetName val="VUL"/>
      <sheetName val="PL"/>
      <sheetName val="Bus et cars"/>
      <sheetName val="Trafics"/>
    </sheetNames>
    <sheetDataSet>
      <sheetData sheetId="0"/>
      <sheetData sheetId="1"/>
      <sheetData sheetId="2"/>
      <sheetData sheetId="3">
        <row r="27">
          <cell r="G27">
            <v>33528.400707877983</v>
          </cell>
        </row>
        <row r="89">
          <cell r="J89">
            <v>0.72190584393168333</v>
          </cell>
        </row>
        <row r="90">
          <cell r="J90">
            <v>0.1220524900666811</v>
          </cell>
        </row>
        <row r="91">
          <cell r="J91">
            <v>0.15126466600163557</v>
          </cell>
        </row>
        <row r="92">
          <cell r="J92">
            <v>4.777E-3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P"/>
      <sheetName val="VUL"/>
      <sheetName val="PL"/>
      <sheetName val="Bus et cars"/>
      <sheetName val="Trafics"/>
    </sheetNames>
    <sheetDataSet>
      <sheetData sheetId="0" refreshError="1"/>
      <sheetData sheetId="1" refreshError="1"/>
      <sheetData sheetId="2" refreshError="1">
        <row r="14">
          <cell r="H14">
            <v>589.19507384858696</v>
          </cell>
          <cell r="I14">
            <v>589.19507384858696</v>
          </cell>
          <cell r="J14">
            <v>589.19507384858696</v>
          </cell>
          <cell r="K14">
            <v>589.19507384858696</v>
          </cell>
          <cell r="L14">
            <v>589.19507384858696</v>
          </cell>
          <cell r="M14">
            <v>589.19507384858696</v>
          </cell>
        </row>
        <row r="20">
          <cell r="H20">
            <v>41498.442999652114</v>
          </cell>
        </row>
        <row r="51">
          <cell r="H51">
            <v>310.05285171935907</v>
          </cell>
        </row>
        <row r="53">
          <cell r="H53">
            <v>144</v>
          </cell>
        </row>
        <row r="83">
          <cell r="J83">
            <v>0.88816560816653389</v>
          </cell>
          <cell r="N83">
            <v>0.12269999999999996</v>
          </cell>
        </row>
        <row r="84">
          <cell r="J84">
            <v>3.7032019721135623E-2</v>
          </cell>
          <cell r="N84">
            <v>6.0000000000000005E-2</v>
          </cell>
        </row>
        <row r="85">
          <cell r="J85">
            <v>6.8002372112330511E-2</v>
          </cell>
          <cell r="N85">
            <v>0.72399999999999998</v>
          </cell>
        </row>
        <row r="86">
          <cell r="J86">
            <v>6.8000000000000005E-3</v>
          </cell>
          <cell r="N86">
            <v>9.3300000000000008E-2</v>
          </cell>
        </row>
      </sheetData>
      <sheetData sheetId="3" refreshError="1">
        <row r="16">
          <cell r="H16">
            <v>90.132739306368876</v>
          </cell>
          <cell r="I16">
            <v>90.683750684931496</v>
          </cell>
          <cell r="J16">
            <v>90.683750684931496</v>
          </cell>
          <cell r="K16">
            <v>90.683750684931496</v>
          </cell>
          <cell r="L16">
            <v>90.683750684931496</v>
          </cell>
          <cell r="M16">
            <v>90.683750684931496</v>
          </cell>
          <cell r="N16">
            <v>90.683750684931496</v>
          </cell>
        </row>
        <row r="89">
          <cell r="N89">
            <v>6.497E-2</v>
          </cell>
        </row>
        <row r="90">
          <cell r="N90">
            <v>0.10950000000000001</v>
          </cell>
        </row>
        <row r="91">
          <cell r="N91">
            <v>0.74743000000000004</v>
          </cell>
        </row>
        <row r="92">
          <cell r="N92">
            <v>7.8100000000000003E-2</v>
          </cell>
        </row>
        <row r="119">
          <cell r="N119">
            <v>5.3636441837285942E-2</v>
          </cell>
        </row>
        <row r="120">
          <cell r="N120">
            <v>9.9906744069977294E-2</v>
          </cell>
        </row>
        <row r="121">
          <cell r="N121">
            <v>0.34138237112557834</v>
          </cell>
        </row>
        <row r="122">
          <cell r="N122">
            <v>5.2679078368750756E-2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 énergie"/>
      <sheetName val="FE_et_bio"/>
      <sheetName val="VP"/>
      <sheetName val="VUL"/>
      <sheetName val="PL"/>
      <sheetName val="donnees parc"/>
      <sheetName val="B&amp;C"/>
      <sheetName val="2RM"/>
      <sheetName val="Autres_modes"/>
      <sheetName val="Aérien"/>
      <sheetName val="Trafic"/>
      <sheetName val="Feuil2"/>
    </sheetNames>
    <sheetDataSet>
      <sheetData sheetId="0"/>
      <sheetData sheetId="1"/>
      <sheetData sheetId="2"/>
      <sheetData sheetId="3">
        <row r="31">
          <cell r="B31" t="str">
            <v>Kilométrage moyen des véhicules immatriculés en France</v>
          </cell>
        </row>
        <row r="33">
          <cell r="B33" t="str">
            <v>Véhicules utilitaires légers pavillon français</v>
          </cell>
          <cell r="C33">
            <v>14155.205133650517</v>
          </cell>
          <cell r="D33">
            <v>14142.022526075238</v>
          </cell>
          <cell r="E33">
            <v>14014.60182971281</v>
          </cell>
          <cell r="F33">
            <v>13943.724649166421</v>
          </cell>
          <cell r="G33">
            <v>14016.29646575092</v>
          </cell>
          <cell r="H33">
            <v>12841.657670982409</v>
          </cell>
        </row>
        <row r="34">
          <cell r="B34" t="str">
            <v>Diesel (y compris hybrides)</v>
          </cell>
          <cell r="C34">
            <v>14591.471106415722</v>
          </cell>
          <cell r="D34">
            <v>14556.488428505245</v>
          </cell>
          <cell r="E34">
            <v>14408.764428399476</v>
          </cell>
          <cell r="F34">
            <v>14321.222930977543</v>
          </cell>
          <cell r="G34">
            <v>14367.169301206677</v>
          </cell>
          <cell r="H34">
            <v>13161.572745873904</v>
          </cell>
        </row>
        <row r="35">
          <cell r="B35" t="str">
            <v>Essence et autres énergies</v>
          </cell>
          <cell r="C35">
            <v>5640.5541617532672</v>
          </cell>
          <cell r="D35">
            <v>5736.8530076139932</v>
          </cell>
          <cell r="E35">
            <v>5794.2706947930556</v>
          </cell>
          <cell r="F35">
            <v>6042.1034442581777</v>
          </cell>
          <cell r="G35">
            <v>6623.6434568762934</v>
          </cell>
          <cell r="H35">
            <v>6265.196941207967</v>
          </cell>
        </row>
        <row r="111">
          <cell r="H111">
            <v>76.295358230000005</v>
          </cell>
          <cell r="J111">
            <v>67.638589744315567</v>
          </cell>
          <cell r="N111">
            <v>59.262498185209232</v>
          </cell>
        </row>
        <row r="112">
          <cell r="H112">
            <v>91.042172129999997</v>
          </cell>
          <cell r="J112">
            <v>78.429427913188462</v>
          </cell>
          <cell r="N112">
            <v>70.555784506700249</v>
          </cell>
        </row>
        <row r="113">
          <cell r="H113">
            <v>35</v>
          </cell>
          <cell r="J113">
            <v>29.916912749088301</v>
          </cell>
          <cell r="N113">
            <v>23.759855621456214</v>
          </cell>
        </row>
        <row r="131">
          <cell r="H131">
            <v>4.7577980725948343</v>
          </cell>
          <cell r="J131">
            <v>4.2059090906931935</v>
          </cell>
          <cell r="N131">
            <v>0</v>
          </cell>
        </row>
        <row r="132">
          <cell r="H132">
            <v>0</v>
          </cell>
          <cell r="J132">
            <v>0</v>
          </cell>
          <cell r="N132">
            <v>0</v>
          </cell>
        </row>
        <row r="133">
          <cell r="H133">
            <v>1.6605275537277562E-2</v>
          </cell>
          <cell r="J133">
            <v>0.30283892547813063</v>
          </cell>
          <cell r="N133">
            <v>1.6831102451688524</v>
          </cell>
        </row>
        <row r="134">
          <cell r="H134">
            <v>0</v>
          </cell>
          <cell r="J134">
            <v>0</v>
          </cell>
          <cell r="N134">
            <v>0</v>
          </cell>
        </row>
      </sheetData>
      <sheetData sheetId="4">
        <row r="31">
          <cell r="B31" t="str">
            <v>Kilométrage moyen des véhicules immatriculés en France</v>
          </cell>
        </row>
        <row r="33">
          <cell r="B33" t="str">
            <v>Poids lourds pavillon français</v>
          </cell>
          <cell r="C33">
            <v>43413.608805479693</v>
          </cell>
          <cell r="D33">
            <v>44046.79149535171</v>
          </cell>
          <cell r="E33">
            <v>44322.400564653763</v>
          </cell>
          <cell r="F33">
            <v>44526.445351313632</v>
          </cell>
          <cell r="G33">
            <v>43689.413860143904</v>
          </cell>
          <cell r="H33">
            <v>41498.442999652114</v>
          </cell>
        </row>
        <row r="34">
          <cell r="B34" t="str">
            <v>Diesel</v>
          </cell>
          <cell r="C34">
            <v>43492.369892292671</v>
          </cell>
          <cell r="D34">
            <v>44119.951814252614</v>
          </cell>
          <cell r="E34">
            <v>44376.1721222497</v>
          </cell>
          <cell r="F34">
            <v>44549.370242353463</v>
          </cell>
          <cell r="G34">
            <v>43714.904662971268</v>
          </cell>
          <cell r="H34">
            <v>41466.359574650829</v>
          </cell>
        </row>
        <row r="35">
          <cell r="B35" t="str">
            <v>GNV</v>
          </cell>
          <cell r="C35">
            <v>20606.92781391431</v>
          </cell>
          <cell r="D35">
            <v>26482.184863120907</v>
          </cell>
          <cell r="E35">
            <v>36011.957352358106</v>
          </cell>
          <cell r="F35">
            <v>44078.084087042909</v>
          </cell>
          <cell r="G35">
            <v>43178.221300861485</v>
          </cell>
          <cell r="H35">
            <v>46971.014560497242</v>
          </cell>
        </row>
        <row r="36">
          <cell r="B36" t="str">
            <v>Electrique</v>
          </cell>
          <cell r="C36">
            <v>9335.8557504889541</v>
          </cell>
          <cell r="D36">
            <v>9140.9805688869019</v>
          </cell>
          <cell r="E36">
            <v>10438.074609264835</v>
          </cell>
          <cell r="F36">
            <v>7687.0714579282767</v>
          </cell>
          <cell r="G36">
            <v>3408.4367904104456</v>
          </cell>
          <cell r="H36">
            <v>2056.0068723453123</v>
          </cell>
        </row>
        <row r="221">
          <cell r="H221">
            <v>324.23227809029913</v>
          </cell>
          <cell r="J221">
            <v>282.40643496712039</v>
          </cell>
          <cell r="N221">
            <v>236.43974712643688</v>
          </cell>
        </row>
        <row r="233">
          <cell r="H233">
            <v>384.19721531875763</v>
          </cell>
          <cell r="J233">
            <v>348.31467553751264</v>
          </cell>
          <cell r="N233">
            <v>345</v>
          </cell>
        </row>
        <row r="234">
          <cell r="H234">
            <v>144</v>
          </cell>
          <cell r="J234">
            <v>134.87113796766499</v>
          </cell>
          <cell r="N234">
            <v>117.39239911873899</v>
          </cell>
        </row>
        <row r="255">
          <cell r="H255">
            <v>9.5780247031795955</v>
          </cell>
          <cell r="J255">
            <v>6.6239451840899184</v>
          </cell>
          <cell r="N255">
            <v>0.94864327546009108</v>
          </cell>
        </row>
        <row r="256">
          <cell r="H256">
            <v>0.10599655045981103</v>
          </cell>
          <cell r="J256">
            <v>0.38904032525273469</v>
          </cell>
          <cell r="N256">
            <v>0.43256518575469827</v>
          </cell>
        </row>
        <row r="257">
          <cell r="H257">
            <v>6.2729826437017385E-4</v>
          </cell>
          <cell r="J257">
            <v>0.45192162490290411</v>
          </cell>
          <cell r="N257">
            <v>2.0606322000980235</v>
          </cell>
        </row>
        <row r="258">
          <cell r="H258">
            <v>3.019234586821296E-6</v>
          </cell>
          <cell r="J258">
            <v>5.8579766779006462E-2</v>
          </cell>
          <cell r="N258">
            <v>0.34737617421580785</v>
          </cell>
        </row>
      </sheetData>
      <sheetData sheetId="5"/>
      <sheetData sheetId="6">
        <row r="102">
          <cell r="F102">
            <v>331.48517369065064</v>
          </cell>
          <cell r="G102">
            <v>327.50735160636276</v>
          </cell>
          <cell r="H102">
            <v>324.23227809029913</v>
          </cell>
          <cell r="I102">
            <v>313.11406778687785</v>
          </cell>
          <cell r="J102">
            <v>282.40643496712039</v>
          </cell>
          <cell r="K102">
            <v>268.67766483516505</v>
          </cell>
          <cell r="L102">
            <v>255.29914285714315</v>
          </cell>
          <cell r="M102">
            <v>243.76690434782594</v>
          </cell>
          <cell r="N102">
            <v>236.43974712643688</v>
          </cell>
        </row>
        <row r="103">
          <cell r="F103">
            <v>388.58681014237294</v>
          </cell>
          <cell r="G103">
            <v>386.22451597517738</v>
          </cell>
          <cell r="H103">
            <v>384.19721531875763</v>
          </cell>
          <cell r="I103">
            <v>362.44502617435916</v>
          </cell>
          <cell r="J103">
            <v>348.31467553751264</v>
          </cell>
          <cell r="K103">
            <v>344.94441574199601</v>
          </cell>
          <cell r="L103">
            <v>345</v>
          </cell>
          <cell r="M103">
            <v>345</v>
          </cell>
          <cell r="N103">
            <v>345</v>
          </cell>
        </row>
        <row r="104">
          <cell r="F104">
            <v>144</v>
          </cell>
          <cell r="G104">
            <v>144</v>
          </cell>
          <cell r="H104">
            <v>144</v>
          </cell>
          <cell r="I104">
            <v>137.35268007111199</v>
          </cell>
          <cell r="J104">
            <v>134.87113796766499</v>
          </cell>
          <cell r="K104">
            <v>131.699781103254</v>
          </cell>
          <cell r="L104">
            <v>126.819091837681</v>
          </cell>
          <cell r="M104">
            <v>121.44905669769101</v>
          </cell>
          <cell r="N104">
            <v>117.39239911873899</v>
          </cell>
        </row>
        <row r="105">
          <cell r="F105">
            <v>230.43599999999998</v>
          </cell>
          <cell r="G105">
            <v>230.43599999999998</v>
          </cell>
          <cell r="H105">
            <v>230.43599999999998</v>
          </cell>
          <cell r="I105">
            <v>223.10999999999999</v>
          </cell>
          <cell r="J105">
            <v>209.78999999999996</v>
          </cell>
          <cell r="K105">
            <v>199.79999999999998</v>
          </cell>
          <cell r="L105">
            <v>189.81</v>
          </cell>
          <cell r="M105">
            <v>183.14999999999998</v>
          </cell>
          <cell r="N105">
            <v>173.16</v>
          </cell>
        </row>
        <row r="114">
          <cell r="G114">
            <v>0.88231264405922938</v>
          </cell>
          <cell r="H114">
            <v>0.63379912932991633</v>
          </cell>
          <cell r="J114">
            <v>0.71006307640604172</v>
          </cell>
        </row>
        <row r="115">
          <cell r="G115">
            <v>3.6031307587790107E-2</v>
          </cell>
          <cell r="H115">
            <v>3.0861928604612159E-2</v>
          </cell>
          <cell r="J115">
            <v>0.1301832410958241</v>
          </cell>
        </row>
        <row r="116">
          <cell r="G116">
            <v>2.8515938246124264E-3</v>
          </cell>
          <cell r="H116">
            <v>2.718975053414049E-3</v>
          </cell>
          <cell r="J116">
            <v>6.8738634803628101E-2</v>
          </cell>
        </row>
        <row r="117">
          <cell r="G117">
            <v>0</v>
          </cell>
          <cell r="H117">
            <v>0</v>
          </cell>
          <cell r="J117">
            <v>7.1281266018088365E-3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maire"/>
      <sheetName val="G1.a "/>
      <sheetName val="G1.b "/>
      <sheetName val="G1-c "/>
      <sheetName val="G1-d "/>
      <sheetName val="G2.a"/>
      <sheetName val="G2.b"/>
      <sheetName val="G2.c"/>
      <sheetName val="G2.d"/>
      <sheetName val="G2.e"/>
      <sheetName val="G2.f"/>
      <sheetName val="G2.g"/>
      <sheetName val="G2.h"/>
      <sheetName val="G2.i"/>
      <sheetName val="G3.a"/>
      <sheetName val="G3.b"/>
      <sheetName val="G4.a"/>
      <sheetName val="G4.b"/>
      <sheetName val="G4.c"/>
      <sheetName val="G4.d"/>
      <sheetName val="G4.e"/>
      <sheetName val="G4.f"/>
      <sheetName val="G4.g"/>
      <sheetName val="G4.h"/>
      <sheetName val="G4.i"/>
      <sheetName val="G4.j"/>
      <sheetName val="G4.k"/>
      <sheetName val="G4.l"/>
      <sheetName val="G4.m"/>
      <sheetName val="G4.n"/>
      <sheetName val="G4.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5">
          <cell r="S15">
            <v>5119.0149321516046</v>
          </cell>
          <cell r="T15">
            <v>5155.9694954204606</v>
          </cell>
          <cell r="U15">
            <v>5182.363901741368</v>
          </cell>
          <cell r="V15">
            <v>5221.075222244478</v>
          </cell>
          <cell r="W15">
            <v>5280.5115720432232</v>
          </cell>
          <cell r="X15">
            <v>5295.6045870985317</v>
          </cell>
          <cell r="Y15">
            <v>5430.3343558111856</v>
          </cell>
          <cell r="Z15">
            <v>5585.3535423109497</v>
          </cell>
          <cell r="AA15">
            <v>5676.203017464064</v>
          </cell>
          <cell r="AB15">
            <v>5770.7285637053637</v>
          </cell>
          <cell r="AC15">
            <v>5905.8251667411778</v>
          </cell>
          <cell r="AD15">
            <v>6016.3430764482991</v>
          </cell>
          <cell r="AE15">
            <v>5930.384221321814</v>
          </cell>
          <cell r="AF15">
            <v>5856.940352966375</v>
          </cell>
          <cell r="AG15">
            <v>5976.6656523813153</v>
          </cell>
        </row>
        <row r="25">
          <cell r="R25">
            <v>579.50675328570037</v>
          </cell>
          <cell r="S25">
            <v>583.78528697904017</v>
          </cell>
          <cell r="T25">
            <v>583.08198683063608</v>
          </cell>
          <cell r="U25">
            <v>572.57614554877296</v>
          </cell>
          <cell r="V25">
            <v>573.47627406476624</v>
          </cell>
          <cell r="W25">
            <v>581.28016712328781</v>
          </cell>
          <cell r="X25">
            <v>582.33796992756447</v>
          </cell>
          <cell r="Y25">
            <v>572.56413397912377</v>
          </cell>
          <cell r="Z25">
            <v>572.40554217067199</v>
          </cell>
          <cell r="AA25">
            <v>569.38979137312674</v>
          </cell>
          <cell r="AB25">
            <v>572.03446982802313</v>
          </cell>
          <cell r="AC25">
            <v>577.3662958495571</v>
          </cell>
          <cell r="AD25">
            <v>585.92187077611425</v>
          </cell>
          <cell r="AE25">
            <v>591.10937499721194</v>
          </cell>
          <cell r="AF25">
            <v>590.37240183981817</v>
          </cell>
        </row>
        <row r="29">
          <cell r="R29">
            <v>83.370884508394809</v>
          </cell>
          <cell r="S29">
            <v>83.308735014922576</v>
          </cell>
          <cell r="T29">
            <v>83.47836238753932</v>
          </cell>
          <cell r="U29">
            <v>83.909566567147792</v>
          </cell>
          <cell r="V29">
            <v>84.562429723533782</v>
          </cell>
          <cell r="W29">
            <v>85.574448113806255</v>
          </cell>
          <cell r="X29">
            <v>86.15257377049187</v>
          </cell>
          <cell r="Y29">
            <v>86.548491780821948</v>
          </cell>
          <cell r="Z29">
            <v>87.60849726027395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gend"/>
      <sheetName val="BaselineHypotheses"/>
      <sheetName val="Supply_Use_dom"/>
      <sheetName val="Supply_Use_foreign"/>
      <sheetName val="OTH_VARIABLE"/>
      <sheetName val="INV_MAT"/>
      <sheetName val="Adjustment"/>
      <sheetName val="ELAS_wage"/>
      <sheetName val="ELAS_L1_KLEM"/>
      <sheetName val="ELAS_L2_NRJ"/>
      <sheetName val="ELAS_L2_TRANSPORT"/>
      <sheetName val="ELAS_TRANSP_MARGIN"/>
      <sheetName val="ELAS_L3_IMP_DOM"/>
      <sheetName val="ELAS_INVEST"/>
      <sheetName val="ELAS_EXPORT"/>
      <sheetName val="ELAS_OTHER"/>
      <sheetName val="ELAS_Hybrid_BUILNRJ"/>
      <sheetName val="Household"/>
      <sheetName val="Household_Hybrid_BUIL"/>
      <sheetName val="Household_Hybrid_TRANSITION"/>
      <sheetName val="Household_Hybrid_AUTO"/>
      <sheetName val="Donnees_energie"/>
      <sheetName val="exo_realistic_Hybrid"/>
      <sheetName val="exo_realistic_1"/>
      <sheetName val="mix énergie graphs"/>
      <sheetName val="hypotheses SNBC"/>
      <sheetName val="WEO AIE"/>
      <sheetName val="Demography"/>
      <sheetName val="CU énergie"/>
      <sheetName val="phi_calculation"/>
      <sheetName val="Energy 2010"/>
      <sheetName val="EnergyIndus"/>
      <sheetName val="GHG_Emissions"/>
      <sheetName val="FOOTPRINT"/>
      <sheetName val="M_footprint"/>
      <sheetName val="imports"/>
      <sheetName val="ThreeME V1_V2"/>
      <sheetName val="technical_coef_variation"/>
      <sheetName val="technical_coef_variation_2"/>
    </sheetNames>
    <sheetDataSet>
      <sheetData sheetId="0" refreshError="1"/>
      <sheetData sheetId="1">
        <row r="3">
          <cell r="B3">
            <v>1.6055323459164939E-2</v>
          </cell>
        </row>
      </sheetData>
      <sheetData sheetId="2">
        <row r="41">
          <cell r="T41">
            <v>60247.363181807559</v>
          </cell>
        </row>
      </sheetData>
      <sheetData sheetId="3" refreshError="1"/>
      <sheetData sheetId="4" refreshError="1"/>
      <sheetData sheetId="5">
        <row r="6">
          <cell r="R6">
            <v>566.4781437843227</v>
          </cell>
          <cell r="S6">
            <v>1601.1542222912904</v>
          </cell>
        </row>
        <row r="8">
          <cell r="S8">
            <v>0.12181852239934135</v>
          </cell>
        </row>
        <row r="15">
          <cell r="R15">
            <v>630.12582520051239</v>
          </cell>
          <cell r="S15">
            <v>1781.0548150269276</v>
          </cell>
        </row>
        <row r="16">
          <cell r="R16">
            <v>228.67710911514766</v>
          </cell>
          <cell r="S16">
            <v>646.35736227184339</v>
          </cell>
        </row>
        <row r="22">
          <cell r="R22">
            <v>290.35886298430796</v>
          </cell>
          <cell r="S22">
            <v>820.70124778552713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59">
          <cell r="D59">
            <v>0.73064388863823404</v>
          </cell>
          <cell r="E59">
            <v>0.28277926666666664</v>
          </cell>
          <cell r="F59">
            <v>2.5772335197583537E-2</v>
          </cell>
        </row>
        <row r="60">
          <cell r="D60">
            <v>16.473831367701337</v>
          </cell>
          <cell r="E60">
            <v>8.3333333333333329E-2</v>
          </cell>
          <cell r="F60">
            <v>2.5242464568946806E-2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maire"/>
      <sheetName val="E1.a"/>
      <sheetName val="E1.b"/>
      <sheetName val="E2.a"/>
      <sheetName val="E2.b"/>
      <sheetName val="E3.a"/>
      <sheetName val="E3.b"/>
      <sheetName val="E3.c"/>
      <sheetName val="E4.a"/>
      <sheetName val="E4.b"/>
      <sheetName val="E4.c"/>
      <sheetName val="E4.d"/>
      <sheetName val="E5.a"/>
      <sheetName val="E5.b"/>
      <sheetName val="E5.c"/>
      <sheetName val="E5.d"/>
      <sheetName val="E6.a"/>
      <sheetName val="E6.b"/>
      <sheetName val="E6.c"/>
      <sheetName val="E7.a"/>
      <sheetName val="E7.b"/>
      <sheetName val="E7.c"/>
      <sheetName val="E8.a"/>
      <sheetName val="E8.b"/>
      <sheetName val="E8.c"/>
    </sheetNames>
    <sheetDataSet>
      <sheetData sheetId="0"/>
      <sheetData sheetId="1"/>
      <sheetData sheetId="2"/>
      <sheetData sheetId="3">
        <row r="3">
          <cell r="X3">
            <v>2006</v>
          </cell>
        </row>
        <row r="5">
          <cell r="X5">
            <v>204.579897943709</v>
          </cell>
          <cell r="Y5">
            <v>213.67587457285799</v>
          </cell>
          <cell r="Z5">
            <v>203.96486732542101</v>
          </cell>
          <cell r="AA5">
            <v>176.98912395914999</v>
          </cell>
          <cell r="AB5">
            <v>186.316913909189</v>
          </cell>
          <cell r="AC5">
            <v>190.743423843009</v>
          </cell>
          <cell r="AD5">
            <v>178.90116317016199</v>
          </cell>
          <cell r="AE5">
            <v>178.619136150815</v>
          </cell>
          <cell r="AF5">
            <v>174.069125380625</v>
          </cell>
          <cell r="AG5">
            <v>164.665687858517</v>
          </cell>
          <cell r="AH5">
            <v>167.92375135145429</v>
          </cell>
          <cell r="AI5">
            <v>180.39293880177638</v>
          </cell>
          <cell r="AJ5">
            <v>186.39185065564317</v>
          </cell>
        </row>
        <row r="14">
          <cell r="X14">
            <v>328.31053952344598</v>
          </cell>
          <cell r="Y14">
            <v>340.86517427341403</v>
          </cell>
          <cell r="Z14">
            <v>327.453616289639</v>
          </cell>
          <cell r="AA14">
            <v>284.486543985558</v>
          </cell>
          <cell r="AB14">
            <v>301.08508231604401</v>
          </cell>
          <cell r="AC14">
            <v>301.95206886146298</v>
          </cell>
          <cell r="AD14">
            <v>285.90828242319401</v>
          </cell>
          <cell r="AE14">
            <v>288.61794456426497</v>
          </cell>
          <cell r="AF14">
            <v>288.53234107900755</v>
          </cell>
          <cell r="AG14">
            <v>281.92484480309156</v>
          </cell>
          <cell r="AH14">
            <v>289.01068657781599</v>
          </cell>
          <cell r="AI14">
            <v>308.28884234000623</v>
          </cell>
        </row>
        <row r="15">
          <cell r="X15">
            <v>209.36113294370901</v>
          </cell>
          <cell r="Y15">
            <v>218.70168757285799</v>
          </cell>
          <cell r="Z15">
            <v>209.46773432542099</v>
          </cell>
          <cell r="AA15">
            <v>183.19708826861</v>
          </cell>
          <cell r="AB15">
            <v>192.68291390918901</v>
          </cell>
          <cell r="AC15">
            <v>196.89442384300901</v>
          </cell>
          <cell r="AD15">
            <v>185.301163170162</v>
          </cell>
          <cell r="AE15">
            <v>185.91913615081501</v>
          </cell>
          <cell r="AF15">
            <v>181.76912538062498</v>
          </cell>
          <cell r="AG15">
            <v>173.165687858517</v>
          </cell>
          <cell r="AH15">
            <v>177.82375135145429</v>
          </cell>
          <cell r="AI15">
            <v>191.99293880177638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yles"/>
      <sheetName val="sommaire"/>
      <sheetName val="D1"/>
      <sheetName val="D2.a"/>
      <sheetName val="D2.b"/>
      <sheetName val="D2.c"/>
      <sheetName val="D2.d"/>
      <sheetName val="D2.e"/>
      <sheetName val="D3.1.1"/>
      <sheetName val="D3.1.2"/>
      <sheetName val="D3.2-a"/>
      <sheetName val="D3.2-b"/>
      <sheetName val="D4.1-a"/>
      <sheetName val="D4.1-b"/>
      <sheetName val="D4.1-c"/>
      <sheetName val="D4.2-a"/>
      <sheetName val="D4.2-b"/>
      <sheetName val="D4.2-c"/>
      <sheetName val="D4.2-d"/>
      <sheetName val="D4.2-e"/>
      <sheetName val="D4.2-f"/>
      <sheetName val="D4.2-g"/>
      <sheetName val="D4.2-h"/>
      <sheetName val="D4.2-i"/>
      <sheetName val="D4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">
          <cell r="R5">
            <v>0.20499999999999999</v>
          </cell>
        </row>
        <row r="8">
          <cell r="R8">
            <v>0.48485857467806903</v>
          </cell>
          <cell r="S8">
            <v>0.44401187538122505</v>
          </cell>
          <cell r="T8">
            <v>0.39352473544305905</v>
          </cell>
          <cell r="U8">
            <v>0.34891599299071302</v>
          </cell>
          <cell r="V8">
            <v>0.316145398020996</v>
          </cell>
          <cell r="W8">
            <v>0.263635392532306</v>
          </cell>
          <cell r="X8">
            <v>0.214074840287164</v>
          </cell>
          <cell r="Y8">
            <v>0.18292969278889801</v>
          </cell>
          <cell r="Z8">
            <v>0.16298755334973802</v>
          </cell>
          <cell r="AA8">
            <v>0.14694565519052999</v>
          </cell>
          <cell r="AB8">
            <v>0.13074827361173402</v>
          </cell>
          <cell r="AC8">
            <v>0.12786517238666689</v>
          </cell>
        </row>
        <row r="10">
          <cell r="R10">
            <v>6.1943987912298404</v>
          </cell>
          <cell r="S10">
            <v>6.2721613941613699</v>
          </cell>
          <cell r="T10">
            <v>6.2889662080747701</v>
          </cell>
          <cell r="U10">
            <v>6.4214674103683196</v>
          </cell>
          <cell r="V10">
            <v>6.7045101356568804</v>
          </cell>
          <cell r="W10">
            <v>6.8493075340574299</v>
          </cell>
          <cell r="X10">
            <v>6.8768211146100997</v>
          </cell>
          <cell r="Y10">
            <v>6.9044478219440197</v>
          </cell>
          <cell r="Z10">
            <v>6.9473394545746698</v>
          </cell>
          <cell r="AA10">
            <v>7.09223276367503</v>
          </cell>
          <cell r="AB10">
            <v>7.0876632443485601</v>
          </cell>
          <cell r="AC10">
            <v>7.3460403325252894</v>
          </cell>
        </row>
        <row r="11">
          <cell r="R11">
            <v>9.7469073351267994</v>
          </cell>
          <cell r="S11">
            <v>9.9751970256745395</v>
          </cell>
          <cell r="T11">
            <v>8.8737992352277697</v>
          </cell>
          <cell r="U11">
            <v>7.9381078618807104</v>
          </cell>
          <cell r="V11">
            <v>8.3168070271927697</v>
          </cell>
          <cell r="W11">
            <v>8.4891466672836096</v>
          </cell>
          <cell r="X11">
            <v>7.8537291623003798</v>
          </cell>
          <cell r="Y11">
            <v>7.8205689734217101</v>
          </cell>
          <cell r="Z11">
            <v>7.6636729103925196</v>
          </cell>
          <cell r="AA11">
            <v>7.55774687118865</v>
          </cell>
          <cell r="AB11">
            <v>7.6469927730398002</v>
          </cell>
          <cell r="AC11">
            <v>7.9055000497647212</v>
          </cell>
        </row>
        <row r="12">
          <cell r="R12">
            <v>4.7666666666666697E-2</v>
          </cell>
          <cell r="S12">
            <v>4.33333333333333E-2</v>
          </cell>
          <cell r="T12">
            <v>4.0666666666666698E-2</v>
          </cell>
          <cell r="U12">
            <v>3.6333333333333301E-2</v>
          </cell>
          <cell r="V12">
            <v>4.2000000000000003E-2</v>
          </cell>
          <cell r="W12">
            <v>4.6666666666666697E-2</v>
          </cell>
          <cell r="X12">
            <v>4.2000000000000003E-2</v>
          </cell>
          <cell r="Y12">
            <v>3.7333333333333302E-2</v>
          </cell>
          <cell r="Z12">
            <v>3.3333333333333298E-2</v>
          </cell>
          <cell r="AA12">
            <v>2.9666666666666699E-2</v>
          </cell>
          <cell r="AB12">
            <v>2.6333333333333299E-2</v>
          </cell>
          <cell r="AC12">
            <v>2.3333333333333334E-2</v>
          </cell>
        </row>
        <row r="13">
          <cell r="R13">
            <v>1.19036157349897E-2</v>
          </cell>
          <cell r="S13">
            <v>1.3391567701863399E-2</v>
          </cell>
          <cell r="T13">
            <v>1.6367471635610701E-2</v>
          </cell>
          <cell r="U13">
            <v>1.6367471635610701E-2</v>
          </cell>
          <cell r="V13">
            <v>1.71114476190476E-2</v>
          </cell>
          <cell r="W13">
            <v>1.8734876190476198E-2</v>
          </cell>
          <cell r="X13">
            <v>2.10888761904762E-2</v>
          </cell>
          <cell r="Y13">
            <v>2.3650876190476199E-2</v>
          </cell>
          <cell r="Z13">
            <v>2.5520419047619002E-2</v>
          </cell>
          <cell r="AA13">
            <v>2.6778704761904699E-2</v>
          </cell>
          <cell r="AB13">
            <v>2.7739047619047601E-2</v>
          </cell>
          <cell r="AC13">
            <v>3.5999999999999997E-2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LLONNEC Gaël" id="{D5D6C91B-80AB-4EED-A6E9-B13695C111D1}" userId="S::gael.callonnec@ademe.fr::4645a0ba-fe23-43a5-8781-2fec62c78cfd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2" dT="2023-10-04T11:12:20.83" personId="{D5D6C91B-80AB-4EED-A6E9-B13695C111D1}" id="{D9AA64D4-74A7-4418-A996-522D83A62B2C}">
    <text>Ces cibles correspondent à la chronique d'investissement AMS-PE d'I4CE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2" dT="2023-10-04T11:12:20.83" personId="{D5D6C91B-80AB-4EED-A6E9-B13695C111D1}" id="{3AD19CAF-2B57-404F-96AE-EF3454B5E532}">
    <text>Ces cibles correspondent à la chronique d'investissement AMS-PE d'I4CE</text>
  </threadedComment>
  <threadedComment ref="A48" dT="2023-10-04T11:12:20.83" personId="{D5D6C91B-80AB-4EED-A6E9-B13695C111D1}" id="{199E7535-D0EE-4B4B-8D42-EBE8C9961E55}">
    <text>Ces cibles correspondent à la chronique d'investissement AMS-PE d'I4CE</text>
  </threadedComment>
  <threadedComment ref="A55" dT="2023-10-04T11:12:20.83" personId="{D5D6C91B-80AB-4EED-A6E9-B13695C111D1}" id="{B4EB7289-8E3C-4D19-8454-5CBD6284F769}">
    <text>Ces cibles correspondent à la chronique d'investissement AMS-PE d'I4CE</text>
  </threadedComment>
  <threadedComment ref="A61" dT="2023-10-04T11:12:20.83" personId="{D5D6C91B-80AB-4EED-A6E9-B13695C111D1}" id="{4B794542-9841-4301-8D77-D43A0888CB0E}">
    <text>Ces cibles correspondent à la chronique d'investissement AMS-PE d'I4CE</text>
  </threadedComment>
  <threadedComment ref="A192" dT="2023-10-04T11:12:20.83" personId="{D5D6C91B-80AB-4EED-A6E9-B13695C111D1}" id="{0539E1C1-A145-4A86-9382-9D90D2D3BD0C}">
    <text>Ces cibles correspondent à la chronique d'investissement AMS-PE d'I4CE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7272-D7D6-49D7-85DA-B5EEEB86D1E3}">
  <dimension ref="A1:AV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V78"/>
    </sheetView>
  </sheetViews>
  <sheetFormatPr baseColWidth="10" defaultRowHeight="15"/>
  <cols>
    <col min="1" max="1" width="27.85546875" customWidth="1"/>
  </cols>
  <sheetData>
    <row r="1" spans="1:48">
      <c r="A1" s="52"/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>
      <c r="A2" t="s">
        <v>10</v>
      </c>
      <c r="B2">
        <v>4697.3438652348796</v>
      </c>
      <c r="C2">
        <v>4772.7612403901503</v>
      </c>
      <c r="D2">
        <v>4852.9099839999999</v>
      </c>
      <c r="E2">
        <v>4694.9008370000001</v>
      </c>
      <c r="F2">
        <v>4425.2135740000003</v>
      </c>
      <c r="G2">
        <v>3423.388379</v>
      </c>
      <c r="H2">
        <v>4321.1678449999999</v>
      </c>
      <c r="I2">
        <v>4982.1310240000003</v>
      </c>
      <c r="J2">
        <v>4494.994893</v>
      </c>
      <c r="K2">
        <v>3816.4861500000002</v>
      </c>
      <c r="L2">
        <v>4474.4239239999997</v>
      </c>
      <c r="M2">
        <v>4485.6423370000002</v>
      </c>
      <c r="N2">
        <v>4685.8661309999998</v>
      </c>
      <c r="O2">
        <v>5083.4298019999997</v>
      </c>
      <c r="P2">
        <v>5401.4142579999998</v>
      </c>
      <c r="Q2">
        <v>5240.5174999999999</v>
      </c>
      <c r="R2">
        <v>5151.3029749999996</v>
      </c>
      <c r="S2">
        <v>5626.8684380000004</v>
      </c>
      <c r="T2">
        <v>5348.3165019999997</v>
      </c>
      <c r="U2">
        <v>5489.5756950000005</v>
      </c>
      <c r="V2">
        <v>5280.1627049999997</v>
      </c>
      <c r="W2">
        <v>5194.0692280000003</v>
      </c>
      <c r="X2">
        <v>5146.5592850000003</v>
      </c>
      <c r="Y2">
        <v>5293.473344</v>
      </c>
      <c r="Z2">
        <v>5381.5838320000003</v>
      </c>
      <c r="AA2">
        <v>5487.9661459999998</v>
      </c>
      <c r="AB2">
        <v>5604.2736759999998</v>
      </c>
      <c r="AC2">
        <v>5710.827961</v>
      </c>
      <c r="AD2">
        <v>5816.9860639999997</v>
      </c>
      <c r="AE2">
        <v>5951.3768790000004</v>
      </c>
      <c r="AF2">
        <v>6072.4241220000004</v>
      </c>
      <c r="AG2">
        <v>6172.8386549999996</v>
      </c>
      <c r="AH2">
        <v>6357.2310269999998</v>
      </c>
      <c r="AI2">
        <v>6480.0453150000003</v>
      </c>
      <c r="AJ2">
        <v>6604.4931049999996</v>
      </c>
      <c r="AK2">
        <v>6722.549051</v>
      </c>
      <c r="AL2">
        <v>6835.1879200000003</v>
      </c>
      <c r="AM2">
        <v>6949.1242849999999</v>
      </c>
      <c r="AN2">
        <v>7103.3793189999997</v>
      </c>
      <c r="AO2">
        <v>7223.5441609999998</v>
      </c>
      <c r="AP2">
        <v>7341.5824570000004</v>
      </c>
      <c r="AQ2">
        <v>7450.9731460000003</v>
      </c>
      <c r="AR2">
        <v>7582.7718290000003</v>
      </c>
      <c r="AS2">
        <v>7687.1014809999997</v>
      </c>
      <c r="AT2">
        <v>7791.1519799999996</v>
      </c>
      <c r="AU2">
        <v>7890.8841929999999</v>
      </c>
      <c r="AV2">
        <v>7998.8047800000004</v>
      </c>
    </row>
    <row r="3" spans="1:48">
      <c r="A3" t="s">
        <v>303</v>
      </c>
      <c r="B3">
        <v>1550.95234488084</v>
      </c>
      <c r="C3">
        <v>1575.8533864476501</v>
      </c>
      <c r="D3">
        <v>1602.8208529999999</v>
      </c>
      <c r="E3">
        <v>1455.633542</v>
      </c>
      <c r="F3">
        <v>1294.2094999999999</v>
      </c>
      <c r="G3">
        <v>955.9777636</v>
      </c>
      <c r="H3">
        <v>1324.7749080000001</v>
      </c>
      <c r="I3">
        <v>1565.1016540000001</v>
      </c>
      <c r="J3">
        <v>1351.5544560000001</v>
      </c>
      <c r="K3">
        <v>981.75878049999994</v>
      </c>
      <c r="L3">
        <v>1291.874787</v>
      </c>
      <c r="M3">
        <v>1194.0698870000001</v>
      </c>
      <c r="N3">
        <v>1384.8384679999999</v>
      </c>
      <c r="O3">
        <v>1486.7208009999999</v>
      </c>
      <c r="P3">
        <v>1613.570373</v>
      </c>
      <c r="Q3">
        <v>1518.5823359999999</v>
      </c>
      <c r="R3">
        <v>1463.0177249999999</v>
      </c>
      <c r="S3">
        <v>1669.8614889999999</v>
      </c>
      <c r="T3">
        <v>1523.4326840000001</v>
      </c>
      <c r="U3">
        <v>1575.8391019999999</v>
      </c>
      <c r="V3">
        <v>1466.1493399999999</v>
      </c>
      <c r="W3">
        <v>1417.9783520000001</v>
      </c>
      <c r="X3">
        <v>1393.863818</v>
      </c>
      <c r="Y3">
        <v>1463.347749</v>
      </c>
      <c r="Z3">
        <v>1505.37246</v>
      </c>
      <c r="AA3">
        <v>1555.299667</v>
      </c>
      <c r="AB3">
        <v>1608.419803</v>
      </c>
      <c r="AC3">
        <v>1655.3708449999999</v>
      </c>
      <c r="AD3">
        <v>1700.5918260000001</v>
      </c>
      <c r="AE3">
        <v>1757.3598609999999</v>
      </c>
      <c r="AF3">
        <v>1806.228296</v>
      </c>
      <c r="AG3">
        <v>1844.264156</v>
      </c>
      <c r="AH3">
        <v>1920.1717510000001</v>
      </c>
      <c r="AI3">
        <v>1965.6982399999999</v>
      </c>
      <c r="AJ3">
        <v>2011.1136449999999</v>
      </c>
      <c r="AK3">
        <v>2052.8565910000002</v>
      </c>
      <c r="AL3">
        <v>2091.5806689999999</v>
      </c>
      <c r="AM3">
        <v>2129.8358579999999</v>
      </c>
      <c r="AN3">
        <v>2185.6688349999999</v>
      </c>
      <c r="AO3">
        <v>2224.268701</v>
      </c>
      <c r="AP3">
        <v>2261.0839489999998</v>
      </c>
      <c r="AQ3">
        <v>2293.3399869999998</v>
      </c>
      <c r="AR3">
        <v>2335.123599</v>
      </c>
      <c r="AS3">
        <v>2363.2491249999998</v>
      </c>
      <c r="AT3">
        <v>2390.8687300000001</v>
      </c>
      <c r="AU3">
        <v>2416.2985199999998</v>
      </c>
      <c r="AV3">
        <v>2445.5027660000001</v>
      </c>
    </row>
    <row r="4" spans="1:48">
      <c r="A4" t="s">
        <v>11</v>
      </c>
      <c r="B4">
        <v>626.09176098724095</v>
      </c>
      <c r="C4">
        <v>636.14386672500905</v>
      </c>
      <c r="D4">
        <v>646.35736229999998</v>
      </c>
      <c r="E4">
        <v>713.71783159999995</v>
      </c>
      <c r="F4">
        <v>745.12769060000005</v>
      </c>
      <c r="G4">
        <v>618.53340530000003</v>
      </c>
      <c r="H4">
        <v>670.84724440000002</v>
      </c>
      <c r="I4">
        <v>738.38585450000005</v>
      </c>
      <c r="J4">
        <v>722.50501759999997</v>
      </c>
      <c r="K4">
        <v>767.7187735</v>
      </c>
      <c r="L4">
        <v>768.97966050000002</v>
      </c>
      <c r="M4">
        <v>864.93772190000004</v>
      </c>
      <c r="N4">
        <v>775.61854289999997</v>
      </c>
      <c r="O4">
        <v>855.95252619999997</v>
      </c>
      <c r="P4">
        <v>877.99421340000004</v>
      </c>
      <c r="Q4">
        <v>895.50665609999999</v>
      </c>
      <c r="R4">
        <v>907.79385000000002</v>
      </c>
      <c r="S4">
        <v>924.73307569999997</v>
      </c>
      <c r="T4">
        <v>938.26734959999999</v>
      </c>
      <c r="U4">
        <v>951.87963230000003</v>
      </c>
      <c r="V4">
        <v>962.03890779999995</v>
      </c>
      <c r="W4">
        <v>969.38496699999996</v>
      </c>
      <c r="X4">
        <v>971.38315769999997</v>
      </c>
      <c r="Y4">
        <v>971.98530779999999</v>
      </c>
      <c r="Z4">
        <v>972.2308094</v>
      </c>
      <c r="AA4">
        <v>973.15060940000001</v>
      </c>
      <c r="AB4">
        <v>975.42697239999995</v>
      </c>
      <c r="AC4">
        <v>979.07695669999998</v>
      </c>
      <c r="AD4">
        <v>984.09276590000002</v>
      </c>
      <c r="AE4">
        <v>990.74714059999997</v>
      </c>
      <c r="AF4">
        <v>998.79464399999995</v>
      </c>
      <c r="AG4">
        <v>1007.756634</v>
      </c>
      <c r="AH4">
        <v>1018.475306</v>
      </c>
      <c r="AI4">
        <v>1030.2397249999999</v>
      </c>
      <c r="AJ4">
        <v>1042.787503</v>
      </c>
      <c r="AK4">
        <v>1055.8999369999999</v>
      </c>
      <c r="AL4">
        <v>1069.4066419999999</v>
      </c>
      <c r="AM4">
        <v>1083.9016650000001</v>
      </c>
      <c r="AN4">
        <v>1099.8137790000001</v>
      </c>
      <c r="AO4">
        <v>1116.7120420000001</v>
      </c>
      <c r="AP4">
        <v>1134.3293510000001</v>
      </c>
      <c r="AQ4">
        <v>1152.3763369999999</v>
      </c>
      <c r="AR4">
        <v>1171.4506739999999</v>
      </c>
      <c r="AS4">
        <v>1191.1319639999999</v>
      </c>
      <c r="AT4">
        <v>1211.1795460000001</v>
      </c>
      <c r="AU4">
        <v>1231.3836200000001</v>
      </c>
      <c r="AV4">
        <v>1251.714886</v>
      </c>
    </row>
    <row r="5" spans="1:48">
      <c r="A5" t="s">
        <v>12</v>
      </c>
      <c r="B5">
        <v>0.96116878123798499</v>
      </c>
      <c r="C5">
        <v>0.98039215686274495</v>
      </c>
      <c r="D5">
        <v>0.99999730710000001</v>
      </c>
      <c r="E5">
        <v>1.021286965</v>
      </c>
      <c r="F5">
        <v>1.0413474190000001</v>
      </c>
      <c r="G5">
        <v>1.052629262</v>
      </c>
      <c r="H5">
        <v>1.0742899239999999</v>
      </c>
      <c r="I5">
        <v>1.094734455</v>
      </c>
      <c r="J5">
        <v>1.11050154</v>
      </c>
      <c r="K5">
        <v>1.1273664999999999</v>
      </c>
      <c r="L5">
        <v>1.1462972339999999</v>
      </c>
      <c r="M5">
        <v>1.166586651</v>
      </c>
      <c r="N5">
        <v>1.184017101</v>
      </c>
      <c r="O5">
        <v>1.2039033809999999</v>
      </c>
      <c r="P5">
        <v>1.223752951</v>
      </c>
      <c r="Q5">
        <v>1.246400038</v>
      </c>
      <c r="R5">
        <v>1.268550794</v>
      </c>
      <c r="S5">
        <v>1.2984982920000001</v>
      </c>
      <c r="T5">
        <v>1.328810611</v>
      </c>
      <c r="U5">
        <v>1.3640504760000001</v>
      </c>
      <c r="V5">
        <v>1.40011284</v>
      </c>
      <c r="W5">
        <v>1.439756858</v>
      </c>
      <c r="X5">
        <v>1.4792062479999999</v>
      </c>
      <c r="Y5">
        <v>1.519296346</v>
      </c>
      <c r="Z5">
        <v>1.558726689</v>
      </c>
      <c r="AA5">
        <v>1.5970318219999999</v>
      </c>
      <c r="AB5">
        <v>1.6339996050000001</v>
      </c>
      <c r="AC5">
        <v>1.6698114900000001</v>
      </c>
      <c r="AD5">
        <v>1.7044694659999999</v>
      </c>
      <c r="AE5">
        <v>1.738164614</v>
      </c>
      <c r="AF5">
        <v>1.7711978349999999</v>
      </c>
      <c r="AG5">
        <v>1.80390677</v>
      </c>
      <c r="AH5">
        <v>1.836366656</v>
      </c>
      <c r="AI5">
        <v>1.868812066</v>
      </c>
      <c r="AJ5">
        <v>1.9016813809999999</v>
      </c>
      <c r="AK5">
        <v>1.935100051</v>
      </c>
      <c r="AL5">
        <v>1.969174421</v>
      </c>
      <c r="AM5">
        <v>2.0037153189999999</v>
      </c>
      <c r="AN5">
        <v>2.0391775889999999</v>
      </c>
      <c r="AO5">
        <v>2.07558533</v>
      </c>
      <c r="AP5">
        <v>2.1131500270000001</v>
      </c>
      <c r="AQ5">
        <v>2.1517792199999999</v>
      </c>
      <c r="AR5">
        <v>2.191730336</v>
      </c>
      <c r="AS5">
        <v>2.2329135930000001</v>
      </c>
      <c r="AT5">
        <v>2.2754102879999998</v>
      </c>
      <c r="AU5">
        <v>2.31930821</v>
      </c>
      <c r="AV5">
        <v>2.3651710439999998</v>
      </c>
    </row>
    <row r="6" spans="1:48">
      <c r="A6" t="s">
        <v>13</v>
      </c>
      <c r="B6">
        <v>0.96116878123798499</v>
      </c>
      <c r="C6">
        <v>0.98039215686274495</v>
      </c>
      <c r="D6">
        <v>0.99999973880000004</v>
      </c>
      <c r="E6">
        <v>1.016337756</v>
      </c>
      <c r="F6">
        <v>1.027215966</v>
      </c>
      <c r="G6">
        <v>1.0292201089999999</v>
      </c>
      <c r="H6">
        <v>1.0549643660000001</v>
      </c>
      <c r="I6">
        <v>1.0851845170000001</v>
      </c>
      <c r="J6">
        <v>1.107657718</v>
      </c>
      <c r="K6">
        <v>1.1275854910000001</v>
      </c>
      <c r="L6">
        <v>1.1516929090000001</v>
      </c>
      <c r="M6">
        <v>1.184890032</v>
      </c>
      <c r="N6">
        <v>1.209818225</v>
      </c>
      <c r="O6">
        <v>1.233173689</v>
      </c>
      <c r="P6">
        <v>1.2509970029999999</v>
      </c>
      <c r="Q6">
        <v>1.265282636</v>
      </c>
      <c r="R6">
        <v>1.274907612</v>
      </c>
      <c r="S6">
        <v>1.3001872569999999</v>
      </c>
      <c r="T6">
        <v>1.328051962</v>
      </c>
      <c r="U6">
        <v>1.3646001569999999</v>
      </c>
      <c r="V6">
        <v>1.3997365399999999</v>
      </c>
      <c r="W6">
        <v>1.4411033600000001</v>
      </c>
      <c r="X6">
        <v>1.478569491</v>
      </c>
      <c r="Y6">
        <v>1.519379228</v>
      </c>
      <c r="Z6">
        <v>1.5610018779999999</v>
      </c>
      <c r="AA6">
        <v>1.6017636399999999</v>
      </c>
      <c r="AB6">
        <v>1.6408163689999999</v>
      </c>
      <c r="AC6">
        <v>1.6785946169999999</v>
      </c>
      <c r="AD6">
        <v>1.7139597470000001</v>
      </c>
      <c r="AE6">
        <v>1.7466770359999999</v>
      </c>
      <c r="AF6">
        <v>1.7769780820000001</v>
      </c>
      <c r="AG6">
        <v>1.8057340079999999</v>
      </c>
      <c r="AH6">
        <v>1.8326188430000001</v>
      </c>
      <c r="AI6">
        <v>1.858129425</v>
      </c>
      <c r="AJ6">
        <v>1.8839764939999999</v>
      </c>
      <c r="AK6">
        <v>1.910269395</v>
      </c>
      <c r="AL6">
        <v>1.9371193470000001</v>
      </c>
      <c r="AM6">
        <v>1.9635373199999999</v>
      </c>
      <c r="AN6">
        <v>1.9912447660000001</v>
      </c>
      <c r="AO6">
        <v>2.0206812200000002</v>
      </c>
      <c r="AP6">
        <v>2.0523911410000002</v>
      </c>
      <c r="AQ6">
        <v>2.0854583249999998</v>
      </c>
      <c r="AR6">
        <v>2.12041009</v>
      </c>
      <c r="AS6">
        <v>2.157104082</v>
      </c>
      <c r="AT6">
        <v>2.1951682830000001</v>
      </c>
      <c r="AU6">
        <v>2.234792423</v>
      </c>
      <c r="AV6">
        <v>2.2787323540000002</v>
      </c>
    </row>
    <row r="7" spans="1:48">
      <c r="A7" t="s">
        <v>14</v>
      </c>
      <c r="B7">
        <v>0.96116878123798499</v>
      </c>
      <c r="C7">
        <v>0.98039215686274495</v>
      </c>
      <c r="D7">
        <v>0.99999538889999995</v>
      </c>
      <c r="E7">
        <v>1.0226411339999999</v>
      </c>
      <c r="F7">
        <v>1.0412671419999999</v>
      </c>
      <c r="G7">
        <v>1.054674608</v>
      </c>
      <c r="H7">
        <v>1.0652824949999999</v>
      </c>
      <c r="I7">
        <v>1.0756227709999999</v>
      </c>
      <c r="J7">
        <v>1.083645118</v>
      </c>
      <c r="K7">
        <v>1.0959972069999999</v>
      </c>
      <c r="L7">
        <v>1.1099909610000001</v>
      </c>
      <c r="M7">
        <v>1.1240994980000001</v>
      </c>
      <c r="N7">
        <v>1.1324901380000001</v>
      </c>
      <c r="O7">
        <v>1.1431620389999999</v>
      </c>
      <c r="P7">
        <v>1.1568999550000001</v>
      </c>
      <c r="Q7">
        <v>1.1821791610000001</v>
      </c>
      <c r="R7">
        <v>1.2057776549999999</v>
      </c>
      <c r="S7">
        <v>1.239074926</v>
      </c>
      <c r="T7">
        <v>1.2778430359999999</v>
      </c>
      <c r="U7">
        <v>1.321932197</v>
      </c>
      <c r="V7">
        <v>1.369733256</v>
      </c>
      <c r="W7">
        <v>1.4220386199999999</v>
      </c>
      <c r="X7">
        <v>1.4746150309999999</v>
      </c>
      <c r="Y7">
        <v>1.526019376</v>
      </c>
      <c r="Z7">
        <v>1.575067982</v>
      </c>
      <c r="AA7">
        <v>1.621143781</v>
      </c>
      <c r="AB7">
        <v>1.6639320559999999</v>
      </c>
      <c r="AC7">
        <v>1.703378748</v>
      </c>
      <c r="AD7">
        <v>1.739899131</v>
      </c>
      <c r="AE7">
        <v>1.77404604</v>
      </c>
      <c r="AF7">
        <v>1.8062935689999999</v>
      </c>
      <c r="AG7">
        <v>1.8371998620000001</v>
      </c>
      <c r="AH7">
        <v>1.8672260300000001</v>
      </c>
      <c r="AI7">
        <v>1.8965209519999999</v>
      </c>
      <c r="AJ7">
        <v>1.92578212</v>
      </c>
      <c r="AK7">
        <v>1.9552852430000001</v>
      </c>
      <c r="AL7">
        <v>1.985284619</v>
      </c>
      <c r="AM7">
        <v>2.0153310499999999</v>
      </c>
      <c r="AN7">
        <v>2.0461713549999998</v>
      </c>
      <c r="AO7">
        <v>2.0780315119999999</v>
      </c>
      <c r="AP7">
        <v>2.1111642399999999</v>
      </c>
      <c r="AQ7">
        <v>2.145669861</v>
      </c>
      <c r="AR7">
        <v>2.1817269160000001</v>
      </c>
      <c r="AS7">
        <v>2.219635925</v>
      </c>
      <c r="AT7">
        <v>2.2594915260000001</v>
      </c>
      <c r="AU7">
        <v>2.3014511139999998</v>
      </c>
      <c r="AV7">
        <v>2.345880331</v>
      </c>
    </row>
    <row r="8" spans="1:48">
      <c r="A8" t="s">
        <v>15</v>
      </c>
      <c r="B8">
        <v>4697.3438652348796</v>
      </c>
      <c r="C8">
        <v>4772.7612403901503</v>
      </c>
      <c r="D8">
        <v>4852.9099839999999</v>
      </c>
      <c r="E8">
        <v>4694.9008370000001</v>
      </c>
      <c r="F8">
        <v>4425.2135740000003</v>
      </c>
      <c r="G8">
        <v>3423.388379</v>
      </c>
      <c r="H8">
        <v>4321.1678449999999</v>
      </c>
      <c r="I8">
        <v>4982.1310240000003</v>
      </c>
      <c r="J8">
        <v>4494.994893</v>
      </c>
      <c r="K8">
        <v>3816.4861500000002</v>
      </c>
      <c r="L8">
        <v>4474.4239239999997</v>
      </c>
      <c r="M8">
        <v>4485.6423370000002</v>
      </c>
      <c r="N8">
        <v>4685.8661309999998</v>
      </c>
      <c r="O8">
        <v>5083.4298019999997</v>
      </c>
      <c r="P8">
        <v>5401.4142579999998</v>
      </c>
      <c r="Q8">
        <v>5240.5174999999999</v>
      </c>
      <c r="R8">
        <v>5151.3029749999996</v>
      </c>
      <c r="S8">
        <v>5626.8684380000004</v>
      </c>
      <c r="T8">
        <v>5348.3165019999997</v>
      </c>
      <c r="U8">
        <v>5489.5756950000005</v>
      </c>
      <c r="V8">
        <v>5326.0793050000002</v>
      </c>
      <c r="W8">
        <v>4864.5605290000003</v>
      </c>
      <c r="X8">
        <v>5238.1328990000002</v>
      </c>
      <c r="Y8">
        <v>5361.7549650000001</v>
      </c>
      <c r="Z8">
        <v>5436.2426699999996</v>
      </c>
      <c r="AA8">
        <v>5499.7076800000004</v>
      </c>
      <c r="AB8">
        <v>5569.9848659999998</v>
      </c>
      <c r="AC8">
        <v>6019.027153</v>
      </c>
      <c r="AD8">
        <v>6031.2953680000001</v>
      </c>
      <c r="AE8">
        <v>6144.5109240000002</v>
      </c>
      <c r="AF8">
        <v>6232.442454</v>
      </c>
      <c r="AG8">
        <v>6313.6455509999996</v>
      </c>
      <c r="AH8">
        <v>6496.8407870000001</v>
      </c>
      <c r="AI8">
        <v>6571.9860520000002</v>
      </c>
      <c r="AJ8">
        <v>6710.8500480000002</v>
      </c>
      <c r="AK8">
        <v>6848.8084959999996</v>
      </c>
      <c r="AL8">
        <v>6980.2899699999998</v>
      </c>
      <c r="AM8">
        <v>6963.3353719999996</v>
      </c>
      <c r="AN8">
        <v>7143.2530120000001</v>
      </c>
      <c r="AO8">
        <v>7302.0571389999996</v>
      </c>
      <c r="AP8">
        <v>7446.529595</v>
      </c>
      <c r="AQ8">
        <v>7549.6203109999997</v>
      </c>
      <c r="AR8">
        <v>7470.9729699999998</v>
      </c>
      <c r="AS8">
        <v>7676.9237599999997</v>
      </c>
      <c r="AT8">
        <v>7801.5960530000002</v>
      </c>
      <c r="AU8">
        <v>7915.534114</v>
      </c>
      <c r="AV8">
        <v>7380.3968290000003</v>
      </c>
    </row>
    <row r="9" spans="1:48">
      <c r="A9" t="s">
        <v>16</v>
      </c>
      <c r="B9">
        <v>626.09176098724095</v>
      </c>
      <c r="C9">
        <v>636.14386672500905</v>
      </c>
      <c r="D9">
        <v>646.35736229999998</v>
      </c>
      <c r="E9">
        <v>713.71783159999995</v>
      </c>
      <c r="F9">
        <v>745.12769060000005</v>
      </c>
      <c r="G9">
        <v>618.53340530000003</v>
      </c>
      <c r="H9">
        <v>670.84724440000002</v>
      </c>
      <c r="I9">
        <v>738.38585450000005</v>
      </c>
      <c r="J9">
        <v>722.50501759999997</v>
      </c>
      <c r="K9">
        <v>767.7187735</v>
      </c>
      <c r="L9">
        <v>768.97966050000002</v>
      </c>
      <c r="M9">
        <v>864.93772190000004</v>
      </c>
      <c r="N9">
        <v>775.61854289999997</v>
      </c>
      <c r="O9">
        <v>855.95252619999997</v>
      </c>
      <c r="P9">
        <v>877.99421340000004</v>
      </c>
      <c r="Q9">
        <v>895.50665609999999</v>
      </c>
      <c r="R9">
        <v>907.79385000000002</v>
      </c>
      <c r="S9">
        <v>924.73307569999997</v>
      </c>
      <c r="T9">
        <v>938.26734959999999</v>
      </c>
      <c r="U9">
        <v>951.87963230000003</v>
      </c>
      <c r="V9">
        <v>977.22062789999995</v>
      </c>
      <c r="W9">
        <v>990.80724239999995</v>
      </c>
      <c r="X9">
        <v>999.03061779999996</v>
      </c>
      <c r="Y9">
        <v>1002.742815</v>
      </c>
      <c r="Z9">
        <v>1002.8832180000001</v>
      </c>
      <c r="AA9">
        <v>1000.556638</v>
      </c>
      <c r="AB9">
        <v>997.28761829999996</v>
      </c>
      <c r="AC9">
        <v>996.99773279999999</v>
      </c>
      <c r="AD9">
        <v>995.93739129999994</v>
      </c>
      <c r="AE9">
        <v>994.65747669999996</v>
      </c>
      <c r="AF9">
        <v>993.87249640000005</v>
      </c>
      <c r="AG9">
        <v>993.93234989999996</v>
      </c>
      <c r="AH9">
        <v>995.47037869999997</v>
      </c>
      <c r="AI9">
        <v>997.71345440000005</v>
      </c>
      <c r="AJ9">
        <v>1000.919732</v>
      </c>
      <c r="AK9">
        <v>1005.06843</v>
      </c>
      <c r="AL9">
        <v>1010.31253</v>
      </c>
      <c r="AM9">
        <v>1015.68431</v>
      </c>
      <c r="AN9">
        <v>1022.447959</v>
      </c>
      <c r="AO9">
        <v>1030.5513149999999</v>
      </c>
      <c r="AP9">
        <v>1039.6376720000001</v>
      </c>
      <c r="AQ9">
        <v>1049.0312289999999</v>
      </c>
      <c r="AR9">
        <v>1057.2788230000001</v>
      </c>
      <c r="AS9">
        <v>1066.5287949999999</v>
      </c>
      <c r="AT9">
        <v>1076.4902059999999</v>
      </c>
      <c r="AU9">
        <v>1086.8770910000001</v>
      </c>
      <c r="AV9">
        <v>1091.355924</v>
      </c>
    </row>
    <row r="10" spans="1:48">
      <c r="A10" t="s">
        <v>17</v>
      </c>
      <c r="B10">
        <v>0.96116878123798499</v>
      </c>
      <c r="C10">
        <v>0.98039215686274495</v>
      </c>
      <c r="D10">
        <v>0.99999730710000001</v>
      </c>
      <c r="E10">
        <v>1.021286965</v>
      </c>
      <c r="F10">
        <v>1.0413474190000001</v>
      </c>
      <c r="G10">
        <v>1.052629262</v>
      </c>
      <c r="H10">
        <v>1.0742899239999999</v>
      </c>
      <c r="I10">
        <v>1.094734455</v>
      </c>
      <c r="J10">
        <v>1.11050154</v>
      </c>
      <c r="K10">
        <v>1.1273664999999999</v>
      </c>
      <c r="L10">
        <v>1.1462972339999999</v>
      </c>
      <c r="M10">
        <v>1.166586651</v>
      </c>
      <c r="N10">
        <v>1.184017101</v>
      </c>
      <c r="O10">
        <v>1.2039033809999999</v>
      </c>
      <c r="P10">
        <v>1.223752951</v>
      </c>
      <c r="Q10">
        <v>1.246400038</v>
      </c>
      <c r="R10">
        <v>1.268550794</v>
      </c>
      <c r="S10">
        <v>1.2984982920000001</v>
      </c>
      <c r="T10">
        <v>1.328810611</v>
      </c>
      <c r="U10">
        <v>1.3640504760000001</v>
      </c>
      <c r="V10">
        <v>1.4035264350000001</v>
      </c>
      <c r="W10">
        <v>1.444086475</v>
      </c>
      <c r="X10">
        <v>1.487184606</v>
      </c>
      <c r="Y10">
        <v>1.530340126</v>
      </c>
      <c r="Z10">
        <v>1.573502701</v>
      </c>
      <c r="AA10">
        <v>1.616172451</v>
      </c>
      <c r="AB10">
        <v>1.658322874</v>
      </c>
      <c r="AC10">
        <v>1.6997772710000001</v>
      </c>
      <c r="AD10">
        <v>1.7417197250000001</v>
      </c>
      <c r="AE10">
        <v>1.782361496</v>
      </c>
      <c r="AF10">
        <v>1.8226918030000001</v>
      </c>
      <c r="AG10">
        <v>1.862883099</v>
      </c>
      <c r="AH10">
        <v>1.9026261659999999</v>
      </c>
      <c r="AI10">
        <v>1.9425864770000001</v>
      </c>
      <c r="AJ10">
        <v>1.982179846</v>
      </c>
      <c r="AK10">
        <v>2.021877479</v>
      </c>
      <c r="AL10">
        <v>2.0621187769999998</v>
      </c>
      <c r="AM10">
        <v>2.1037895400000002</v>
      </c>
      <c r="AN10">
        <v>2.144971194</v>
      </c>
      <c r="AO10">
        <v>2.1870189720000002</v>
      </c>
      <c r="AP10">
        <v>2.2301791340000001</v>
      </c>
      <c r="AQ10">
        <v>2.274412635</v>
      </c>
      <c r="AR10">
        <v>2.320562534</v>
      </c>
      <c r="AS10">
        <v>2.3668170750000002</v>
      </c>
      <c r="AT10">
        <v>2.414807342</v>
      </c>
      <c r="AU10">
        <v>2.4642264599999999</v>
      </c>
      <c r="AV10">
        <v>2.518932054</v>
      </c>
    </row>
    <row r="11" spans="1:48">
      <c r="A11" t="s">
        <v>18</v>
      </c>
      <c r="B11">
        <v>0.96116878123798499</v>
      </c>
      <c r="C11">
        <v>0.98039215686274495</v>
      </c>
      <c r="D11">
        <v>0.99999973880000004</v>
      </c>
      <c r="E11">
        <v>1.016337756</v>
      </c>
      <c r="F11">
        <v>1.027215966</v>
      </c>
      <c r="G11">
        <v>1.0292201089999999</v>
      </c>
      <c r="H11">
        <v>1.0549643660000001</v>
      </c>
      <c r="I11">
        <v>1.0851845170000001</v>
      </c>
      <c r="J11">
        <v>1.107657718</v>
      </c>
      <c r="K11">
        <v>1.1275854910000001</v>
      </c>
      <c r="L11">
        <v>1.1516929090000001</v>
      </c>
      <c r="M11">
        <v>1.184890032</v>
      </c>
      <c r="N11">
        <v>1.209818225</v>
      </c>
      <c r="O11">
        <v>1.233173689</v>
      </c>
      <c r="P11">
        <v>1.2509970029999999</v>
      </c>
      <c r="Q11">
        <v>1.265282636</v>
      </c>
      <c r="R11">
        <v>1.274907612</v>
      </c>
      <c r="S11">
        <v>1.3001872569999999</v>
      </c>
      <c r="T11">
        <v>1.328051962</v>
      </c>
      <c r="U11">
        <v>1.3646001569999999</v>
      </c>
      <c r="V11">
        <v>1.4130567839999999</v>
      </c>
      <c r="W11">
        <v>1.4584809809999999</v>
      </c>
      <c r="X11">
        <v>1.5052906589999999</v>
      </c>
      <c r="Y11">
        <v>1.550903997</v>
      </c>
      <c r="Z11">
        <v>1.596596726</v>
      </c>
      <c r="AA11">
        <v>1.6418704749999999</v>
      </c>
      <c r="AB11">
        <v>1.6878502660000001</v>
      </c>
      <c r="AC11">
        <v>1.7397696540000001</v>
      </c>
      <c r="AD11">
        <v>1.7886419119999999</v>
      </c>
      <c r="AE11">
        <v>1.834561873</v>
      </c>
      <c r="AF11">
        <v>1.879122994</v>
      </c>
      <c r="AG11">
        <v>1.923142868</v>
      </c>
      <c r="AH11">
        <v>1.967000023</v>
      </c>
      <c r="AI11">
        <v>2.0089494619999999</v>
      </c>
      <c r="AJ11">
        <v>2.0497150639999999</v>
      </c>
      <c r="AK11">
        <v>2.089727007</v>
      </c>
      <c r="AL11">
        <v>2.1309604819999999</v>
      </c>
      <c r="AM11">
        <v>2.1737502279999998</v>
      </c>
      <c r="AN11">
        <v>2.2168135219999998</v>
      </c>
      <c r="AO11">
        <v>2.2607933259999999</v>
      </c>
      <c r="AP11">
        <v>2.306708355</v>
      </c>
      <c r="AQ11">
        <v>2.3531689469999999</v>
      </c>
      <c r="AR11">
        <v>2.4010274759999999</v>
      </c>
      <c r="AS11">
        <v>2.4523906110000002</v>
      </c>
      <c r="AT11">
        <v>2.5061556280000001</v>
      </c>
      <c r="AU11">
        <v>2.5622647500000002</v>
      </c>
      <c r="AV11">
        <v>2.6221096930000001</v>
      </c>
    </row>
    <row r="12" spans="1:48">
      <c r="A12" t="s">
        <v>19</v>
      </c>
      <c r="B12">
        <v>0.96116878123798499</v>
      </c>
      <c r="C12">
        <v>0.98039215686274495</v>
      </c>
      <c r="D12">
        <v>0.99999538889999995</v>
      </c>
      <c r="E12">
        <v>1.0226411339999999</v>
      </c>
      <c r="F12">
        <v>1.0412671419999999</v>
      </c>
      <c r="G12">
        <v>1.054674608</v>
      </c>
      <c r="H12">
        <v>1.0652824949999999</v>
      </c>
      <c r="I12">
        <v>1.0756227709999999</v>
      </c>
      <c r="J12">
        <v>1.083645118</v>
      </c>
      <c r="K12">
        <v>1.0959972069999999</v>
      </c>
      <c r="L12">
        <v>1.1099909610000001</v>
      </c>
      <c r="M12">
        <v>1.1240994980000001</v>
      </c>
      <c r="N12">
        <v>1.1324901380000001</v>
      </c>
      <c r="O12">
        <v>1.1431620389999999</v>
      </c>
      <c r="P12">
        <v>1.1568999550000001</v>
      </c>
      <c r="Q12">
        <v>1.1821791610000001</v>
      </c>
      <c r="R12">
        <v>1.2057776549999999</v>
      </c>
      <c r="S12">
        <v>1.239074926</v>
      </c>
      <c r="T12">
        <v>1.2778430359999999</v>
      </c>
      <c r="U12">
        <v>1.321932197</v>
      </c>
      <c r="V12">
        <v>1.3747709589999999</v>
      </c>
      <c r="W12">
        <v>1.4291892159999999</v>
      </c>
      <c r="X12">
        <v>1.486925469</v>
      </c>
      <c r="Y12">
        <v>1.5451094329999999</v>
      </c>
      <c r="Z12">
        <v>1.602844097</v>
      </c>
      <c r="AA12">
        <v>1.659140574</v>
      </c>
      <c r="AB12">
        <v>1.7138419659999999</v>
      </c>
      <c r="AC12">
        <v>1.7677529380000001</v>
      </c>
      <c r="AD12">
        <v>1.8196688910000001</v>
      </c>
      <c r="AE12">
        <v>1.8697107740000001</v>
      </c>
      <c r="AF12">
        <v>1.9187841960000001</v>
      </c>
      <c r="AG12">
        <v>1.967008002</v>
      </c>
      <c r="AH12">
        <v>2.0144198329999998</v>
      </c>
      <c r="AI12">
        <v>2.0606512330000002</v>
      </c>
      <c r="AJ12">
        <v>2.1060042619999999</v>
      </c>
      <c r="AK12">
        <v>2.1506547679999999</v>
      </c>
      <c r="AL12">
        <v>2.1951492579999998</v>
      </c>
      <c r="AM12">
        <v>2.2395461650000001</v>
      </c>
      <c r="AN12">
        <v>2.283973483</v>
      </c>
      <c r="AO12">
        <v>2.3289206079999998</v>
      </c>
      <c r="AP12">
        <v>2.3748794009999998</v>
      </c>
      <c r="AQ12">
        <v>2.4219141799999999</v>
      </c>
      <c r="AR12">
        <v>2.4701317039999999</v>
      </c>
      <c r="AS12">
        <v>2.5199989120000001</v>
      </c>
      <c r="AT12">
        <v>2.5715203799999999</v>
      </c>
      <c r="AU12">
        <v>2.6248518340000002</v>
      </c>
      <c r="AV12">
        <v>2.6808876339999999</v>
      </c>
    </row>
    <row r="13" spans="1:48">
      <c r="A13" t="s">
        <v>449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t="s">
        <v>450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984.4090357</v>
      </c>
      <c r="W14">
        <v>896.39552309999999</v>
      </c>
      <c r="X14">
        <v>1531.5474750000001</v>
      </c>
      <c r="Y14">
        <v>1390.56348</v>
      </c>
      <c r="Z14">
        <v>1262.1448989999999</v>
      </c>
      <c r="AA14">
        <v>1147.9125019999999</v>
      </c>
      <c r="AB14">
        <v>1031.6812580000001</v>
      </c>
      <c r="AC14">
        <v>1799.9412159999999</v>
      </c>
      <c r="AD14">
        <v>1917.681497</v>
      </c>
      <c r="AE14">
        <v>2063.3177559999999</v>
      </c>
      <c r="AF14">
        <v>2207.5691649999999</v>
      </c>
      <c r="AG14">
        <v>2351.2849820000001</v>
      </c>
      <c r="AH14">
        <v>2579.599193</v>
      </c>
      <c r="AI14">
        <v>2789.3937179999998</v>
      </c>
      <c r="AJ14">
        <v>3026.4524719999999</v>
      </c>
      <c r="AK14">
        <v>3276.6088359999999</v>
      </c>
      <c r="AL14">
        <v>3537.9469479999998</v>
      </c>
      <c r="AM14">
        <v>3138.3742670000001</v>
      </c>
      <c r="AN14">
        <v>3418.7796619999999</v>
      </c>
      <c r="AO14">
        <v>3709.1320070000002</v>
      </c>
      <c r="AP14">
        <v>4011.402509</v>
      </c>
      <c r="AQ14">
        <v>4310.556885</v>
      </c>
      <c r="AR14">
        <v>3878.570072</v>
      </c>
      <c r="AS14">
        <v>4201.8379430000005</v>
      </c>
      <c r="AT14">
        <v>4494.0219569999999</v>
      </c>
      <c r="AU14">
        <v>4795.1612850000001</v>
      </c>
      <c r="AV14">
        <v>1855.3336979999999</v>
      </c>
    </row>
    <row r="15" spans="1:48">
      <c r="A15" t="s">
        <v>22</v>
      </c>
      <c r="B15">
        <v>15.957318185343199</v>
      </c>
      <c r="C15">
        <v>16.213518090349702</v>
      </c>
      <c r="D15">
        <v>16.47381704</v>
      </c>
      <c r="E15">
        <v>16.425123630000002</v>
      </c>
      <c r="F15">
        <v>16.15725621</v>
      </c>
      <c r="G15">
        <v>15.6416605</v>
      </c>
      <c r="H15">
        <v>15.5603236</v>
      </c>
      <c r="I15">
        <v>15.50729902</v>
      </c>
      <c r="J15">
        <v>15.366500200000001</v>
      </c>
      <c r="K15">
        <v>15.133838000000001</v>
      </c>
      <c r="L15">
        <v>15.02690265</v>
      </c>
      <c r="M15">
        <v>14.89621009</v>
      </c>
      <c r="N15">
        <v>14.88297051</v>
      </c>
      <c r="O15">
        <v>14.9453593</v>
      </c>
      <c r="P15">
        <v>14.74620498</v>
      </c>
      <c r="Q15">
        <v>14.561077040000001</v>
      </c>
      <c r="R15">
        <v>14.41211972</v>
      </c>
      <c r="S15">
        <v>14.54920845</v>
      </c>
      <c r="T15">
        <v>14.577120069999999</v>
      </c>
      <c r="U15">
        <v>14.640605580000001</v>
      </c>
      <c r="V15">
        <v>14.627891610000001</v>
      </c>
      <c r="W15">
        <v>14.456544539999999</v>
      </c>
      <c r="X15">
        <v>14.22858254</v>
      </c>
      <c r="Y15">
        <v>14.040746929999999</v>
      </c>
      <c r="Z15">
        <v>13.87231719</v>
      </c>
      <c r="AA15">
        <v>13.726531230000001</v>
      </c>
      <c r="AB15">
        <v>13.603263589999999</v>
      </c>
      <c r="AC15">
        <v>13.43312092</v>
      </c>
      <c r="AD15">
        <v>13.274528050000001</v>
      </c>
      <c r="AE15">
        <v>13.13219827</v>
      </c>
      <c r="AF15">
        <v>12.999535509999999</v>
      </c>
      <c r="AG15">
        <v>12.869291069999999</v>
      </c>
      <c r="AH15">
        <v>12.820326659999999</v>
      </c>
      <c r="AI15">
        <v>12.77583083</v>
      </c>
      <c r="AJ15">
        <v>12.734654320000001</v>
      </c>
      <c r="AK15">
        <v>12.694022670000001</v>
      </c>
      <c r="AL15">
        <v>12.651809139999999</v>
      </c>
      <c r="AM15">
        <v>12.74515824</v>
      </c>
      <c r="AN15">
        <v>12.849390270000001</v>
      </c>
      <c r="AO15">
        <v>12.955298389999999</v>
      </c>
      <c r="AP15">
        <v>13.06164124</v>
      </c>
      <c r="AQ15">
        <v>13.16602316</v>
      </c>
      <c r="AR15">
        <v>13.36370522</v>
      </c>
      <c r="AS15">
        <v>13.56089929</v>
      </c>
      <c r="AT15">
        <v>13.75739705</v>
      </c>
      <c r="AU15">
        <v>13.95223843</v>
      </c>
      <c r="AV15">
        <v>14.14724687</v>
      </c>
    </row>
    <row r="16" spans="1:48">
      <c r="A16" t="s">
        <v>23</v>
      </c>
      <c r="B16">
        <v>8.0720537060518599E-2</v>
      </c>
      <c r="C16">
        <v>8.2016531392822806E-2</v>
      </c>
      <c r="D16">
        <v>8.3332882400000002E-2</v>
      </c>
      <c r="E16">
        <v>8.4155181900000001E-2</v>
      </c>
      <c r="F16">
        <v>8.1137951099999994E-2</v>
      </c>
      <c r="G16">
        <v>7.4984697099999997E-2</v>
      </c>
      <c r="H16">
        <v>7.6999632700000001E-2</v>
      </c>
      <c r="I16">
        <v>7.8096814700000003E-2</v>
      </c>
      <c r="J16">
        <v>7.6752790599999995E-2</v>
      </c>
      <c r="K16">
        <v>7.7510929399999998E-2</v>
      </c>
      <c r="L16">
        <v>8.0187598499999999E-2</v>
      </c>
      <c r="M16">
        <v>8.4128705999999998E-2</v>
      </c>
      <c r="N16">
        <v>8.7383390800000002E-2</v>
      </c>
      <c r="O16">
        <v>9.3536466200000001E-2</v>
      </c>
      <c r="P16">
        <v>9.5080866599999994E-2</v>
      </c>
      <c r="Q16">
        <v>9.89627649E-2</v>
      </c>
      <c r="R16">
        <v>0.10347197480000001</v>
      </c>
      <c r="S16">
        <v>0.1181361291</v>
      </c>
      <c r="T16">
        <v>0.1294294808</v>
      </c>
      <c r="U16">
        <v>0.1389513453</v>
      </c>
      <c r="V16">
        <v>0.146033792</v>
      </c>
      <c r="W16">
        <v>0.1731803666</v>
      </c>
      <c r="X16">
        <v>0.21113508119999999</v>
      </c>
      <c r="Y16">
        <v>0.24957868920000001</v>
      </c>
      <c r="Z16">
        <v>0.28843432619999998</v>
      </c>
      <c r="AA16">
        <v>0.32796020370000001</v>
      </c>
      <c r="AB16">
        <v>0.36837489899999998</v>
      </c>
      <c r="AC16">
        <v>0.42693915290000001</v>
      </c>
      <c r="AD16">
        <v>0.48673286240000002</v>
      </c>
      <c r="AE16">
        <v>0.5481762187</v>
      </c>
      <c r="AF16">
        <v>0.61127509120000001</v>
      </c>
      <c r="AG16">
        <v>0.67588194450000005</v>
      </c>
      <c r="AH16">
        <v>0.73307577000000002</v>
      </c>
      <c r="AI16">
        <v>0.79204545859999997</v>
      </c>
      <c r="AJ16">
        <v>0.85285581539999999</v>
      </c>
      <c r="AK16">
        <v>0.91544042290000005</v>
      </c>
      <c r="AL16">
        <v>0.97973318870000003</v>
      </c>
      <c r="AM16">
        <v>1.0150685349999999</v>
      </c>
      <c r="AN16">
        <v>1.052089158</v>
      </c>
      <c r="AO16">
        <v>1.0901105280000001</v>
      </c>
      <c r="AP16">
        <v>1.129054548</v>
      </c>
      <c r="AQ16">
        <v>1.168729898</v>
      </c>
      <c r="AR16">
        <v>1.186487957</v>
      </c>
      <c r="AS16">
        <v>1.2042089730000001</v>
      </c>
      <c r="AT16">
        <v>1.221874425</v>
      </c>
      <c r="AU16">
        <v>1.2393989990000001</v>
      </c>
      <c r="AV16">
        <v>1.256944627</v>
      </c>
    </row>
    <row r="17" spans="1:48">
      <c r="A17" t="s">
        <v>24</v>
      </c>
      <c r="B17">
        <v>2.4451023560838E-2</v>
      </c>
      <c r="C17">
        <v>2.48435926530149E-2</v>
      </c>
      <c r="D17">
        <v>2.5242402899999999E-2</v>
      </c>
      <c r="E17">
        <v>2.9731448800000001E-2</v>
      </c>
      <c r="F17">
        <v>3.37587445E-2</v>
      </c>
      <c r="G17">
        <v>3.7411396200000002E-2</v>
      </c>
      <c r="H17">
        <v>4.2190332800000001E-2</v>
      </c>
      <c r="I17">
        <v>4.6655700100000003E-2</v>
      </c>
      <c r="J17">
        <v>5.0768523400000001E-2</v>
      </c>
      <c r="K17">
        <v>5.4698708300000003E-2</v>
      </c>
      <c r="L17">
        <v>5.78501716E-2</v>
      </c>
      <c r="M17">
        <v>5.9700780699999997E-2</v>
      </c>
      <c r="N17">
        <v>6.5847437499999995E-2</v>
      </c>
      <c r="O17">
        <v>7.31811401E-2</v>
      </c>
      <c r="P17">
        <v>8.1028714599999996E-2</v>
      </c>
      <c r="Q17">
        <v>9.0227040300000005E-2</v>
      </c>
      <c r="R17">
        <v>0.1015220421</v>
      </c>
      <c r="S17">
        <v>0.15524814379999999</v>
      </c>
      <c r="T17">
        <v>0.1982278334</v>
      </c>
      <c r="U17">
        <v>0.2336408492</v>
      </c>
      <c r="V17">
        <v>0.26121875459999999</v>
      </c>
      <c r="W17">
        <v>0.36945460029999999</v>
      </c>
      <c r="X17">
        <v>0.48732348339999998</v>
      </c>
      <c r="Y17">
        <v>0.60624278840000001</v>
      </c>
      <c r="Z17">
        <v>0.72620393979999998</v>
      </c>
      <c r="AA17">
        <v>0.84795679049999995</v>
      </c>
      <c r="AB17">
        <v>0.97216723620000001</v>
      </c>
      <c r="AC17">
        <v>1.125631515</v>
      </c>
      <c r="AD17">
        <v>1.2823245830000001</v>
      </c>
      <c r="AE17">
        <v>1.4433503029999999</v>
      </c>
      <c r="AF17">
        <v>1.6087209790000001</v>
      </c>
      <c r="AG17">
        <v>1.778046411</v>
      </c>
      <c r="AH17">
        <v>1.912161244</v>
      </c>
      <c r="AI17">
        <v>2.0505263519999999</v>
      </c>
      <c r="AJ17">
        <v>2.193277986</v>
      </c>
      <c r="AK17">
        <v>2.340219737</v>
      </c>
      <c r="AL17">
        <v>2.4911652630000001</v>
      </c>
      <c r="AM17">
        <v>2.5693513060000002</v>
      </c>
      <c r="AN17">
        <v>2.6514729479999999</v>
      </c>
      <c r="AO17">
        <v>2.7357778380000002</v>
      </c>
      <c r="AP17">
        <v>2.8220599169999998</v>
      </c>
      <c r="AQ17">
        <v>2.9098351299999998</v>
      </c>
      <c r="AR17">
        <v>2.9567821219999999</v>
      </c>
      <c r="AS17">
        <v>3.0037185559999999</v>
      </c>
      <c r="AT17">
        <v>3.050597936</v>
      </c>
      <c r="AU17">
        <v>3.0972066790000001</v>
      </c>
      <c r="AV17">
        <v>3.1439488469999999</v>
      </c>
    </row>
    <row r="18" spans="1:48">
      <c r="A18" t="s">
        <v>25</v>
      </c>
      <c r="B18">
        <v>15.957318185343199</v>
      </c>
      <c r="C18">
        <v>16.213518090349702</v>
      </c>
      <c r="D18">
        <v>16.47381704</v>
      </c>
      <c r="E18">
        <v>16.425123630000002</v>
      </c>
      <c r="F18">
        <v>16.15725621</v>
      </c>
      <c r="G18">
        <v>15.6416605</v>
      </c>
      <c r="H18">
        <v>15.5603236</v>
      </c>
      <c r="I18">
        <v>15.50729902</v>
      </c>
      <c r="J18">
        <v>15.366500200000001</v>
      </c>
      <c r="K18">
        <v>15.133838000000001</v>
      </c>
      <c r="L18">
        <v>15.02690265</v>
      </c>
      <c r="M18">
        <v>14.89621009</v>
      </c>
      <c r="N18">
        <v>14.88297051</v>
      </c>
      <c r="O18">
        <v>14.9453593</v>
      </c>
      <c r="P18">
        <v>14.74620498</v>
      </c>
      <c r="Q18">
        <v>14.561077040000001</v>
      </c>
      <c r="R18">
        <v>14.41211972</v>
      </c>
      <c r="S18">
        <v>14.54920845</v>
      </c>
      <c r="T18">
        <v>14.577120069999999</v>
      </c>
      <c r="U18">
        <v>14.640605580000001</v>
      </c>
      <c r="V18">
        <v>14.58102512</v>
      </c>
      <c r="W18">
        <v>14.352431109999999</v>
      </c>
      <c r="X18">
        <v>14.010135630000001</v>
      </c>
      <c r="Y18">
        <v>13.68490227</v>
      </c>
      <c r="Z18">
        <v>13.36659528</v>
      </c>
      <c r="AA18">
        <v>13.05531506</v>
      </c>
      <c r="AB18">
        <v>12.75440863</v>
      </c>
      <c r="AC18">
        <v>12.29185668</v>
      </c>
      <c r="AD18">
        <v>11.80455195</v>
      </c>
      <c r="AE18">
        <v>11.318780090000001</v>
      </c>
      <c r="AF18">
        <v>10.82977548</v>
      </c>
      <c r="AG18">
        <v>10.33722532</v>
      </c>
      <c r="AH18">
        <v>9.7380222950000004</v>
      </c>
      <c r="AI18">
        <v>9.1296509619999995</v>
      </c>
      <c r="AJ18">
        <v>8.5213990010000007</v>
      </c>
      <c r="AK18">
        <v>7.9110157540000001</v>
      </c>
      <c r="AL18">
        <v>7.295917728</v>
      </c>
      <c r="AM18">
        <v>6.8935453170000001</v>
      </c>
      <c r="AN18">
        <v>6.4966093010000003</v>
      </c>
      <c r="AO18">
        <v>6.0999746469999998</v>
      </c>
      <c r="AP18">
        <v>5.7002698279999997</v>
      </c>
      <c r="AQ18">
        <v>5.292992108</v>
      </c>
      <c r="AR18">
        <v>5.1276695449999998</v>
      </c>
      <c r="AS18">
        <v>4.9691736630000003</v>
      </c>
      <c r="AT18">
        <v>4.8102201520000003</v>
      </c>
      <c r="AU18">
        <v>4.6494833270000004</v>
      </c>
      <c r="AV18">
        <v>4.4486547359999999</v>
      </c>
    </row>
    <row r="19" spans="1:48">
      <c r="A19" t="s">
        <v>26</v>
      </c>
      <c r="B19">
        <v>8.0720537060518599E-2</v>
      </c>
      <c r="C19">
        <v>8.2016531392822806E-2</v>
      </c>
      <c r="D19">
        <v>8.3332882400000002E-2</v>
      </c>
      <c r="E19">
        <v>8.4155181900000001E-2</v>
      </c>
      <c r="F19">
        <v>8.1137951099999994E-2</v>
      </c>
      <c r="G19">
        <v>7.4984697099999997E-2</v>
      </c>
      <c r="H19">
        <v>7.6999632700000001E-2</v>
      </c>
      <c r="I19">
        <v>7.8096814700000003E-2</v>
      </c>
      <c r="J19">
        <v>7.6752790599999995E-2</v>
      </c>
      <c r="K19">
        <v>7.7510929399999998E-2</v>
      </c>
      <c r="L19">
        <v>8.0187598499999999E-2</v>
      </c>
      <c r="M19">
        <v>8.4128705999999998E-2</v>
      </c>
      <c r="N19">
        <v>8.7383390800000002E-2</v>
      </c>
      <c r="O19">
        <v>9.3536466200000001E-2</v>
      </c>
      <c r="P19">
        <v>9.5080866599999994E-2</v>
      </c>
      <c r="Q19">
        <v>9.89627649E-2</v>
      </c>
      <c r="R19">
        <v>0.10347197480000001</v>
      </c>
      <c r="S19">
        <v>0.1181361291</v>
      </c>
      <c r="T19">
        <v>0.1294294808</v>
      </c>
      <c r="U19">
        <v>0.1389513453</v>
      </c>
      <c r="V19">
        <v>0.17869394969999999</v>
      </c>
      <c r="W19">
        <v>0.21596209159999999</v>
      </c>
      <c r="X19">
        <v>0.32711457100000002</v>
      </c>
      <c r="Y19">
        <v>0.43770924779999998</v>
      </c>
      <c r="Z19">
        <v>0.54772191879999998</v>
      </c>
      <c r="AA19">
        <v>0.65729675190000003</v>
      </c>
      <c r="AB19">
        <v>0.76678897970000004</v>
      </c>
      <c r="AC19">
        <v>0.98447879979999997</v>
      </c>
      <c r="AD19">
        <v>1.202202572</v>
      </c>
      <c r="AE19">
        <v>1.4218513749999999</v>
      </c>
      <c r="AF19">
        <v>1.6430736640000001</v>
      </c>
      <c r="AG19">
        <v>1.865849275</v>
      </c>
      <c r="AH19">
        <v>2.1431934419999998</v>
      </c>
      <c r="AI19">
        <v>2.4226871120000002</v>
      </c>
      <c r="AJ19">
        <v>2.7069026369999998</v>
      </c>
      <c r="AK19">
        <v>2.9961843589999999</v>
      </c>
      <c r="AL19">
        <v>3.2905144910000002</v>
      </c>
      <c r="AM19">
        <v>3.4880572459999999</v>
      </c>
      <c r="AN19">
        <v>3.6932061460000001</v>
      </c>
      <c r="AO19">
        <v>3.9048320950000002</v>
      </c>
      <c r="AP19">
        <v>4.1220593399999998</v>
      </c>
      <c r="AQ19">
        <v>4.342309212</v>
      </c>
      <c r="AR19">
        <v>4.4509349870000001</v>
      </c>
      <c r="AS19">
        <v>4.5689421479999996</v>
      </c>
      <c r="AT19">
        <v>4.6907530680000002</v>
      </c>
      <c r="AU19">
        <v>4.815462052</v>
      </c>
      <c r="AV19">
        <v>4.9011534120000002</v>
      </c>
    </row>
    <row r="20" spans="1:48">
      <c r="A20" t="s">
        <v>27</v>
      </c>
      <c r="B20">
        <v>2.4451023560838E-2</v>
      </c>
      <c r="C20">
        <v>2.48435926530149E-2</v>
      </c>
      <c r="D20">
        <v>2.5242402899999999E-2</v>
      </c>
      <c r="E20">
        <v>2.9731448800000001E-2</v>
      </c>
      <c r="F20">
        <v>3.37587445E-2</v>
      </c>
      <c r="G20">
        <v>3.7411396200000002E-2</v>
      </c>
      <c r="H20">
        <v>4.2190332800000001E-2</v>
      </c>
      <c r="I20">
        <v>4.6655700100000003E-2</v>
      </c>
      <c r="J20">
        <v>5.0768523400000001E-2</v>
      </c>
      <c r="K20">
        <v>5.4698708300000003E-2</v>
      </c>
      <c r="L20">
        <v>5.78501716E-2</v>
      </c>
      <c r="M20">
        <v>5.9700780699999997E-2</v>
      </c>
      <c r="N20">
        <v>6.5847437499999995E-2</v>
      </c>
      <c r="O20">
        <v>7.31811401E-2</v>
      </c>
      <c r="P20">
        <v>8.1028714599999996E-2</v>
      </c>
      <c r="Q20">
        <v>9.0227040300000005E-2</v>
      </c>
      <c r="R20">
        <v>0.1015220421</v>
      </c>
      <c r="S20">
        <v>0.15524814379999999</v>
      </c>
      <c r="T20">
        <v>0.1982278334</v>
      </c>
      <c r="U20">
        <v>0.2336408492</v>
      </c>
      <c r="V20">
        <v>0.2231214306</v>
      </c>
      <c r="W20">
        <v>0.21011339640000001</v>
      </c>
      <c r="X20">
        <v>0.2449913853</v>
      </c>
      <c r="Y20">
        <v>0.27982878729999999</v>
      </c>
      <c r="Z20">
        <v>0.31452132849999997</v>
      </c>
      <c r="AA20">
        <v>0.3491194822</v>
      </c>
      <c r="AB20">
        <v>0.3837768278</v>
      </c>
      <c r="AC20">
        <v>0.43952207570000001</v>
      </c>
      <c r="AD20">
        <v>0.4949431031</v>
      </c>
      <c r="AE20">
        <v>0.55091890990000003</v>
      </c>
      <c r="AF20">
        <v>0.60728752090000004</v>
      </c>
      <c r="AG20">
        <v>0.66403901460000003</v>
      </c>
      <c r="AH20">
        <v>0.73251077389999997</v>
      </c>
      <c r="AI20">
        <v>0.80143019059999998</v>
      </c>
      <c r="AJ20">
        <v>0.87164215320000005</v>
      </c>
      <c r="AK20">
        <v>0.94320994499999999</v>
      </c>
      <c r="AL20">
        <v>1.016091614</v>
      </c>
      <c r="AM20">
        <v>1.070215159</v>
      </c>
      <c r="AN20">
        <v>1.126581506</v>
      </c>
      <c r="AO20">
        <v>1.1848201739999999</v>
      </c>
      <c r="AP20">
        <v>1.244648693</v>
      </c>
      <c r="AQ20">
        <v>1.305280421</v>
      </c>
      <c r="AR20">
        <v>1.335106812</v>
      </c>
      <c r="AS20">
        <v>1.367706946</v>
      </c>
      <c r="AT20">
        <v>1.401399539</v>
      </c>
      <c r="AU20">
        <v>1.435910169</v>
      </c>
      <c r="AV20">
        <v>1.4587606440000001</v>
      </c>
    </row>
    <row r="21" spans="1:48">
      <c r="A21" t="s">
        <v>87</v>
      </c>
      <c r="B21">
        <v>1661.8902766824399</v>
      </c>
      <c r="C21">
        <v>1688.5724626282199</v>
      </c>
      <c r="D21">
        <v>1718.383932</v>
      </c>
      <c r="E21">
        <v>1491.634082</v>
      </c>
      <c r="F21">
        <v>1567.8003349999999</v>
      </c>
      <c r="G21">
        <v>1526.289426</v>
      </c>
      <c r="H21">
        <v>1622.9095609999999</v>
      </c>
      <c r="I21">
        <v>1764.2911260000001</v>
      </c>
      <c r="J21">
        <v>1670.2655769999999</v>
      </c>
      <c r="K21">
        <v>1674.8555859999999</v>
      </c>
      <c r="L21">
        <v>1826.639872</v>
      </c>
      <c r="M21">
        <v>1610.0998239999999</v>
      </c>
      <c r="N21">
        <v>1865.775167</v>
      </c>
      <c r="O21">
        <v>1895.660693</v>
      </c>
      <c r="P21">
        <v>2006.1706810000001</v>
      </c>
      <c r="Q21">
        <v>2084.5729879999999</v>
      </c>
      <c r="R21">
        <v>1744.1789900000001</v>
      </c>
      <c r="S21">
        <v>1782.2535350000001</v>
      </c>
      <c r="T21">
        <v>1897.5739309999999</v>
      </c>
      <c r="U21">
        <v>1950.077808</v>
      </c>
      <c r="V21">
        <v>1888.439492</v>
      </c>
      <c r="W21">
        <v>1882.343752</v>
      </c>
      <c r="X21">
        <v>1992.325803</v>
      </c>
      <c r="Y21">
        <v>1950.3803620000001</v>
      </c>
      <c r="Z21">
        <v>1946.4785460000001</v>
      </c>
      <c r="AA21">
        <v>1954.163221</v>
      </c>
      <c r="AB21">
        <v>1967.1423769999999</v>
      </c>
      <c r="AC21">
        <v>1982.454579</v>
      </c>
      <c r="AD21">
        <v>1934.2525599999999</v>
      </c>
      <c r="AE21">
        <v>1976.2341180000001</v>
      </c>
      <c r="AF21">
        <v>2001.9967610000001</v>
      </c>
      <c r="AG21">
        <v>1957.1902250000001</v>
      </c>
      <c r="AH21">
        <v>2067.4945240000002</v>
      </c>
      <c r="AI21">
        <v>2068.5637299999999</v>
      </c>
      <c r="AJ21">
        <v>2078.841414</v>
      </c>
      <c r="AK21">
        <v>2092.749534</v>
      </c>
      <c r="AL21">
        <v>2107.7166400000001</v>
      </c>
      <c r="AM21">
        <v>2110.8957099999998</v>
      </c>
      <c r="AN21">
        <v>2133.161646</v>
      </c>
      <c r="AO21">
        <v>2151.0139549999999</v>
      </c>
      <c r="AP21">
        <v>2167.6738799999998</v>
      </c>
      <c r="AQ21">
        <v>2182.7200600000001</v>
      </c>
      <c r="AR21">
        <v>2193.0800250000002</v>
      </c>
      <c r="AS21">
        <v>2209.881214</v>
      </c>
      <c r="AT21">
        <v>2225.2900519999998</v>
      </c>
      <c r="AU21">
        <v>2240.1521459999999</v>
      </c>
      <c r="AV21">
        <v>2257.3706320000001</v>
      </c>
    </row>
    <row r="22" spans="1:48">
      <c r="A22" t="s">
        <v>88</v>
      </c>
      <c r="B22">
        <v>221.507268734658</v>
      </c>
      <c r="C22">
        <v>225.063639582749</v>
      </c>
      <c r="D22">
        <v>228.6771091</v>
      </c>
      <c r="E22">
        <v>252.50881319999999</v>
      </c>
      <c r="F22">
        <v>263.62142080000001</v>
      </c>
      <c r="G22">
        <v>218.83317070000001</v>
      </c>
      <c r="H22">
        <v>237.3414731</v>
      </c>
      <c r="I22">
        <v>261.2362023</v>
      </c>
      <c r="J22">
        <v>255.61766349999999</v>
      </c>
      <c r="K22">
        <v>271.61400179999998</v>
      </c>
      <c r="L22">
        <v>272.06009549999999</v>
      </c>
      <c r="M22">
        <v>306.00944520000002</v>
      </c>
      <c r="N22">
        <v>274.4088898</v>
      </c>
      <c r="O22">
        <v>302.8305403</v>
      </c>
      <c r="P22">
        <v>310.62874849999997</v>
      </c>
      <c r="Q22">
        <v>316.82453900000002</v>
      </c>
      <c r="R22">
        <v>319.28307669999998</v>
      </c>
      <c r="S22">
        <v>320.7041663</v>
      </c>
      <c r="T22">
        <v>323.17383310000002</v>
      </c>
      <c r="U22">
        <v>326.5365031</v>
      </c>
      <c r="V22">
        <v>329.49388119999998</v>
      </c>
      <c r="W22">
        <v>332.20254240000003</v>
      </c>
      <c r="X22">
        <v>335.4703786</v>
      </c>
      <c r="Y22">
        <v>338.09208089999998</v>
      </c>
      <c r="Z22">
        <v>340.22612450000003</v>
      </c>
      <c r="AA22">
        <v>342.13287020000001</v>
      </c>
      <c r="AB22">
        <v>343.99510179999999</v>
      </c>
      <c r="AC22">
        <v>345.90689780000002</v>
      </c>
      <c r="AD22">
        <v>347.20109029999998</v>
      </c>
      <c r="AE22">
        <v>348.7064264</v>
      </c>
      <c r="AF22">
        <v>350.4702972</v>
      </c>
      <c r="AG22">
        <v>351.70300739999999</v>
      </c>
      <c r="AH22">
        <v>353.91951999999998</v>
      </c>
      <c r="AI22">
        <v>356.30290480000002</v>
      </c>
      <c r="AJ22">
        <v>358.70568420000001</v>
      </c>
      <c r="AK22">
        <v>361.12251629999997</v>
      </c>
      <c r="AL22">
        <v>363.56435809999999</v>
      </c>
      <c r="AM22">
        <v>365.96994239999998</v>
      </c>
      <c r="AN22">
        <v>368.52313099999998</v>
      </c>
      <c r="AO22">
        <v>371.22186340000002</v>
      </c>
      <c r="AP22">
        <v>374.04064779999999</v>
      </c>
      <c r="AQ22">
        <v>376.94178470000003</v>
      </c>
      <c r="AR22">
        <v>379.89046660000002</v>
      </c>
      <c r="AS22">
        <v>382.93411309999999</v>
      </c>
      <c r="AT22">
        <v>386.05804799999999</v>
      </c>
      <c r="AU22">
        <v>389.24115030000002</v>
      </c>
      <c r="AV22">
        <v>392.49344439999999</v>
      </c>
    </row>
    <row r="23" spans="1:48">
      <c r="A23" t="s">
        <v>89</v>
      </c>
      <c r="B23">
        <v>0.96116878123798499</v>
      </c>
      <c r="C23">
        <v>0.98039215686274495</v>
      </c>
      <c r="D23">
        <v>0.999997303</v>
      </c>
      <c r="E23">
        <v>1.0208592590000001</v>
      </c>
      <c r="F23">
        <v>1.041362632</v>
      </c>
      <c r="G23">
        <v>1.0554126429999999</v>
      </c>
      <c r="H23">
        <v>1.0748886230000001</v>
      </c>
      <c r="I23">
        <v>1.0947424889999999</v>
      </c>
      <c r="J23">
        <v>1.1106118819999999</v>
      </c>
      <c r="K23">
        <v>1.1270495659999999</v>
      </c>
      <c r="L23">
        <v>1.1461570590000001</v>
      </c>
      <c r="M23">
        <v>1.166506123</v>
      </c>
      <c r="N23">
        <v>1.182767007</v>
      </c>
      <c r="O23">
        <v>1.2034107430000001</v>
      </c>
      <c r="P23">
        <v>1.2230953609999999</v>
      </c>
      <c r="Q23">
        <v>1.2449481389999999</v>
      </c>
      <c r="R23">
        <v>1.2649535759999999</v>
      </c>
      <c r="S23">
        <v>1.294233051</v>
      </c>
      <c r="T23">
        <v>1.327167948</v>
      </c>
      <c r="U23">
        <v>1.3631001970000001</v>
      </c>
      <c r="V23">
        <v>1.400054433</v>
      </c>
      <c r="W23">
        <v>1.440597315</v>
      </c>
      <c r="X23">
        <v>1.481200987</v>
      </c>
      <c r="Y23">
        <v>1.5216844570000001</v>
      </c>
      <c r="Z23">
        <v>1.5617471629999999</v>
      </c>
      <c r="AA23">
        <v>1.6007066270000001</v>
      </c>
      <c r="AB23">
        <v>1.6382793259999999</v>
      </c>
      <c r="AC23">
        <v>1.6745742020000001</v>
      </c>
      <c r="AD23">
        <v>1.7097147020000001</v>
      </c>
      <c r="AE23">
        <v>1.743562974</v>
      </c>
      <c r="AF23">
        <v>1.7766416549999999</v>
      </c>
      <c r="AG23">
        <v>1.8093104019999999</v>
      </c>
      <c r="AH23">
        <v>1.8415773769999999</v>
      </c>
      <c r="AI23">
        <v>1.8737440729999999</v>
      </c>
      <c r="AJ23">
        <v>1.9062410169999999</v>
      </c>
      <c r="AK23">
        <v>1.9392366240000001</v>
      </c>
      <c r="AL23">
        <v>1.9728631459999999</v>
      </c>
      <c r="AM23">
        <v>2.006835583</v>
      </c>
      <c r="AN23">
        <v>2.0417923400000002</v>
      </c>
      <c r="AO23">
        <v>2.077745685</v>
      </c>
      <c r="AP23">
        <v>2.114897649</v>
      </c>
      <c r="AQ23">
        <v>2.153155436</v>
      </c>
      <c r="AR23">
        <v>2.192688355</v>
      </c>
      <c r="AS23">
        <v>2.233677852</v>
      </c>
      <c r="AT23">
        <v>2.2760362029999999</v>
      </c>
      <c r="AU23">
        <v>2.3198798169999999</v>
      </c>
      <c r="AV23">
        <v>2.3658265549999999</v>
      </c>
    </row>
    <row r="24" spans="1:48">
      <c r="A24" t="s">
        <v>90</v>
      </c>
      <c r="B24">
        <v>0.96116878123798499</v>
      </c>
      <c r="C24">
        <v>0.98039215686274495</v>
      </c>
      <c r="D24">
        <v>0.99999973880000004</v>
      </c>
      <c r="E24">
        <v>1.016337756</v>
      </c>
      <c r="F24">
        <v>1.027215966</v>
      </c>
      <c r="G24">
        <v>1.0292201089999999</v>
      </c>
      <c r="H24">
        <v>1.0549643660000001</v>
      </c>
      <c r="I24">
        <v>1.0851845170000001</v>
      </c>
      <c r="J24">
        <v>1.107657718</v>
      </c>
      <c r="K24">
        <v>1.1275854910000001</v>
      </c>
      <c r="L24">
        <v>1.1516929090000001</v>
      </c>
      <c r="M24">
        <v>1.184890032</v>
      </c>
      <c r="N24">
        <v>1.209818225</v>
      </c>
      <c r="O24">
        <v>1.233173689</v>
      </c>
      <c r="P24">
        <v>1.2509970029999999</v>
      </c>
      <c r="Q24">
        <v>1.265282636</v>
      </c>
      <c r="R24">
        <v>1.274907612</v>
      </c>
      <c r="S24">
        <v>1.3001872569999999</v>
      </c>
      <c r="T24">
        <v>1.328051962</v>
      </c>
      <c r="U24">
        <v>1.3646001569999999</v>
      </c>
      <c r="V24">
        <v>1.3997365399999999</v>
      </c>
      <c r="W24">
        <v>1.4411033600000001</v>
      </c>
      <c r="X24">
        <v>1.478569491</v>
      </c>
      <c r="Y24">
        <v>1.519379228</v>
      </c>
      <c r="Z24">
        <v>1.5610018779999999</v>
      </c>
      <c r="AA24">
        <v>1.6017636399999999</v>
      </c>
      <c r="AB24">
        <v>1.6408163689999999</v>
      </c>
      <c r="AC24">
        <v>1.6785946169999999</v>
      </c>
      <c r="AD24">
        <v>1.7139597470000001</v>
      </c>
      <c r="AE24">
        <v>1.7466770359999999</v>
      </c>
      <c r="AF24">
        <v>1.7769780820000001</v>
      </c>
      <c r="AG24">
        <v>1.8057340079999999</v>
      </c>
      <c r="AH24">
        <v>1.8326188430000001</v>
      </c>
      <c r="AI24">
        <v>1.858129425</v>
      </c>
      <c r="AJ24">
        <v>1.8839764939999999</v>
      </c>
      <c r="AK24">
        <v>1.910269395</v>
      </c>
      <c r="AL24">
        <v>1.9371193470000001</v>
      </c>
      <c r="AM24">
        <v>1.9635373199999999</v>
      </c>
      <c r="AN24">
        <v>1.9912447660000001</v>
      </c>
      <c r="AO24">
        <v>2.0206812200000002</v>
      </c>
      <c r="AP24">
        <v>2.0523911410000002</v>
      </c>
      <c r="AQ24">
        <v>2.0854583249999998</v>
      </c>
      <c r="AR24">
        <v>2.12041009</v>
      </c>
      <c r="AS24">
        <v>2.157104082</v>
      </c>
      <c r="AT24">
        <v>2.1951682830000001</v>
      </c>
      <c r="AU24">
        <v>2.234792423</v>
      </c>
      <c r="AV24">
        <v>2.2787323540000002</v>
      </c>
    </row>
    <row r="25" spans="1:48">
      <c r="A25" t="s">
        <v>14</v>
      </c>
      <c r="B25">
        <v>0.96116878123798499</v>
      </c>
      <c r="C25">
        <v>0.98039215686274495</v>
      </c>
      <c r="D25">
        <v>0.99999538889999995</v>
      </c>
      <c r="E25">
        <v>1.0226411339999999</v>
      </c>
      <c r="F25">
        <v>1.0412671419999999</v>
      </c>
      <c r="G25">
        <v>1.054674608</v>
      </c>
      <c r="H25">
        <v>1.0652824949999999</v>
      </c>
      <c r="I25">
        <v>1.0756227709999999</v>
      </c>
      <c r="J25">
        <v>1.083645118</v>
      </c>
      <c r="K25">
        <v>1.0959972069999999</v>
      </c>
      <c r="L25">
        <v>1.1099909610000001</v>
      </c>
      <c r="M25">
        <v>1.1240994980000001</v>
      </c>
      <c r="N25">
        <v>1.1324901380000001</v>
      </c>
      <c r="O25">
        <v>1.1431620389999999</v>
      </c>
      <c r="P25">
        <v>1.1568999550000001</v>
      </c>
      <c r="Q25">
        <v>1.1821791610000001</v>
      </c>
      <c r="R25">
        <v>1.2057776549999999</v>
      </c>
      <c r="S25">
        <v>1.239074926</v>
      </c>
      <c r="T25">
        <v>1.2778430359999999</v>
      </c>
      <c r="U25">
        <v>1.321932197</v>
      </c>
      <c r="V25">
        <v>1.369733256</v>
      </c>
      <c r="W25">
        <v>1.4220386199999999</v>
      </c>
      <c r="X25">
        <v>1.4746150309999999</v>
      </c>
      <c r="Y25">
        <v>1.526019376</v>
      </c>
      <c r="Z25">
        <v>1.575067982</v>
      </c>
      <c r="AA25">
        <v>1.621143781</v>
      </c>
      <c r="AB25">
        <v>1.6639320559999999</v>
      </c>
      <c r="AC25">
        <v>1.703378748</v>
      </c>
      <c r="AD25">
        <v>1.739899131</v>
      </c>
      <c r="AE25">
        <v>1.77404604</v>
      </c>
      <c r="AF25">
        <v>1.8062935689999999</v>
      </c>
      <c r="AG25">
        <v>1.8371998620000001</v>
      </c>
      <c r="AH25">
        <v>1.8672260300000001</v>
      </c>
      <c r="AI25">
        <v>1.8965209519999999</v>
      </c>
      <c r="AJ25">
        <v>1.92578212</v>
      </c>
      <c r="AK25">
        <v>1.9552852430000001</v>
      </c>
      <c r="AL25">
        <v>1.985284619</v>
      </c>
      <c r="AM25">
        <v>2.0153310499999999</v>
      </c>
      <c r="AN25">
        <v>2.0461713549999998</v>
      </c>
      <c r="AO25">
        <v>2.0780315119999999</v>
      </c>
      <c r="AP25">
        <v>2.1111642399999999</v>
      </c>
      <c r="AQ25">
        <v>2.145669861</v>
      </c>
      <c r="AR25">
        <v>2.1817269160000001</v>
      </c>
      <c r="AS25">
        <v>2.219635925</v>
      </c>
      <c r="AT25">
        <v>2.2594915260000001</v>
      </c>
      <c r="AU25">
        <v>2.3014511139999998</v>
      </c>
      <c r="AV25">
        <v>2.345880331</v>
      </c>
    </row>
    <row r="26" spans="1:48">
      <c r="A26" t="s">
        <v>91</v>
      </c>
      <c r="B26">
        <v>1661.8902766824399</v>
      </c>
      <c r="C26">
        <v>1688.5724626282199</v>
      </c>
      <c r="D26">
        <v>1718.383932</v>
      </c>
      <c r="E26">
        <v>1491.634082</v>
      </c>
      <c r="F26">
        <v>1567.8003349999999</v>
      </c>
      <c r="G26">
        <v>1526.289426</v>
      </c>
      <c r="H26">
        <v>1622.9095609999999</v>
      </c>
      <c r="I26">
        <v>1764.2911260000001</v>
      </c>
      <c r="J26">
        <v>1670.2655769999999</v>
      </c>
      <c r="K26">
        <v>1674.8555859999999</v>
      </c>
      <c r="L26">
        <v>1826.639872</v>
      </c>
      <c r="M26">
        <v>1610.0998239999999</v>
      </c>
      <c r="N26">
        <v>1865.775167</v>
      </c>
      <c r="O26">
        <v>1895.660693</v>
      </c>
      <c r="P26">
        <v>2006.1706810000001</v>
      </c>
      <c r="Q26">
        <v>2084.5729879999999</v>
      </c>
      <c r="R26">
        <v>1744.1789900000001</v>
      </c>
      <c r="S26">
        <v>1782.2535350000001</v>
      </c>
      <c r="T26">
        <v>1897.5739309999999</v>
      </c>
      <c r="U26">
        <v>1950.077808</v>
      </c>
      <c r="V26">
        <v>2700.773416</v>
      </c>
      <c r="W26">
        <v>2540.8403239999998</v>
      </c>
      <c r="X26">
        <v>1923.363255</v>
      </c>
      <c r="Y26">
        <v>2066.4942700000001</v>
      </c>
      <c r="Z26">
        <v>2141.056666</v>
      </c>
      <c r="AA26">
        <v>2183.7179270000001</v>
      </c>
      <c r="AB26">
        <v>2215.5376379999998</v>
      </c>
      <c r="AC26">
        <v>2133.0062939999998</v>
      </c>
      <c r="AD26">
        <v>2151.1959959999999</v>
      </c>
      <c r="AE26">
        <v>2164.6633270000002</v>
      </c>
      <c r="AF26">
        <v>2179.5012969999998</v>
      </c>
      <c r="AG26">
        <v>2194.9691710000002</v>
      </c>
      <c r="AH26">
        <v>2261.8148769999998</v>
      </c>
      <c r="AI26">
        <v>2273.7548000000002</v>
      </c>
      <c r="AJ26">
        <v>2293.0904949999999</v>
      </c>
      <c r="AK26">
        <v>2315.5078840000001</v>
      </c>
      <c r="AL26">
        <v>2340.439515</v>
      </c>
      <c r="AM26">
        <v>2346.766795</v>
      </c>
      <c r="AN26">
        <v>2372.9147549999998</v>
      </c>
      <c r="AO26">
        <v>2396.0758150000001</v>
      </c>
      <c r="AP26">
        <v>2417.974522</v>
      </c>
      <c r="AQ26">
        <v>2477.500309</v>
      </c>
      <c r="AR26">
        <v>2447.9519059999998</v>
      </c>
      <c r="AS26">
        <v>2462.9402530000002</v>
      </c>
      <c r="AT26">
        <v>2478.065568</v>
      </c>
      <c r="AU26">
        <v>2493.1910939999998</v>
      </c>
      <c r="AV26">
        <v>2438.64435</v>
      </c>
    </row>
    <row r="27" spans="1:48">
      <c r="A27" t="s">
        <v>92</v>
      </c>
      <c r="B27">
        <v>221.507268734658</v>
      </c>
      <c r="C27">
        <v>225.063639582749</v>
      </c>
      <c r="D27">
        <v>228.6771091</v>
      </c>
      <c r="E27">
        <v>252.50881319999999</v>
      </c>
      <c r="F27">
        <v>263.62142080000001</v>
      </c>
      <c r="G27">
        <v>218.83317070000001</v>
      </c>
      <c r="H27">
        <v>237.3414731</v>
      </c>
      <c r="I27">
        <v>261.2362023</v>
      </c>
      <c r="J27">
        <v>255.61766349999999</v>
      </c>
      <c r="K27">
        <v>271.61400179999998</v>
      </c>
      <c r="L27">
        <v>272.06009549999999</v>
      </c>
      <c r="M27">
        <v>306.00944520000002</v>
      </c>
      <c r="N27">
        <v>274.4088898</v>
      </c>
      <c r="O27">
        <v>302.8305403</v>
      </c>
      <c r="P27">
        <v>310.62874849999997</v>
      </c>
      <c r="Q27">
        <v>316.82453900000002</v>
      </c>
      <c r="R27">
        <v>319.28307669999998</v>
      </c>
      <c r="S27">
        <v>320.7041663</v>
      </c>
      <c r="T27">
        <v>323.17383310000002</v>
      </c>
      <c r="U27">
        <v>326.5365031</v>
      </c>
      <c r="V27">
        <v>339.29613899999998</v>
      </c>
      <c r="W27">
        <v>352.40811650000001</v>
      </c>
      <c r="X27">
        <v>357.94545119999998</v>
      </c>
      <c r="Y27">
        <v>362.15919209999998</v>
      </c>
      <c r="Z27">
        <v>366.39453700000001</v>
      </c>
      <c r="AA27">
        <v>370.75647739999999</v>
      </c>
      <c r="AB27">
        <v>375.2421334</v>
      </c>
      <c r="AC27">
        <v>378.50622629999998</v>
      </c>
      <c r="AD27">
        <v>381.35391270000002</v>
      </c>
      <c r="AE27">
        <v>384.02289339999999</v>
      </c>
      <c r="AF27">
        <v>386.65839820000002</v>
      </c>
      <c r="AG27">
        <v>389.31503570000001</v>
      </c>
      <c r="AH27">
        <v>392.52050980000001</v>
      </c>
      <c r="AI27">
        <v>395.83108290000001</v>
      </c>
      <c r="AJ27">
        <v>399.18457080000002</v>
      </c>
      <c r="AK27">
        <v>402.5967387</v>
      </c>
      <c r="AL27">
        <v>406.12653039999998</v>
      </c>
      <c r="AM27">
        <v>409.6232273</v>
      </c>
      <c r="AN27">
        <v>413.24235750000003</v>
      </c>
      <c r="AO27">
        <v>416.99503329999999</v>
      </c>
      <c r="AP27">
        <v>420.8649911</v>
      </c>
      <c r="AQ27">
        <v>425.25731530000002</v>
      </c>
      <c r="AR27">
        <v>429.32473399999998</v>
      </c>
      <c r="AS27">
        <v>433.3112825</v>
      </c>
      <c r="AT27">
        <v>437.29740279999999</v>
      </c>
      <c r="AU27">
        <v>441.31009160000002</v>
      </c>
      <c r="AV27">
        <v>444.57419970000001</v>
      </c>
    </row>
    <row r="28" spans="1:48">
      <c r="A28" t="s">
        <v>93</v>
      </c>
      <c r="B28">
        <v>0.96116878123798499</v>
      </c>
      <c r="C28">
        <v>0.98039215686274495</v>
      </c>
      <c r="D28">
        <v>0.999997303</v>
      </c>
      <c r="E28">
        <v>1.0208592590000001</v>
      </c>
      <c r="F28">
        <v>1.041362632</v>
      </c>
      <c r="G28">
        <v>1.0554126429999999</v>
      </c>
      <c r="H28">
        <v>1.0748886230000001</v>
      </c>
      <c r="I28">
        <v>1.0947424889999999</v>
      </c>
      <c r="J28">
        <v>1.1106118819999999</v>
      </c>
      <c r="K28">
        <v>1.1270495659999999</v>
      </c>
      <c r="L28">
        <v>1.1461570590000001</v>
      </c>
      <c r="M28">
        <v>1.166506123</v>
      </c>
      <c r="N28">
        <v>1.182767007</v>
      </c>
      <c r="O28">
        <v>1.2034107430000001</v>
      </c>
      <c r="P28">
        <v>1.2230953609999999</v>
      </c>
      <c r="Q28">
        <v>1.2449481389999999</v>
      </c>
      <c r="R28">
        <v>1.2649535759999999</v>
      </c>
      <c r="S28">
        <v>1.294233051</v>
      </c>
      <c r="T28">
        <v>1.327167948</v>
      </c>
      <c r="U28">
        <v>1.3631001970000001</v>
      </c>
      <c r="V28">
        <v>1.4064322490000001</v>
      </c>
      <c r="W28">
        <v>1.4467131600000001</v>
      </c>
      <c r="X28">
        <v>1.4886434850000001</v>
      </c>
      <c r="Y28">
        <v>1.532533073</v>
      </c>
      <c r="Z28">
        <v>1.576336135</v>
      </c>
      <c r="AA28">
        <v>1.6197405890000001</v>
      </c>
      <c r="AB28">
        <v>1.662755542</v>
      </c>
      <c r="AC28">
        <v>1.7075269369999999</v>
      </c>
      <c r="AD28">
        <v>1.750604914</v>
      </c>
      <c r="AE28">
        <v>1.792818875</v>
      </c>
      <c r="AF28">
        <v>1.834553324</v>
      </c>
      <c r="AG28">
        <v>1.876028966</v>
      </c>
      <c r="AH28">
        <v>1.916809159</v>
      </c>
      <c r="AI28">
        <v>1.9578339950000001</v>
      </c>
      <c r="AJ28">
        <v>1.9985579870000001</v>
      </c>
      <c r="AK28">
        <v>2.039188153</v>
      </c>
      <c r="AL28">
        <v>2.0802105040000001</v>
      </c>
      <c r="AM28">
        <v>2.1221613650000002</v>
      </c>
      <c r="AN28">
        <v>2.1642336470000001</v>
      </c>
      <c r="AO28">
        <v>2.2070594099999998</v>
      </c>
      <c r="AP28">
        <v>2.250967728</v>
      </c>
      <c r="AQ28">
        <v>2.2952539710000002</v>
      </c>
      <c r="AR28">
        <v>2.3419348370000002</v>
      </c>
      <c r="AS28">
        <v>2.3895479220000002</v>
      </c>
      <c r="AT28">
        <v>2.438586758</v>
      </c>
      <c r="AU28">
        <v>2.489111136</v>
      </c>
      <c r="AV28">
        <v>2.5428758760000001</v>
      </c>
    </row>
    <row r="29" spans="1:48">
      <c r="A29" t="s">
        <v>94</v>
      </c>
      <c r="B29">
        <v>0.96116878123798499</v>
      </c>
      <c r="C29">
        <v>0.98039215686274495</v>
      </c>
      <c r="D29">
        <v>0.99999973880000004</v>
      </c>
      <c r="E29">
        <v>1.016337756</v>
      </c>
      <c r="F29">
        <v>1.027215966</v>
      </c>
      <c r="G29">
        <v>1.0292201089999999</v>
      </c>
      <c r="H29">
        <v>1.0549643660000001</v>
      </c>
      <c r="I29">
        <v>1.0851845170000001</v>
      </c>
      <c r="J29">
        <v>1.107657718</v>
      </c>
      <c r="K29">
        <v>1.1275854910000001</v>
      </c>
      <c r="L29">
        <v>1.1516929090000001</v>
      </c>
      <c r="M29">
        <v>1.184890032</v>
      </c>
      <c r="N29">
        <v>1.209818225</v>
      </c>
      <c r="O29">
        <v>1.233173689</v>
      </c>
      <c r="P29">
        <v>1.2509970029999999</v>
      </c>
      <c r="Q29">
        <v>1.265282636</v>
      </c>
      <c r="R29">
        <v>1.274907612</v>
      </c>
      <c r="S29">
        <v>1.3001872569999999</v>
      </c>
      <c r="T29">
        <v>1.328051962</v>
      </c>
      <c r="U29">
        <v>1.3646001569999999</v>
      </c>
      <c r="V29">
        <v>1.4130567839999999</v>
      </c>
      <c r="W29">
        <v>1.4584809809999999</v>
      </c>
      <c r="X29">
        <v>1.5052906589999999</v>
      </c>
      <c r="Y29">
        <v>1.550903997</v>
      </c>
      <c r="Z29">
        <v>1.596596726</v>
      </c>
      <c r="AA29">
        <v>1.6418704749999999</v>
      </c>
      <c r="AB29">
        <v>1.6878502660000001</v>
      </c>
      <c r="AC29">
        <v>1.7397696540000001</v>
      </c>
      <c r="AD29">
        <v>1.7886419119999999</v>
      </c>
      <c r="AE29">
        <v>1.834561873</v>
      </c>
      <c r="AF29">
        <v>1.879122994</v>
      </c>
      <c r="AG29">
        <v>1.923142868</v>
      </c>
      <c r="AH29">
        <v>1.967000023</v>
      </c>
      <c r="AI29">
        <v>2.0089494619999999</v>
      </c>
      <c r="AJ29">
        <v>2.0497150639999999</v>
      </c>
      <c r="AK29">
        <v>2.089727007</v>
      </c>
      <c r="AL29">
        <v>2.1309604819999999</v>
      </c>
      <c r="AM29">
        <v>2.1737502279999998</v>
      </c>
      <c r="AN29">
        <v>2.2168135219999998</v>
      </c>
      <c r="AO29">
        <v>2.2607933259999999</v>
      </c>
      <c r="AP29">
        <v>2.306708355</v>
      </c>
      <c r="AQ29">
        <v>2.3531689469999999</v>
      </c>
      <c r="AR29">
        <v>2.4010274759999999</v>
      </c>
      <c r="AS29">
        <v>2.4523906110000002</v>
      </c>
      <c r="AT29">
        <v>2.5061556280000001</v>
      </c>
      <c r="AU29">
        <v>2.5622647500000002</v>
      </c>
      <c r="AV29">
        <v>2.6221096930000001</v>
      </c>
    </row>
    <row r="30" spans="1:48">
      <c r="A30" t="s">
        <v>19</v>
      </c>
      <c r="B30">
        <v>0.96116878123798499</v>
      </c>
      <c r="C30">
        <v>0.98039215686274495</v>
      </c>
      <c r="D30">
        <v>0.99999538889999995</v>
      </c>
      <c r="E30">
        <v>1.0226411339999999</v>
      </c>
      <c r="F30">
        <v>1.0412671419999999</v>
      </c>
      <c r="G30">
        <v>1.054674608</v>
      </c>
      <c r="H30">
        <v>1.0652824949999999</v>
      </c>
      <c r="I30">
        <v>1.0756227709999999</v>
      </c>
      <c r="J30">
        <v>1.083645118</v>
      </c>
      <c r="K30">
        <v>1.0959972069999999</v>
      </c>
      <c r="L30">
        <v>1.1099909610000001</v>
      </c>
      <c r="M30">
        <v>1.1240994980000001</v>
      </c>
      <c r="N30">
        <v>1.1324901380000001</v>
      </c>
      <c r="O30">
        <v>1.1431620389999999</v>
      </c>
      <c r="P30">
        <v>1.1568999550000001</v>
      </c>
      <c r="Q30">
        <v>1.1821791610000001</v>
      </c>
      <c r="R30">
        <v>1.2057776549999999</v>
      </c>
      <c r="S30">
        <v>1.239074926</v>
      </c>
      <c r="T30">
        <v>1.2778430359999999</v>
      </c>
      <c r="U30">
        <v>1.321932197</v>
      </c>
      <c r="V30">
        <v>1.3747709589999999</v>
      </c>
      <c r="W30">
        <v>1.4291892159999999</v>
      </c>
      <c r="X30">
        <v>1.486925469</v>
      </c>
      <c r="Y30">
        <v>1.5451094329999999</v>
      </c>
      <c r="Z30">
        <v>1.602844097</v>
      </c>
      <c r="AA30">
        <v>1.659140574</v>
      </c>
      <c r="AB30">
        <v>1.7138419659999999</v>
      </c>
      <c r="AC30">
        <v>1.7677529380000001</v>
      </c>
      <c r="AD30">
        <v>1.8196688910000001</v>
      </c>
      <c r="AE30">
        <v>1.8697107740000001</v>
      </c>
      <c r="AF30">
        <v>1.9187841960000001</v>
      </c>
      <c r="AG30">
        <v>1.967008002</v>
      </c>
      <c r="AH30">
        <v>2.0144198329999998</v>
      </c>
      <c r="AI30">
        <v>2.0606512330000002</v>
      </c>
      <c r="AJ30">
        <v>2.1060042619999999</v>
      </c>
      <c r="AK30">
        <v>2.1506547679999999</v>
      </c>
      <c r="AL30">
        <v>2.1951492579999998</v>
      </c>
      <c r="AM30">
        <v>2.2395461650000001</v>
      </c>
      <c r="AN30">
        <v>2.283973483</v>
      </c>
      <c r="AO30">
        <v>2.3289206079999998</v>
      </c>
      <c r="AP30">
        <v>2.3748794009999998</v>
      </c>
      <c r="AQ30">
        <v>2.4219141799999999</v>
      </c>
      <c r="AR30">
        <v>2.4701317039999999</v>
      </c>
      <c r="AS30">
        <v>2.5199989120000001</v>
      </c>
      <c r="AT30">
        <v>2.5715203799999999</v>
      </c>
      <c r="AU30">
        <v>2.6248518340000002</v>
      </c>
      <c r="AV30">
        <v>2.6808876339999999</v>
      </c>
    </row>
    <row r="31" spans="1:48">
      <c r="A31" t="s">
        <v>451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>
      <c r="A32" t="s">
        <v>452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276.70909760000001</v>
      </c>
      <c r="W32">
        <v>271.54015950000002</v>
      </c>
      <c r="X32">
        <v>230.5770133</v>
      </c>
      <c r="Y32">
        <v>226.96829980000001</v>
      </c>
      <c r="Z32">
        <v>220.98806669999999</v>
      </c>
      <c r="AA32">
        <v>212.56867320000001</v>
      </c>
      <c r="AB32">
        <v>202.04223250000001</v>
      </c>
      <c r="AC32">
        <v>341.87340449999999</v>
      </c>
      <c r="AD32">
        <v>370.09420019999999</v>
      </c>
      <c r="AE32">
        <v>401.96537660000001</v>
      </c>
      <c r="AF32">
        <v>435.42098579999998</v>
      </c>
      <c r="AG32">
        <v>470.41640169999999</v>
      </c>
      <c r="AH32">
        <v>555.95044800000005</v>
      </c>
      <c r="AI32">
        <v>601.27361689999998</v>
      </c>
      <c r="AJ32">
        <v>649.74600599999997</v>
      </c>
      <c r="AK32">
        <v>701.14784499999996</v>
      </c>
      <c r="AL32">
        <v>755.71857620000003</v>
      </c>
      <c r="AM32">
        <v>711.88091099999997</v>
      </c>
      <c r="AN32">
        <v>763.1404288</v>
      </c>
      <c r="AO32">
        <v>816.26136299999996</v>
      </c>
      <c r="AP32">
        <v>871.72029569999995</v>
      </c>
      <c r="AQ32">
        <v>943.28910580000002</v>
      </c>
      <c r="AR32">
        <v>811.19679910000002</v>
      </c>
      <c r="AS32">
        <v>856.5171216</v>
      </c>
      <c r="AT32">
        <v>903.93697410000004</v>
      </c>
      <c r="AU32">
        <v>953.48469709999995</v>
      </c>
      <c r="AV32">
        <v>270.96179460000002</v>
      </c>
    </row>
    <row r="33" spans="1:48">
      <c r="A33" t="s">
        <v>95</v>
      </c>
      <c r="B33">
        <v>0.70773560509036804</v>
      </c>
      <c r="C33">
        <v>0.71909852915366201</v>
      </c>
      <c r="D33">
        <v>0.72654361420000002</v>
      </c>
      <c r="E33">
        <v>0.72476181019999997</v>
      </c>
      <c r="F33">
        <v>0.72449532890000001</v>
      </c>
      <c r="G33">
        <v>0.72617212519999996</v>
      </c>
      <c r="H33">
        <v>0.73053261869999997</v>
      </c>
      <c r="I33">
        <v>0.73767848930000002</v>
      </c>
      <c r="J33">
        <v>0.74096636569999996</v>
      </c>
      <c r="K33">
        <v>0.74287378150000005</v>
      </c>
      <c r="L33">
        <v>0.75034505340000002</v>
      </c>
      <c r="M33">
        <v>0.7458922442</v>
      </c>
      <c r="N33">
        <v>0.75621937829999997</v>
      </c>
      <c r="O33">
        <v>0.76356704580000001</v>
      </c>
      <c r="P33">
        <v>0.77350167489999999</v>
      </c>
      <c r="Q33">
        <v>0.78191286230000001</v>
      </c>
      <c r="R33">
        <v>0.77237769720000005</v>
      </c>
      <c r="S33">
        <v>0.76189788209999998</v>
      </c>
      <c r="T33">
        <v>0.75768333659999998</v>
      </c>
      <c r="U33">
        <v>0.75675750050000001</v>
      </c>
      <c r="V33">
        <v>0.75450662719999995</v>
      </c>
      <c r="W33">
        <v>0.73471719889999998</v>
      </c>
      <c r="X33">
        <v>0.72232529909999998</v>
      </c>
      <c r="Y33">
        <v>0.70771974400000004</v>
      </c>
      <c r="Z33">
        <v>0.69244574520000002</v>
      </c>
      <c r="AA33">
        <v>0.67695424150000005</v>
      </c>
      <c r="AB33">
        <v>0.6614182193</v>
      </c>
      <c r="AC33">
        <v>0.64457676669999997</v>
      </c>
      <c r="AD33">
        <v>0.6258387983</v>
      </c>
      <c r="AE33">
        <v>0.60802037730000003</v>
      </c>
      <c r="AF33">
        <v>0.59049842109999995</v>
      </c>
      <c r="AG33">
        <v>0.57133785479999999</v>
      </c>
      <c r="AH33">
        <v>0.56169156949999999</v>
      </c>
      <c r="AI33">
        <v>0.55155987289999997</v>
      </c>
      <c r="AJ33">
        <v>0.54120030880000003</v>
      </c>
      <c r="AK33">
        <v>0.53070069470000003</v>
      </c>
      <c r="AL33">
        <v>0.52007503779999997</v>
      </c>
      <c r="AM33">
        <v>0.51754576500000005</v>
      </c>
      <c r="AN33">
        <v>0.51521576199999997</v>
      </c>
      <c r="AO33">
        <v>0.51295128150000002</v>
      </c>
      <c r="AP33">
        <v>0.51070470830000003</v>
      </c>
      <c r="AQ33">
        <v>0.50842493639999997</v>
      </c>
      <c r="AR33">
        <v>0.51214123060000005</v>
      </c>
      <c r="AS33">
        <v>0.51596942000000001</v>
      </c>
      <c r="AT33">
        <v>0.51986754440000005</v>
      </c>
      <c r="AU33">
        <v>0.52381600579999998</v>
      </c>
      <c r="AV33">
        <v>0.52786211490000001</v>
      </c>
    </row>
    <row r="34" spans="1:48">
      <c r="A34" t="s">
        <v>96</v>
      </c>
      <c r="B34">
        <v>0.273913131298955</v>
      </c>
      <c r="C34">
        <v>0.27831089522167202</v>
      </c>
      <c r="D34">
        <v>0.28277923970000002</v>
      </c>
      <c r="E34">
        <v>0.28920355910000001</v>
      </c>
      <c r="F34">
        <v>0.28082646179999998</v>
      </c>
      <c r="G34">
        <v>0.26343695379999998</v>
      </c>
      <c r="H34">
        <v>0.2712627796</v>
      </c>
      <c r="I34">
        <v>0.27122685759999998</v>
      </c>
      <c r="J34">
        <v>0.26700272689999999</v>
      </c>
      <c r="K34">
        <v>0.26857960040000001</v>
      </c>
      <c r="L34">
        <v>0.268752198</v>
      </c>
      <c r="M34">
        <v>0.26855721459999998</v>
      </c>
      <c r="N34">
        <v>0.27400830879999999</v>
      </c>
      <c r="O34">
        <v>0.2872695924</v>
      </c>
      <c r="P34">
        <v>0.28592520900000001</v>
      </c>
      <c r="Q34">
        <v>0.29610794229999998</v>
      </c>
      <c r="R34">
        <v>0.2962175064</v>
      </c>
      <c r="S34">
        <v>0.29807896649999999</v>
      </c>
      <c r="T34">
        <v>0.30122855300000001</v>
      </c>
      <c r="U34">
        <v>0.30477393120000001</v>
      </c>
      <c r="V34">
        <v>0.30704096600000003</v>
      </c>
      <c r="W34">
        <v>0.31182144020000002</v>
      </c>
      <c r="X34">
        <v>0.31788802290000001</v>
      </c>
      <c r="Y34">
        <v>0.32314305119999998</v>
      </c>
      <c r="Z34">
        <v>0.32821958919999999</v>
      </c>
      <c r="AA34">
        <v>0.33331439239999999</v>
      </c>
      <c r="AB34">
        <v>0.33851410259999998</v>
      </c>
      <c r="AC34">
        <v>0.34398275099999998</v>
      </c>
      <c r="AD34">
        <v>0.34855417649999998</v>
      </c>
      <c r="AE34">
        <v>0.35374142949999998</v>
      </c>
      <c r="AF34">
        <v>0.35924724940000002</v>
      </c>
      <c r="AG34">
        <v>0.36387955690000001</v>
      </c>
      <c r="AH34">
        <v>0.36875999329999998</v>
      </c>
      <c r="AI34">
        <v>0.37348207570000003</v>
      </c>
      <c r="AJ34">
        <v>0.37820747640000002</v>
      </c>
      <c r="AK34">
        <v>0.38299696509999998</v>
      </c>
      <c r="AL34">
        <v>0.38786444619999999</v>
      </c>
      <c r="AM34">
        <v>0.39081078609999997</v>
      </c>
      <c r="AN34">
        <v>0.39397312670000001</v>
      </c>
      <c r="AO34">
        <v>0.39725595670000002</v>
      </c>
      <c r="AP34">
        <v>0.40062635940000002</v>
      </c>
      <c r="AQ34">
        <v>0.40404690469999999</v>
      </c>
      <c r="AR34">
        <v>0.40700025550000002</v>
      </c>
      <c r="AS34">
        <v>0.41004252969999999</v>
      </c>
      <c r="AT34">
        <v>0.41314038149999999</v>
      </c>
      <c r="AU34">
        <v>0.41627823619999998</v>
      </c>
      <c r="AV34">
        <v>0.41949369190000002</v>
      </c>
    </row>
    <row r="35" spans="1:48">
      <c r="A35" t="s">
        <v>97</v>
      </c>
      <c r="B35">
        <v>2.4964280861431799E-2</v>
      </c>
      <c r="C35">
        <v>2.5365090465587499E-2</v>
      </c>
      <c r="D35">
        <v>2.5772333599999999E-2</v>
      </c>
      <c r="E35">
        <v>2.7975774799999999E-2</v>
      </c>
      <c r="F35">
        <v>2.9458840399999998E-2</v>
      </c>
      <c r="G35">
        <v>3.0540280600000001E-2</v>
      </c>
      <c r="H35">
        <v>3.2984811599999997E-2</v>
      </c>
      <c r="I35">
        <v>3.5144613800000002E-2</v>
      </c>
      <c r="J35">
        <v>3.7017832399999999E-2</v>
      </c>
      <c r="K35">
        <v>3.9161347499999999E-2</v>
      </c>
      <c r="L35">
        <v>4.1460472999999998E-2</v>
      </c>
      <c r="M35">
        <v>4.3312931399999997E-2</v>
      </c>
      <c r="N35">
        <v>4.3163438800000002E-2</v>
      </c>
      <c r="O35">
        <v>4.5023950299999997E-2</v>
      </c>
      <c r="P35">
        <v>4.6453303000000001E-2</v>
      </c>
      <c r="Q35">
        <v>5.0911781900000001E-2</v>
      </c>
      <c r="R35">
        <v>6.04209317E-2</v>
      </c>
      <c r="S35">
        <v>6.9642752500000002E-2</v>
      </c>
      <c r="T35">
        <v>7.7451262100000001E-2</v>
      </c>
      <c r="U35">
        <v>8.4039171199999999E-2</v>
      </c>
      <c r="V35">
        <v>8.9208292600000003E-2</v>
      </c>
      <c r="W35">
        <v>0.1087829922</v>
      </c>
      <c r="X35">
        <v>0.124600059</v>
      </c>
      <c r="Y35">
        <v>0.14028877549999999</v>
      </c>
      <c r="Z35">
        <v>0.15604248670000001</v>
      </c>
      <c r="AA35">
        <v>0.17193633250000001</v>
      </c>
      <c r="AB35">
        <v>0.1880165362</v>
      </c>
      <c r="AC35">
        <v>0.20562875720000001</v>
      </c>
      <c r="AD35">
        <v>0.22281859609999999</v>
      </c>
      <c r="AE35">
        <v>0.24050069560000001</v>
      </c>
      <c r="AF35">
        <v>0.25853233269999998</v>
      </c>
      <c r="AG35">
        <v>0.27604273010000002</v>
      </c>
      <c r="AH35">
        <v>0.29024347919999999</v>
      </c>
      <c r="AI35">
        <v>0.3044677086</v>
      </c>
      <c r="AJ35">
        <v>0.31883582189999998</v>
      </c>
      <c r="AK35">
        <v>0.3333985284</v>
      </c>
      <c r="AL35">
        <v>0.34817112179999998</v>
      </c>
      <c r="AM35">
        <v>0.35690911130000003</v>
      </c>
      <c r="AN35">
        <v>0.36592596189999999</v>
      </c>
      <c r="AO35">
        <v>0.37514127720000001</v>
      </c>
      <c r="AP35">
        <v>0.3845287798</v>
      </c>
      <c r="AQ35">
        <v>0.39405573230000002</v>
      </c>
      <c r="AR35">
        <v>0.39693605329999998</v>
      </c>
      <c r="AS35">
        <v>0.39990309889999998</v>
      </c>
      <c r="AT35">
        <v>0.40292434780000003</v>
      </c>
      <c r="AU35">
        <v>0.4059846104</v>
      </c>
      <c r="AV35">
        <v>0.40912055520000001</v>
      </c>
    </row>
    <row r="36" spans="1:48">
      <c r="A36" t="s">
        <v>98</v>
      </c>
      <c r="B36">
        <v>0.70773560509036804</v>
      </c>
      <c r="C36">
        <v>0.71909852915366201</v>
      </c>
      <c r="D36">
        <v>0.72654361420000002</v>
      </c>
      <c r="E36">
        <v>0.72476181019999997</v>
      </c>
      <c r="F36">
        <v>0.72449532890000001</v>
      </c>
      <c r="G36">
        <v>0.72617212519999996</v>
      </c>
      <c r="H36">
        <v>0.73053261869999997</v>
      </c>
      <c r="I36">
        <v>0.73767848930000002</v>
      </c>
      <c r="J36">
        <v>0.74096636569999996</v>
      </c>
      <c r="K36">
        <v>0.74287378150000005</v>
      </c>
      <c r="L36">
        <v>0.75034505340000002</v>
      </c>
      <c r="M36">
        <v>0.7458922442</v>
      </c>
      <c r="N36">
        <v>0.75621937829999997</v>
      </c>
      <c r="O36">
        <v>0.76356704580000001</v>
      </c>
      <c r="P36">
        <v>0.77350167489999999</v>
      </c>
      <c r="Q36">
        <v>0.78191286230000001</v>
      </c>
      <c r="R36">
        <v>0.77237769720000005</v>
      </c>
      <c r="S36">
        <v>0.76189788209999998</v>
      </c>
      <c r="T36">
        <v>0.75768333659999998</v>
      </c>
      <c r="U36">
        <v>0.75675750050000001</v>
      </c>
      <c r="V36">
        <v>0.75733758539999996</v>
      </c>
      <c r="W36">
        <v>0.74714748740000003</v>
      </c>
      <c r="X36">
        <v>0.72676996900000002</v>
      </c>
      <c r="Y36">
        <v>0.71070139340000005</v>
      </c>
      <c r="Z36">
        <v>0.69626273390000004</v>
      </c>
      <c r="AA36">
        <v>0.68225548020000004</v>
      </c>
      <c r="AB36">
        <v>0.66827008509999997</v>
      </c>
      <c r="AC36">
        <v>0.63825260859999999</v>
      </c>
      <c r="AD36">
        <v>0.60801391039999997</v>
      </c>
      <c r="AE36">
        <v>0.57745030679999998</v>
      </c>
      <c r="AF36">
        <v>0.54662153410000003</v>
      </c>
      <c r="AG36">
        <v>0.51555586019999999</v>
      </c>
      <c r="AH36">
        <v>0.48155522319999999</v>
      </c>
      <c r="AI36">
        <v>0.44698473259999999</v>
      </c>
      <c r="AJ36">
        <v>0.41201995089999999</v>
      </c>
      <c r="AK36">
        <v>0.37671484459999999</v>
      </c>
      <c r="AL36">
        <v>0.34109234020000001</v>
      </c>
      <c r="AM36">
        <v>0.31060565020000003</v>
      </c>
      <c r="AN36">
        <v>0.27990994730000002</v>
      </c>
      <c r="AO36">
        <v>0.24893957089999999</v>
      </c>
      <c r="AP36">
        <v>0.2176633291</v>
      </c>
      <c r="AQ36">
        <v>0.18633151640000001</v>
      </c>
      <c r="AR36">
        <v>0.16399049590000001</v>
      </c>
      <c r="AS36">
        <v>0.14142062590000001</v>
      </c>
      <c r="AT36">
        <v>0.11862377039999999</v>
      </c>
      <c r="AU36">
        <v>9.5599561299999997E-2</v>
      </c>
      <c r="AV36">
        <v>7.2161182200000007E-2</v>
      </c>
    </row>
    <row r="37" spans="1:48">
      <c r="A37" t="s">
        <v>99</v>
      </c>
      <c r="B37">
        <v>0.273913131298955</v>
      </c>
      <c r="C37">
        <v>0.27831089522167202</v>
      </c>
      <c r="D37">
        <v>0.28277923970000002</v>
      </c>
      <c r="E37">
        <v>0.28920355910000001</v>
      </c>
      <c r="F37">
        <v>0.28082646179999998</v>
      </c>
      <c r="G37">
        <v>0.26343695379999998</v>
      </c>
      <c r="H37">
        <v>0.2712627796</v>
      </c>
      <c r="I37">
        <v>0.27122685759999998</v>
      </c>
      <c r="J37">
        <v>0.26700272689999999</v>
      </c>
      <c r="K37">
        <v>0.26857960040000001</v>
      </c>
      <c r="L37">
        <v>0.268752198</v>
      </c>
      <c r="M37">
        <v>0.26855721459999998</v>
      </c>
      <c r="N37">
        <v>0.27400830879999999</v>
      </c>
      <c r="O37">
        <v>0.2872695924</v>
      </c>
      <c r="P37">
        <v>0.28592520900000001</v>
      </c>
      <c r="Q37">
        <v>0.29610794229999998</v>
      </c>
      <c r="R37">
        <v>0.2962175064</v>
      </c>
      <c r="S37">
        <v>0.29807896649999999</v>
      </c>
      <c r="T37">
        <v>0.30122855300000001</v>
      </c>
      <c r="U37">
        <v>0.30477393120000001</v>
      </c>
      <c r="V37">
        <v>0.3271949073</v>
      </c>
      <c r="W37">
        <v>0.34659448790000003</v>
      </c>
      <c r="X37">
        <v>0.3550857228</v>
      </c>
      <c r="Y37">
        <v>0.36574173679999999</v>
      </c>
      <c r="Z37">
        <v>0.37746077859999999</v>
      </c>
      <c r="AA37">
        <v>0.38971555279999998</v>
      </c>
      <c r="AB37">
        <v>0.40232468519999998</v>
      </c>
      <c r="AC37">
        <v>0.4201902917</v>
      </c>
      <c r="AD37">
        <v>0.43819693069999999</v>
      </c>
      <c r="AE37">
        <v>0.4562667366</v>
      </c>
      <c r="AF37">
        <v>0.47443237119999998</v>
      </c>
      <c r="AG37">
        <v>0.4927124544</v>
      </c>
      <c r="AH37">
        <v>0.51394119839999997</v>
      </c>
      <c r="AI37">
        <v>0.53517836649999995</v>
      </c>
      <c r="AJ37">
        <v>0.55658411360000004</v>
      </c>
      <c r="AK37">
        <v>0.5782305647</v>
      </c>
      <c r="AL37">
        <v>0.60017894240000003</v>
      </c>
      <c r="AM37">
        <v>0.61835834960000002</v>
      </c>
      <c r="AN37">
        <v>0.63689770739999996</v>
      </c>
      <c r="AO37">
        <v>0.65572309719999999</v>
      </c>
      <c r="AP37">
        <v>0.67480428999999997</v>
      </c>
      <c r="AQ37">
        <v>0.69512926450000001</v>
      </c>
      <c r="AR37">
        <v>0.70871538329999995</v>
      </c>
      <c r="AS37">
        <v>0.72240884809999995</v>
      </c>
      <c r="AT37">
        <v>0.73622154829999997</v>
      </c>
      <c r="AU37">
        <v>0.75016027220000003</v>
      </c>
      <c r="AV37">
        <v>0.76227078459999997</v>
      </c>
    </row>
    <row r="38" spans="1:48">
      <c r="A38" t="s">
        <v>100</v>
      </c>
      <c r="B38">
        <v>2.4964280861431799E-2</v>
      </c>
      <c r="C38">
        <v>2.5365090465587499E-2</v>
      </c>
      <c r="D38">
        <v>2.5772333599999999E-2</v>
      </c>
      <c r="E38">
        <v>2.7975774799999999E-2</v>
      </c>
      <c r="F38">
        <v>2.9458840399999998E-2</v>
      </c>
      <c r="G38">
        <v>3.0540280600000001E-2</v>
      </c>
      <c r="H38">
        <v>3.2984811599999997E-2</v>
      </c>
      <c r="I38">
        <v>3.5144613800000002E-2</v>
      </c>
      <c r="J38">
        <v>3.7017832399999999E-2</v>
      </c>
      <c r="K38">
        <v>3.9161347499999999E-2</v>
      </c>
      <c r="L38">
        <v>4.1460472999999998E-2</v>
      </c>
      <c r="M38">
        <v>4.3312931399999997E-2</v>
      </c>
      <c r="N38">
        <v>4.3163438800000002E-2</v>
      </c>
      <c r="O38">
        <v>4.5023950299999997E-2</v>
      </c>
      <c r="P38">
        <v>4.6453303000000001E-2</v>
      </c>
      <c r="Q38">
        <v>5.0911781900000001E-2</v>
      </c>
      <c r="R38">
        <v>6.04209317E-2</v>
      </c>
      <c r="S38">
        <v>6.9642752500000002E-2</v>
      </c>
      <c r="T38">
        <v>7.7451262100000001E-2</v>
      </c>
      <c r="U38">
        <v>8.4039171199999999E-2</v>
      </c>
      <c r="V38">
        <v>0.1070174183</v>
      </c>
      <c r="W38">
        <v>0.1301532333</v>
      </c>
      <c r="X38">
        <v>0.13456308149999999</v>
      </c>
      <c r="Y38">
        <v>0.1397948453</v>
      </c>
      <c r="Z38">
        <v>0.14544433400000001</v>
      </c>
      <c r="AA38">
        <v>0.15131541630000001</v>
      </c>
      <c r="AB38">
        <v>0.157340493</v>
      </c>
      <c r="AC38">
        <v>0.16034182829999999</v>
      </c>
      <c r="AD38">
        <v>0.1633664806</v>
      </c>
      <c r="AE38">
        <v>0.1663856896</v>
      </c>
      <c r="AF38">
        <v>0.16941257379999999</v>
      </c>
      <c r="AG38">
        <v>0.17245421629999999</v>
      </c>
      <c r="AH38">
        <v>0.1758688196</v>
      </c>
      <c r="AI38">
        <v>0.1792435761</v>
      </c>
      <c r="AJ38">
        <v>0.1826350836</v>
      </c>
      <c r="AK38">
        <v>0.1860670214</v>
      </c>
      <c r="AL38">
        <v>0.1895578483</v>
      </c>
      <c r="AM38">
        <v>0.19543299380000001</v>
      </c>
      <c r="AN38">
        <v>0.20142137969999999</v>
      </c>
      <c r="AO38">
        <v>0.20749970130000001</v>
      </c>
      <c r="AP38">
        <v>0.21365841990000001</v>
      </c>
      <c r="AQ38">
        <v>0.22021052660000001</v>
      </c>
      <c r="AR38">
        <v>0.22893914849999999</v>
      </c>
      <c r="AS38">
        <v>0.23774348279999999</v>
      </c>
      <c r="AT38">
        <v>0.2466274799</v>
      </c>
      <c r="AU38">
        <v>0.2555936211</v>
      </c>
      <c r="AV38">
        <v>0.2639654448</v>
      </c>
    </row>
    <row r="39" spans="1:48">
      <c r="A39" t="s">
        <v>111</v>
      </c>
      <c r="B39">
        <v>1362.88554772979</v>
      </c>
      <c r="C39">
        <v>1384.76711603642</v>
      </c>
      <c r="D39">
        <v>1399.1041070000001</v>
      </c>
      <c r="E39">
        <v>1395.6728889999999</v>
      </c>
      <c r="F39">
        <v>1395.1597260000001</v>
      </c>
      <c r="G39">
        <v>1398.388731</v>
      </c>
      <c r="H39">
        <v>1406.7857280000001</v>
      </c>
      <c r="I39">
        <v>1420.5465220000001</v>
      </c>
      <c r="J39">
        <v>1426.8779810000001</v>
      </c>
      <c r="K39">
        <v>1430.551089</v>
      </c>
      <c r="L39">
        <v>1444.938508</v>
      </c>
      <c r="M39">
        <v>1436.3637389999999</v>
      </c>
      <c r="N39">
        <v>1456.2506880000001</v>
      </c>
      <c r="O39">
        <v>1470.4000820000001</v>
      </c>
      <c r="P39">
        <v>1489.5311839999999</v>
      </c>
      <c r="Q39">
        <v>1505.728597</v>
      </c>
      <c r="R39">
        <v>1487.3667419999999</v>
      </c>
      <c r="S39">
        <v>1467.1857749999999</v>
      </c>
      <c r="T39">
        <v>1459.0698299999999</v>
      </c>
      <c r="U39">
        <v>1457.286949</v>
      </c>
      <c r="V39">
        <v>1452.9524449999999</v>
      </c>
      <c r="W39">
        <v>1414.8439679999999</v>
      </c>
      <c r="X39">
        <v>1390.9809029999999</v>
      </c>
      <c r="Y39">
        <v>1362.855004</v>
      </c>
      <c r="Z39">
        <v>1333.4418840000001</v>
      </c>
      <c r="AA39">
        <v>1303.609915</v>
      </c>
      <c r="AB39">
        <v>1273.692217</v>
      </c>
      <c r="AC39">
        <v>1241.2606539999999</v>
      </c>
      <c r="AD39">
        <v>1205.176972</v>
      </c>
      <c r="AE39">
        <v>1170.864061</v>
      </c>
      <c r="AF39">
        <v>1137.1220530000001</v>
      </c>
      <c r="AG39">
        <v>1100.224575</v>
      </c>
      <c r="AH39">
        <v>1081.6487360000001</v>
      </c>
      <c r="AI39">
        <v>1062.13814</v>
      </c>
      <c r="AJ39">
        <v>1042.1887409999999</v>
      </c>
      <c r="AK39">
        <v>1021.969648</v>
      </c>
      <c r="AL39">
        <v>1001.507834</v>
      </c>
      <c r="AM39">
        <v>996.63721640000006</v>
      </c>
      <c r="AN39">
        <v>992.15033259999996</v>
      </c>
      <c r="AO39">
        <v>987.78962539999998</v>
      </c>
      <c r="AP39">
        <v>983.46340229999998</v>
      </c>
      <c r="AQ39">
        <v>979.07324849999998</v>
      </c>
      <c r="AR39">
        <v>986.22971150000001</v>
      </c>
      <c r="AS39">
        <v>993.60165089999998</v>
      </c>
      <c r="AT39">
        <v>1001.108264</v>
      </c>
      <c r="AU39">
        <v>1008.711811</v>
      </c>
      <c r="AV39">
        <v>1016.5033979999999</v>
      </c>
    </row>
    <row r="40" spans="1:48">
      <c r="A40" t="s">
        <v>112</v>
      </c>
      <c r="B40">
        <v>138.51644159585001</v>
      </c>
      <c r="C40">
        <v>140.74036787008299</v>
      </c>
      <c r="D40">
        <v>142.99998640000001</v>
      </c>
      <c r="E40">
        <v>146.24873120000001</v>
      </c>
      <c r="F40">
        <v>142.0124768</v>
      </c>
      <c r="G40">
        <v>133.21869330000001</v>
      </c>
      <c r="H40">
        <v>137.1761726</v>
      </c>
      <c r="I40">
        <v>137.158007</v>
      </c>
      <c r="J40">
        <v>135.02188609999999</v>
      </c>
      <c r="K40">
        <v>135.8193029</v>
      </c>
      <c r="L40">
        <v>135.90658450000001</v>
      </c>
      <c r="M40">
        <v>135.80798239999999</v>
      </c>
      <c r="N40">
        <v>138.5645724</v>
      </c>
      <c r="O40">
        <v>145.27073429999999</v>
      </c>
      <c r="P40">
        <v>144.5908866</v>
      </c>
      <c r="Q40">
        <v>149.74024170000001</v>
      </c>
      <c r="R40">
        <v>149.79564769999999</v>
      </c>
      <c r="S40">
        <v>150.7369784</v>
      </c>
      <c r="T40">
        <v>152.32970789999999</v>
      </c>
      <c r="U40">
        <v>154.1225871</v>
      </c>
      <c r="V40">
        <v>155.26901480000001</v>
      </c>
      <c r="W40">
        <v>157.68647559999999</v>
      </c>
      <c r="X40">
        <v>160.7543149</v>
      </c>
      <c r="Y40">
        <v>163.41175530000001</v>
      </c>
      <c r="Z40">
        <v>165.9789341</v>
      </c>
      <c r="AA40">
        <v>168.55534950000001</v>
      </c>
      <c r="AB40">
        <v>171.1848158</v>
      </c>
      <c r="AC40">
        <v>173.9502828</v>
      </c>
      <c r="AD40">
        <v>176.2620288</v>
      </c>
      <c r="AE40">
        <v>178.8851956</v>
      </c>
      <c r="AF40">
        <v>181.66945999999999</v>
      </c>
      <c r="AG40">
        <v>184.0119937</v>
      </c>
      <c r="AH40">
        <v>186.48000490000001</v>
      </c>
      <c r="AI40">
        <v>188.86793739999999</v>
      </c>
      <c r="AJ40">
        <v>191.2575478</v>
      </c>
      <c r="AK40">
        <v>193.6795673</v>
      </c>
      <c r="AL40">
        <v>196.1410271</v>
      </c>
      <c r="AM40">
        <v>197.63097579999999</v>
      </c>
      <c r="AN40">
        <v>199.230155</v>
      </c>
      <c r="AO40">
        <v>200.89026490000001</v>
      </c>
      <c r="AP40">
        <v>202.59466</v>
      </c>
      <c r="AQ40">
        <v>204.324412</v>
      </c>
      <c r="AR40">
        <v>205.81790599999999</v>
      </c>
      <c r="AS40">
        <v>207.35636819999999</v>
      </c>
      <c r="AT40">
        <v>208.92293570000001</v>
      </c>
      <c r="AU40">
        <v>210.50973250000001</v>
      </c>
      <c r="AV40">
        <v>212.13577169999999</v>
      </c>
    </row>
    <row r="41" spans="1:48">
      <c r="A41" t="s">
        <v>113</v>
      </c>
      <c r="B41">
        <v>61.024726017752101</v>
      </c>
      <c r="C41">
        <v>62.004497732974002</v>
      </c>
      <c r="D41">
        <v>62.999996039999999</v>
      </c>
      <c r="E41">
        <v>68.386267529999998</v>
      </c>
      <c r="F41">
        <v>72.01159423</v>
      </c>
      <c r="G41">
        <v>74.655154899999999</v>
      </c>
      <c r="H41">
        <v>80.630766190000003</v>
      </c>
      <c r="I41">
        <v>85.910362829999997</v>
      </c>
      <c r="J41">
        <v>90.489411360000005</v>
      </c>
      <c r="K41">
        <v>95.729194629999995</v>
      </c>
      <c r="L41">
        <v>101.3493647</v>
      </c>
      <c r="M41">
        <v>105.8776653</v>
      </c>
      <c r="N41">
        <v>105.5122334</v>
      </c>
      <c r="O41">
        <v>110.0602196</v>
      </c>
      <c r="P41">
        <v>113.5542459</v>
      </c>
      <c r="Q41">
        <v>124.4529156</v>
      </c>
      <c r="R41">
        <v>147.69785769999999</v>
      </c>
      <c r="S41">
        <v>170.24042940000001</v>
      </c>
      <c r="T41">
        <v>189.32818750000001</v>
      </c>
      <c r="U41">
        <v>205.43221030000001</v>
      </c>
      <c r="V41">
        <v>218.0680327</v>
      </c>
      <c r="W41">
        <v>265.91802630000001</v>
      </c>
      <c r="X41">
        <v>304.58255559999998</v>
      </c>
      <c r="Y41">
        <v>342.93333489999998</v>
      </c>
      <c r="Z41">
        <v>381.44299260000003</v>
      </c>
      <c r="AA41">
        <v>420.29520650000001</v>
      </c>
      <c r="AB41">
        <v>459.60296929999998</v>
      </c>
      <c r="AC41">
        <v>502.65571999999997</v>
      </c>
      <c r="AD41">
        <v>544.6759654</v>
      </c>
      <c r="AE41">
        <v>587.89953270000001</v>
      </c>
      <c r="AF41">
        <v>631.9775386</v>
      </c>
      <c r="AG41">
        <v>674.78138330000002</v>
      </c>
      <c r="AH41">
        <v>709.49485360000006</v>
      </c>
      <c r="AI41">
        <v>744.2657213</v>
      </c>
      <c r="AJ41">
        <v>779.38831010000001</v>
      </c>
      <c r="AK41">
        <v>814.9865787</v>
      </c>
      <c r="AL41">
        <v>851.09791189999999</v>
      </c>
      <c r="AM41">
        <v>872.45776690000002</v>
      </c>
      <c r="AN41">
        <v>894.49929259999999</v>
      </c>
      <c r="AO41">
        <v>917.02596140000003</v>
      </c>
      <c r="AP41">
        <v>939.97353910000004</v>
      </c>
      <c r="AQ41">
        <v>963.26199959999997</v>
      </c>
      <c r="AR41">
        <v>970.30289140000002</v>
      </c>
      <c r="AS41">
        <v>977.55577989999995</v>
      </c>
      <c r="AT41">
        <v>984.94116729999996</v>
      </c>
      <c r="AU41">
        <v>992.42192299999999</v>
      </c>
      <c r="AV41">
        <v>1000.087682</v>
      </c>
    </row>
    <row r="42" spans="1:48">
      <c r="A42" t="s">
        <v>114</v>
      </c>
      <c r="B42">
        <v>1362.88554772979</v>
      </c>
      <c r="C42">
        <v>1384.76711603642</v>
      </c>
      <c r="D42">
        <v>1399.1041070000001</v>
      </c>
      <c r="E42">
        <v>1395.6728889999999</v>
      </c>
      <c r="F42">
        <v>1395.1597260000001</v>
      </c>
      <c r="G42">
        <v>1398.388731</v>
      </c>
      <c r="H42">
        <v>1406.7857280000001</v>
      </c>
      <c r="I42">
        <v>1420.5465220000001</v>
      </c>
      <c r="J42">
        <v>1426.8779810000001</v>
      </c>
      <c r="K42">
        <v>1430.551089</v>
      </c>
      <c r="L42">
        <v>1444.938508</v>
      </c>
      <c r="M42">
        <v>1436.3637389999999</v>
      </c>
      <c r="N42">
        <v>1456.2506880000001</v>
      </c>
      <c r="O42">
        <v>1470.4000820000001</v>
      </c>
      <c r="P42">
        <v>1489.5311839999999</v>
      </c>
      <c r="Q42">
        <v>1505.728597</v>
      </c>
      <c r="R42">
        <v>1487.3667419999999</v>
      </c>
      <c r="S42">
        <v>1467.1857749999999</v>
      </c>
      <c r="T42">
        <v>1459.0698299999999</v>
      </c>
      <c r="U42">
        <v>1457.286949</v>
      </c>
      <c r="V42">
        <v>1458.404018</v>
      </c>
      <c r="W42">
        <v>1438.7809589999999</v>
      </c>
      <c r="X42">
        <v>1399.539998</v>
      </c>
      <c r="Y42">
        <v>1368.596763</v>
      </c>
      <c r="Z42">
        <v>1340.792254</v>
      </c>
      <c r="AA42">
        <v>1313.8185040000001</v>
      </c>
      <c r="AB42">
        <v>1286.8868460000001</v>
      </c>
      <c r="AC42">
        <v>1229.08223</v>
      </c>
      <c r="AD42">
        <v>1170.8516079999999</v>
      </c>
      <c r="AE42">
        <v>1111.995316</v>
      </c>
      <c r="AF42">
        <v>1052.6283880000001</v>
      </c>
      <c r="AG42">
        <v>992.80525939999995</v>
      </c>
      <c r="AH42">
        <v>927.33027619999996</v>
      </c>
      <c r="AI42">
        <v>860.75792679999995</v>
      </c>
      <c r="AJ42">
        <v>793.42629150000005</v>
      </c>
      <c r="AK42">
        <v>725.43929349999996</v>
      </c>
      <c r="AL42">
        <v>656.84108230000004</v>
      </c>
      <c r="AM42">
        <v>598.13290259999997</v>
      </c>
      <c r="AN42">
        <v>539.02222670000003</v>
      </c>
      <c r="AO42">
        <v>479.38261260000002</v>
      </c>
      <c r="AP42">
        <v>419.15399400000001</v>
      </c>
      <c r="AQ42">
        <v>358.81836229999999</v>
      </c>
      <c r="AR42">
        <v>315.79628789999998</v>
      </c>
      <c r="AS42">
        <v>272.33351800000003</v>
      </c>
      <c r="AT42">
        <v>228.43364260000001</v>
      </c>
      <c r="AU42">
        <v>184.0959527</v>
      </c>
      <c r="AV42">
        <v>138.96069610000001</v>
      </c>
    </row>
    <row r="43" spans="1:48">
      <c r="A43" t="s">
        <v>115</v>
      </c>
      <c r="B43">
        <v>138.51644159585001</v>
      </c>
      <c r="C43">
        <v>140.74036787008299</v>
      </c>
      <c r="D43">
        <v>142.99998640000001</v>
      </c>
      <c r="E43">
        <v>146.24873120000001</v>
      </c>
      <c r="F43">
        <v>142.0124768</v>
      </c>
      <c r="G43">
        <v>133.21869330000001</v>
      </c>
      <c r="H43">
        <v>137.1761726</v>
      </c>
      <c r="I43">
        <v>137.158007</v>
      </c>
      <c r="J43">
        <v>135.02188609999999</v>
      </c>
      <c r="K43">
        <v>135.8193029</v>
      </c>
      <c r="L43">
        <v>135.90658450000001</v>
      </c>
      <c r="M43">
        <v>135.80798239999999</v>
      </c>
      <c r="N43">
        <v>138.5645724</v>
      </c>
      <c r="O43">
        <v>145.27073429999999</v>
      </c>
      <c r="P43">
        <v>144.5908866</v>
      </c>
      <c r="Q43">
        <v>149.74024170000001</v>
      </c>
      <c r="R43">
        <v>149.79564769999999</v>
      </c>
      <c r="S43">
        <v>150.7369784</v>
      </c>
      <c r="T43">
        <v>152.32970789999999</v>
      </c>
      <c r="U43">
        <v>154.1225871</v>
      </c>
      <c r="V43">
        <v>165.46075780000001</v>
      </c>
      <c r="W43">
        <v>175.27102450000001</v>
      </c>
      <c r="X43">
        <v>179.56499769999999</v>
      </c>
      <c r="Y43">
        <v>184.9536884</v>
      </c>
      <c r="Z43">
        <v>190.8799467</v>
      </c>
      <c r="AA43">
        <v>197.077122</v>
      </c>
      <c r="AB43">
        <v>203.45349450000001</v>
      </c>
      <c r="AC43">
        <v>212.48803849999999</v>
      </c>
      <c r="AD43">
        <v>221.59390200000001</v>
      </c>
      <c r="AE43">
        <v>230.7317085</v>
      </c>
      <c r="AF43">
        <v>239.9179752</v>
      </c>
      <c r="AG43">
        <v>249.1621179</v>
      </c>
      <c r="AH43">
        <v>259.89738299999999</v>
      </c>
      <c r="AI43">
        <v>270.63690810000003</v>
      </c>
      <c r="AJ43">
        <v>281.46168280000001</v>
      </c>
      <c r="AK43">
        <v>292.40818009999998</v>
      </c>
      <c r="AL43">
        <v>303.50736030000002</v>
      </c>
      <c r="AM43">
        <v>312.70059170000002</v>
      </c>
      <c r="AN43">
        <v>322.0758482</v>
      </c>
      <c r="AO43">
        <v>331.59574959999998</v>
      </c>
      <c r="AP43">
        <v>341.24500929999999</v>
      </c>
      <c r="AQ43">
        <v>351.52324279999999</v>
      </c>
      <c r="AR43">
        <v>358.39367220000003</v>
      </c>
      <c r="AS43">
        <v>365.31838590000001</v>
      </c>
      <c r="AT43">
        <v>372.3033964</v>
      </c>
      <c r="AU43">
        <v>379.35213640000001</v>
      </c>
      <c r="AV43">
        <v>385.47635930000001</v>
      </c>
    </row>
    <row r="44" spans="1:48">
      <c r="A44" t="s">
        <v>116</v>
      </c>
      <c r="B44">
        <v>61.024726017752101</v>
      </c>
      <c r="C44">
        <v>62.004497732974002</v>
      </c>
      <c r="D44">
        <v>62.999996039999999</v>
      </c>
      <c r="E44">
        <v>68.386267529999998</v>
      </c>
      <c r="F44">
        <v>72.01159423</v>
      </c>
      <c r="G44">
        <v>74.655154899999999</v>
      </c>
      <c r="H44">
        <v>80.630766190000003</v>
      </c>
      <c r="I44">
        <v>85.910362829999997</v>
      </c>
      <c r="J44">
        <v>90.489411360000005</v>
      </c>
      <c r="K44">
        <v>95.729194629999995</v>
      </c>
      <c r="L44">
        <v>101.3493647</v>
      </c>
      <c r="M44">
        <v>105.8776653</v>
      </c>
      <c r="N44">
        <v>105.5122334</v>
      </c>
      <c r="O44">
        <v>110.0602196</v>
      </c>
      <c r="P44">
        <v>113.5542459</v>
      </c>
      <c r="Q44">
        <v>124.4529156</v>
      </c>
      <c r="R44">
        <v>147.69785769999999</v>
      </c>
      <c r="S44">
        <v>170.24042940000001</v>
      </c>
      <c r="T44">
        <v>189.32818750000001</v>
      </c>
      <c r="U44">
        <v>205.43221030000001</v>
      </c>
      <c r="V44">
        <v>261.60211340000001</v>
      </c>
      <c r="W44">
        <v>318.15718809999998</v>
      </c>
      <c r="X44">
        <v>328.93698119999999</v>
      </c>
      <c r="Y44">
        <v>341.72593169999999</v>
      </c>
      <c r="Z44">
        <v>355.53600290000003</v>
      </c>
      <c r="AA44">
        <v>369.88775579999998</v>
      </c>
      <c r="AB44">
        <v>384.6159452</v>
      </c>
      <c r="AC44">
        <v>391.95265419999998</v>
      </c>
      <c r="AD44">
        <v>399.34636110000002</v>
      </c>
      <c r="AE44">
        <v>406.72676200000001</v>
      </c>
      <c r="AF44">
        <v>414.12592489999997</v>
      </c>
      <c r="AG44">
        <v>421.56116400000002</v>
      </c>
      <c r="AH44">
        <v>429.90809919999998</v>
      </c>
      <c r="AI44">
        <v>438.15762949999998</v>
      </c>
      <c r="AJ44">
        <v>446.4481073</v>
      </c>
      <c r="AK44">
        <v>454.83741620000001</v>
      </c>
      <c r="AL44">
        <v>463.37067830000001</v>
      </c>
      <c r="AM44">
        <v>477.73236370000001</v>
      </c>
      <c r="AN44">
        <v>492.37086290000002</v>
      </c>
      <c r="AO44">
        <v>507.22920850000003</v>
      </c>
      <c r="AP44">
        <v>522.28408290000004</v>
      </c>
      <c r="AQ44">
        <v>538.30058750000001</v>
      </c>
      <c r="AR44">
        <v>559.63754340000003</v>
      </c>
      <c r="AS44">
        <v>581.1595767</v>
      </c>
      <c r="AT44">
        <v>602.87634449999996</v>
      </c>
      <c r="AU44">
        <v>624.79391209999994</v>
      </c>
      <c r="AV44">
        <v>645.25868119999996</v>
      </c>
    </row>
    <row r="45" spans="1:48">
      <c r="A45" t="s">
        <v>117</v>
      </c>
      <c r="B45">
        <v>6635.2281463746303</v>
      </c>
      <c r="C45">
        <v>6741.7588804900297</v>
      </c>
      <c r="D45">
        <v>6849.994044</v>
      </c>
      <c r="E45">
        <v>6829.7467880000004</v>
      </c>
      <c r="F45">
        <v>6718.3645729999998</v>
      </c>
      <c r="G45">
        <v>6503.9742139999998</v>
      </c>
      <c r="H45">
        <v>6470.1534389999997</v>
      </c>
      <c r="I45">
        <v>6448.105235</v>
      </c>
      <c r="J45">
        <v>6389.5595389999999</v>
      </c>
      <c r="K45">
        <v>6292.8160399999997</v>
      </c>
      <c r="L45">
        <v>6248.3511490000001</v>
      </c>
      <c r="M45">
        <v>6194.0077449999999</v>
      </c>
      <c r="N45">
        <v>6188.5025839999998</v>
      </c>
      <c r="O45">
        <v>6214.4445290000003</v>
      </c>
      <c r="P45">
        <v>6131.6339740000003</v>
      </c>
      <c r="Q45">
        <v>6054.655745</v>
      </c>
      <c r="R45">
        <v>5992.7176529999997</v>
      </c>
      <c r="S45">
        <v>6049.7206550000001</v>
      </c>
      <c r="T45">
        <v>6061.3266130000002</v>
      </c>
      <c r="U45">
        <v>6087.7245830000002</v>
      </c>
      <c r="V45">
        <v>6082.4379779999999</v>
      </c>
      <c r="W45">
        <v>6011.1899819999999</v>
      </c>
      <c r="X45">
        <v>5916.4008789999998</v>
      </c>
      <c r="Y45">
        <v>5838.2967699999999</v>
      </c>
      <c r="Z45">
        <v>5768.2618350000002</v>
      </c>
      <c r="AA45">
        <v>5707.6424299999999</v>
      </c>
      <c r="AB45">
        <v>5656.3863940000001</v>
      </c>
      <c r="AC45">
        <v>5585.639201</v>
      </c>
      <c r="AD45">
        <v>5519.6945470000001</v>
      </c>
      <c r="AE45">
        <v>5460.5122609999999</v>
      </c>
      <c r="AF45">
        <v>5405.3496279999999</v>
      </c>
      <c r="AG45">
        <v>5351.1925600000004</v>
      </c>
      <c r="AH45">
        <v>5330.8326200000001</v>
      </c>
      <c r="AI45">
        <v>5312.330766</v>
      </c>
      <c r="AJ45">
        <v>5295.2091190000001</v>
      </c>
      <c r="AK45">
        <v>5278.314034</v>
      </c>
      <c r="AL45">
        <v>5260.7611820000002</v>
      </c>
      <c r="AM45">
        <v>5299.5767669999996</v>
      </c>
      <c r="AN45">
        <v>5342.9175869999999</v>
      </c>
      <c r="AO45">
        <v>5386.9553480000004</v>
      </c>
      <c r="AP45">
        <v>5431.1738720000003</v>
      </c>
      <c r="AQ45">
        <v>5474.5770190000003</v>
      </c>
      <c r="AR45">
        <v>5556.7753910000001</v>
      </c>
      <c r="AS45">
        <v>5638.7708499999999</v>
      </c>
      <c r="AT45">
        <v>5720.4767780000002</v>
      </c>
      <c r="AU45">
        <v>5801.4939649999997</v>
      </c>
      <c r="AV45">
        <v>5882.5806149999999</v>
      </c>
    </row>
    <row r="46" spans="1:48">
      <c r="A46" t="s">
        <v>118</v>
      </c>
      <c r="B46">
        <v>77.679449232489503</v>
      </c>
      <c r="C46">
        <v>78.926617916046894</v>
      </c>
      <c r="D46">
        <v>80.193376369999996</v>
      </c>
      <c r="E46">
        <v>80.984696299999996</v>
      </c>
      <c r="F46">
        <v>78.081137499999997</v>
      </c>
      <c r="G46">
        <v>72.159702890000005</v>
      </c>
      <c r="H46">
        <v>74.098727280000006</v>
      </c>
      <c r="I46">
        <v>75.154573690000007</v>
      </c>
      <c r="J46">
        <v>73.861184730000005</v>
      </c>
      <c r="K46">
        <v>74.590761200000003</v>
      </c>
      <c r="L46">
        <v>77.166588739999995</v>
      </c>
      <c r="M46">
        <v>80.95921792</v>
      </c>
      <c r="N46">
        <v>84.091284729999998</v>
      </c>
      <c r="O46">
        <v>90.012547490000003</v>
      </c>
      <c r="P46">
        <v>91.498763789999998</v>
      </c>
      <c r="Q46">
        <v>95.234414319999999</v>
      </c>
      <c r="R46">
        <v>99.573742969999998</v>
      </c>
      <c r="S46">
        <v>113.6854359</v>
      </c>
      <c r="T46">
        <v>124.55331870000001</v>
      </c>
      <c r="U46">
        <v>133.7164539</v>
      </c>
      <c r="V46">
        <v>140.53207449999999</v>
      </c>
      <c r="W46">
        <v>166.6559216</v>
      </c>
      <c r="X46">
        <v>203.18071979999999</v>
      </c>
      <c r="Y46">
        <v>240.17599269999999</v>
      </c>
      <c r="Z46">
        <v>277.56777169999998</v>
      </c>
      <c r="AA46">
        <v>315.6045403</v>
      </c>
      <c r="AB46">
        <v>354.4966412</v>
      </c>
      <c r="AC46">
        <v>410.8545292</v>
      </c>
      <c r="AD46">
        <v>468.395554</v>
      </c>
      <c r="AE46">
        <v>527.52407630000005</v>
      </c>
      <c r="AF46">
        <v>588.2457445</v>
      </c>
      <c r="AG46">
        <v>650.41858130000003</v>
      </c>
      <c r="AH46">
        <v>705.45767069999999</v>
      </c>
      <c r="AI46">
        <v>762.20571910000001</v>
      </c>
      <c r="AJ46">
        <v>820.72508960000005</v>
      </c>
      <c r="AK46">
        <v>880.95186739999997</v>
      </c>
      <c r="AL46">
        <v>942.82244969999999</v>
      </c>
      <c r="AM46">
        <v>976.82656229999998</v>
      </c>
      <c r="AN46">
        <v>1012.452461</v>
      </c>
      <c r="AO46">
        <v>1049.0414029999999</v>
      </c>
      <c r="AP46">
        <v>1086.5182339999999</v>
      </c>
      <c r="AQ46">
        <v>1124.6988449999999</v>
      </c>
      <c r="AR46">
        <v>1141.7878820000001</v>
      </c>
      <c r="AS46">
        <v>1158.841271</v>
      </c>
      <c r="AT46">
        <v>1175.841191</v>
      </c>
      <c r="AU46">
        <v>1192.705539</v>
      </c>
      <c r="AV46">
        <v>1209.590148</v>
      </c>
    </row>
    <row r="47" spans="1:48">
      <c r="A47" t="s">
        <v>119</v>
      </c>
      <c r="B47">
        <v>59.770077974045002</v>
      </c>
      <c r="C47">
        <v>60.729705909097802</v>
      </c>
      <c r="D47">
        <v>61.704590320000001</v>
      </c>
      <c r="E47">
        <v>72.677980419999997</v>
      </c>
      <c r="F47">
        <v>82.522630910000004</v>
      </c>
      <c r="G47">
        <v>91.451470900000004</v>
      </c>
      <c r="H47">
        <v>103.13349359999999</v>
      </c>
      <c r="I47">
        <v>114.049002</v>
      </c>
      <c r="J47">
        <v>124.1027228</v>
      </c>
      <c r="K47">
        <v>133.70998779999999</v>
      </c>
      <c r="L47">
        <v>141.4136819</v>
      </c>
      <c r="M47">
        <v>145.93746189999999</v>
      </c>
      <c r="N47">
        <v>160.9628515</v>
      </c>
      <c r="O47">
        <v>178.8899528</v>
      </c>
      <c r="P47">
        <v>198.07320440000001</v>
      </c>
      <c r="Q47">
        <v>220.5583427</v>
      </c>
      <c r="R47">
        <v>248.1687671</v>
      </c>
      <c r="S47">
        <v>379.50123600000001</v>
      </c>
      <c r="T47">
        <v>484.56429759999997</v>
      </c>
      <c r="U47">
        <v>571.13076430000001</v>
      </c>
      <c r="V47">
        <v>638.54444750000005</v>
      </c>
      <c r="W47">
        <v>903.12498419999997</v>
      </c>
      <c r="X47">
        <v>1191.2533040000001</v>
      </c>
      <c r="Y47">
        <v>1481.949361</v>
      </c>
      <c r="Z47">
        <v>1775.192192</v>
      </c>
      <c r="AA47">
        <v>2072.8147990000002</v>
      </c>
      <c r="AB47">
        <v>2376.4449519999998</v>
      </c>
      <c r="AC47">
        <v>2751.5855630000001</v>
      </c>
      <c r="AD47">
        <v>3134.6188900000002</v>
      </c>
      <c r="AE47">
        <v>3528.243305</v>
      </c>
      <c r="AF47">
        <v>3932.488883</v>
      </c>
      <c r="AG47">
        <v>4346.4017919999997</v>
      </c>
      <c r="AH47">
        <v>4674.2430370000002</v>
      </c>
      <c r="AI47">
        <v>5012.4740019999999</v>
      </c>
      <c r="AJ47">
        <v>5361.4277510000002</v>
      </c>
      <c r="AK47">
        <v>5720.6241630000004</v>
      </c>
      <c r="AL47">
        <v>6089.6077269999996</v>
      </c>
      <c r="AM47">
        <v>6280.7320739999996</v>
      </c>
      <c r="AN47">
        <v>6481.4769180000003</v>
      </c>
      <c r="AO47">
        <v>6687.5586730000005</v>
      </c>
      <c r="AP47">
        <v>6898.4736309999998</v>
      </c>
      <c r="AQ47">
        <v>7113.0385260000003</v>
      </c>
      <c r="AR47">
        <v>7227.7995849999998</v>
      </c>
      <c r="AS47">
        <v>7342.5348370000002</v>
      </c>
      <c r="AT47">
        <v>7457.1306199999999</v>
      </c>
      <c r="AU47">
        <v>7571.0648359999996</v>
      </c>
      <c r="AV47">
        <v>7685.3252089999996</v>
      </c>
    </row>
    <row r="48" spans="1:48">
      <c r="A48" t="s">
        <v>120</v>
      </c>
      <c r="B48">
        <v>6635.2281463746303</v>
      </c>
      <c r="C48">
        <v>6741.7588804900297</v>
      </c>
      <c r="D48">
        <v>6849.994044</v>
      </c>
      <c r="E48">
        <v>6829.7467880000004</v>
      </c>
      <c r="F48">
        <v>6718.3645729999998</v>
      </c>
      <c r="G48">
        <v>6503.9742139999998</v>
      </c>
      <c r="H48">
        <v>6470.1534389999997</v>
      </c>
      <c r="I48">
        <v>6448.105235</v>
      </c>
      <c r="J48">
        <v>6389.5595389999999</v>
      </c>
      <c r="K48">
        <v>6292.8160399999997</v>
      </c>
      <c r="L48">
        <v>6248.3511490000001</v>
      </c>
      <c r="M48">
        <v>6194.0077449999999</v>
      </c>
      <c r="N48">
        <v>6188.5025839999998</v>
      </c>
      <c r="O48">
        <v>6214.4445290000003</v>
      </c>
      <c r="P48">
        <v>6131.6339740000003</v>
      </c>
      <c r="Q48">
        <v>6054.655745</v>
      </c>
      <c r="R48">
        <v>5992.7176529999997</v>
      </c>
      <c r="S48">
        <v>6049.7206550000001</v>
      </c>
      <c r="T48">
        <v>6061.3266130000002</v>
      </c>
      <c r="U48">
        <v>6087.7245830000002</v>
      </c>
      <c r="V48">
        <v>6062.950374</v>
      </c>
      <c r="W48">
        <v>5967.8984760000003</v>
      </c>
      <c r="X48">
        <v>5825.5682550000001</v>
      </c>
      <c r="Y48">
        <v>5690.3326550000002</v>
      </c>
      <c r="Z48">
        <v>5557.9771099999998</v>
      </c>
      <c r="AA48">
        <v>5428.5433780000003</v>
      </c>
      <c r="AB48">
        <v>5303.4231769999997</v>
      </c>
      <c r="AC48">
        <v>5111.0889989999996</v>
      </c>
      <c r="AD48">
        <v>4908.4623380000003</v>
      </c>
      <c r="AE48">
        <v>4706.4730639999998</v>
      </c>
      <c r="AF48">
        <v>4503.1395769999999</v>
      </c>
      <c r="AG48">
        <v>4298.3318129999998</v>
      </c>
      <c r="AH48">
        <v>4049.176614</v>
      </c>
      <c r="AI48">
        <v>3796.2091329999998</v>
      </c>
      <c r="AJ48">
        <v>3543.291287</v>
      </c>
      <c r="AK48">
        <v>3289.4872300000002</v>
      </c>
      <c r="AL48">
        <v>3033.7227160000002</v>
      </c>
      <c r="AM48">
        <v>2866.4118480000002</v>
      </c>
      <c r="AN48">
        <v>2701.3614940000002</v>
      </c>
      <c r="AO48">
        <v>2536.4364489999998</v>
      </c>
      <c r="AP48">
        <v>2370.2347960000002</v>
      </c>
      <c r="AQ48">
        <v>2200.884247</v>
      </c>
      <c r="AR48">
        <v>2132.1413090000001</v>
      </c>
      <c r="AS48">
        <v>2066.236981</v>
      </c>
      <c r="AT48">
        <v>2000.142366</v>
      </c>
      <c r="AU48">
        <v>1933.3062279999999</v>
      </c>
      <c r="AV48">
        <v>1849.799495</v>
      </c>
    </row>
    <row r="49" spans="1:48">
      <c r="A49" t="s">
        <v>121</v>
      </c>
      <c r="B49">
        <v>77.679449232489503</v>
      </c>
      <c r="C49">
        <v>78.926617916046894</v>
      </c>
      <c r="D49">
        <v>80.193376369999996</v>
      </c>
      <c r="E49">
        <v>80.984696299999996</v>
      </c>
      <c r="F49">
        <v>78.081137499999997</v>
      </c>
      <c r="G49">
        <v>72.159702890000005</v>
      </c>
      <c r="H49">
        <v>74.098727280000006</v>
      </c>
      <c r="I49">
        <v>75.154573690000007</v>
      </c>
      <c r="J49">
        <v>73.861184730000005</v>
      </c>
      <c r="K49">
        <v>74.590761200000003</v>
      </c>
      <c r="L49">
        <v>77.166588739999995</v>
      </c>
      <c r="M49">
        <v>80.95921792</v>
      </c>
      <c r="N49">
        <v>84.091284729999998</v>
      </c>
      <c r="O49">
        <v>90.012547490000003</v>
      </c>
      <c r="P49">
        <v>91.498763789999998</v>
      </c>
      <c r="Q49">
        <v>95.234414319999999</v>
      </c>
      <c r="R49">
        <v>99.573742969999998</v>
      </c>
      <c r="S49">
        <v>113.6854359</v>
      </c>
      <c r="T49">
        <v>124.55331870000001</v>
      </c>
      <c r="U49">
        <v>133.7164539</v>
      </c>
      <c r="V49">
        <v>171.96178449999999</v>
      </c>
      <c r="W49">
        <v>207.82587609999999</v>
      </c>
      <c r="X49">
        <v>314.79076629999997</v>
      </c>
      <c r="Y49">
        <v>421.21886860000001</v>
      </c>
      <c r="Z49">
        <v>527.08689179999999</v>
      </c>
      <c r="AA49">
        <v>632.53357240000003</v>
      </c>
      <c r="AB49">
        <v>737.90075969999998</v>
      </c>
      <c r="AC49">
        <v>947.38927330000001</v>
      </c>
      <c r="AD49">
        <v>1156.9104600000001</v>
      </c>
      <c r="AE49">
        <v>1368.2841530000001</v>
      </c>
      <c r="AF49">
        <v>1581.172053</v>
      </c>
      <c r="AG49">
        <v>1795.554754</v>
      </c>
      <c r="AH49">
        <v>2062.4501799999998</v>
      </c>
      <c r="AI49">
        <v>2331.4141279999999</v>
      </c>
      <c r="AJ49">
        <v>2604.9220380000002</v>
      </c>
      <c r="AK49">
        <v>2883.3052809999999</v>
      </c>
      <c r="AL49">
        <v>3166.546738</v>
      </c>
      <c r="AM49">
        <v>3356.6472130000002</v>
      </c>
      <c r="AN49">
        <v>3554.0672770000001</v>
      </c>
      <c r="AO49">
        <v>3757.7203709999999</v>
      </c>
      <c r="AP49">
        <v>3966.7637370000002</v>
      </c>
      <c r="AQ49">
        <v>4178.7158550000004</v>
      </c>
      <c r="AR49">
        <v>4283.2492320000001</v>
      </c>
      <c r="AS49">
        <v>4396.8105580000001</v>
      </c>
      <c r="AT49">
        <v>4514.0323399999997</v>
      </c>
      <c r="AU49">
        <v>4634.0430029999998</v>
      </c>
      <c r="AV49">
        <v>4716.5060030000004</v>
      </c>
    </row>
    <row r="50" spans="1:48">
      <c r="A50" t="s">
        <v>122</v>
      </c>
      <c r="B50">
        <v>59.770077974045002</v>
      </c>
      <c r="C50">
        <v>60.729705909097802</v>
      </c>
      <c r="D50">
        <v>61.704590320000001</v>
      </c>
      <c r="E50">
        <v>72.677980419999997</v>
      </c>
      <c r="F50">
        <v>82.522630910000004</v>
      </c>
      <c r="G50">
        <v>91.451470900000004</v>
      </c>
      <c r="H50">
        <v>103.13349359999999</v>
      </c>
      <c r="I50">
        <v>114.049002</v>
      </c>
      <c r="J50">
        <v>124.1027228</v>
      </c>
      <c r="K50">
        <v>133.70998779999999</v>
      </c>
      <c r="L50">
        <v>141.4136819</v>
      </c>
      <c r="M50">
        <v>145.93746189999999</v>
      </c>
      <c r="N50">
        <v>160.9628515</v>
      </c>
      <c r="O50">
        <v>178.8899528</v>
      </c>
      <c r="P50">
        <v>198.07320440000001</v>
      </c>
      <c r="Q50">
        <v>220.5583427</v>
      </c>
      <c r="R50">
        <v>248.1687671</v>
      </c>
      <c r="S50">
        <v>379.50123600000001</v>
      </c>
      <c r="T50">
        <v>484.56429759999997</v>
      </c>
      <c r="U50">
        <v>571.13076430000001</v>
      </c>
      <c r="V50">
        <v>545.41623870000001</v>
      </c>
      <c r="W50">
        <v>513.61833809999996</v>
      </c>
      <c r="X50">
        <v>598.87694139999996</v>
      </c>
      <c r="Y50">
        <v>684.03633070000001</v>
      </c>
      <c r="Z50">
        <v>768.84161019999999</v>
      </c>
      <c r="AA50">
        <v>853.41616160000001</v>
      </c>
      <c r="AB50">
        <v>938.1354063</v>
      </c>
      <c r="AC50">
        <v>1074.4036410000001</v>
      </c>
      <c r="AD50">
        <v>1209.879324</v>
      </c>
      <c r="AE50">
        <v>1346.7111560000001</v>
      </c>
      <c r="AF50">
        <v>1484.5031899999999</v>
      </c>
      <c r="AG50">
        <v>1623.231174</v>
      </c>
      <c r="AH50">
        <v>1790.609132</v>
      </c>
      <c r="AI50">
        <v>1959.0813800000001</v>
      </c>
      <c r="AJ50">
        <v>2130.7132329999999</v>
      </c>
      <c r="AK50">
        <v>2305.6593849999999</v>
      </c>
      <c r="AL50">
        <v>2483.8172880000002</v>
      </c>
      <c r="AM50">
        <v>2616.1212970000001</v>
      </c>
      <c r="AN50">
        <v>2753.9077969999998</v>
      </c>
      <c r="AO50">
        <v>2896.2711519999998</v>
      </c>
      <c r="AP50">
        <v>3042.5208689999999</v>
      </c>
      <c r="AQ50">
        <v>3190.7340140000001</v>
      </c>
      <c r="AR50">
        <v>3263.6440779999998</v>
      </c>
      <c r="AS50">
        <v>3343.334507</v>
      </c>
      <c r="AT50">
        <v>3425.695432</v>
      </c>
      <c r="AU50">
        <v>3510.0560340000002</v>
      </c>
      <c r="AV50">
        <v>3565.9136010000002</v>
      </c>
    </row>
    <row r="51" spans="1:48">
      <c r="A51" t="s">
        <v>298</v>
      </c>
      <c r="B51">
        <v>1562.42671534339</v>
      </c>
      <c r="C51">
        <v>1587.5119816394699</v>
      </c>
      <c r="D51">
        <v>1605.1040889999999</v>
      </c>
      <c r="E51">
        <v>1610.307888</v>
      </c>
      <c r="F51">
        <v>1609.1837969999999</v>
      </c>
      <c r="G51">
        <v>1606.262579</v>
      </c>
      <c r="H51">
        <v>1624.592666</v>
      </c>
      <c r="I51">
        <v>1643.6148909999999</v>
      </c>
      <c r="J51">
        <v>1652.3892780000001</v>
      </c>
      <c r="K51">
        <v>1662.0995869999999</v>
      </c>
      <c r="L51">
        <v>1682.1944570000001</v>
      </c>
      <c r="M51">
        <v>1678.0493859999999</v>
      </c>
      <c r="N51">
        <v>1700.327493</v>
      </c>
      <c r="O51">
        <v>1725.731035</v>
      </c>
      <c r="P51">
        <v>1747.6763169999999</v>
      </c>
      <c r="Q51">
        <v>1779.921754</v>
      </c>
      <c r="R51">
        <v>1784.8602470000001</v>
      </c>
      <c r="S51">
        <v>1788.1631829999999</v>
      </c>
      <c r="T51">
        <v>1800.7277260000001</v>
      </c>
      <c r="U51">
        <v>1816.8417460000001</v>
      </c>
      <c r="V51">
        <v>1826.2894920000001</v>
      </c>
      <c r="W51">
        <v>1838.44847</v>
      </c>
      <c r="X51">
        <v>1856.317773</v>
      </c>
      <c r="Y51">
        <v>1869.200094</v>
      </c>
      <c r="Z51">
        <v>1880.8638109999999</v>
      </c>
      <c r="AA51">
        <v>1892.4604710000001</v>
      </c>
      <c r="AB51">
        <v>1904.480002</v>
      </c>
      <c r="AC51">
        <v>1917.8666559999999</v>
      </c>
      <c r="AD51">
        <v>1926.1149660000001</v>
      </c>
      <c r="AE51">
        <v>1937.64879</v>
      </c>
      <c r="AF51">
        <v>1950.769051</v>
      </c>
      <c r="AG51">
        <v>1959.0179519999999</v>
      </c>
      <c r="AH51">
        <v>1977.6235939999999</v>
      </c>
      <c r="AI51">
        <v>1995.2717990000001</v>
      </c>
      <c r="AJ51">
        <v>2012.834599</v>
      </c>
      <c r="AK51">
        <v>2030.635794</v>
      </c>
      <c r="AL51">
        <v>2048.7467729999998</v>
      </c>
      <c r="AM51">
        <v>2066.7259589999999</v>
      </c>
      <c r="AN51">
        <v>2085.8797800000002</v>
      </c>
      <c r="AO51">
        <v>2105.705852</v>
      </c>
      <c r="AP51">
        <v>2126.0316010000001</v>
      </c>
      <c r="AQ51">
        <v>2146.6596599999998</v>
      </c>
      <c r="AR51">
        <v>2162.3505089999999</v>
      </c>
      <c r="AS51">
        <v>2178.5137989999998</v>
      </c>
      <c r="AT51">
        <v>2194.9723669999998</v>
      </c>
      <c r="AU51">
        <v>2211.6434669999999</v>
      </c>
      <c r="AV51">
        <v>2228.7268519999998</v>
      </c>
    </row>
    <row r="52" spans="1:48">
      <c r="A52" t="s">
        <v>299</v>
      </c>
      <c r="B52">
        <v>6772.67767358117</v>
      </c>
      <c r="C52">
        <v>6881.4152043151798</v>
      </c>
      <c r="D52">
        <v>6991.8920099999996</v>
      </c>
      <c r="E52">
        <v>6983.4094649999997</v>
      </c>
      <c r="F52">
        <v>6878.9683420000001</v>
      </c>
      <c r="G52">
        <v>6667.5853880000004</v>
      </c>
      <c r="H52">
        <v>6647.3856599999999</v>
      </c>
      <c r="I52">
        <v>6637.3088109999999</v>
      </c>
      <c r="J52">
        <v>6587.5234469999996</v>
      </c>
      <c r="K52">
        <v>6501.1167889999997</v>
      </c>
      <c r="L52">
        <v>6466.9314199999999</v>
      </c>
      <c r="M52">
        <v>6420.9044249999997</v>
      </c>
      <c r="N52">
        <v>6433.5567209999999</v>
      </c>
      <c r="O52">
        <v>6483.3470289999996</v>
      </c>
      <c r="P52">
        <v>6421.2059419999996</v>
      </c>
      <c r="Q52">
        <v>6370.4485020000002</v>
      </c>
      <c r="R52">
        <v>6340.4601640000001</v>
      </c>
      <c r="S52">
        <v>6542.9073269999999</v>
      </c>
      <c r="T52">
        <v>6670.4442300000001</v>
      </c>
      <c r="U52">
        <v>6792.5718010000001</v>
      </c>
      <c r="V52">
        <v>6861.5145000000002</v>
      </c>
      <c r="W52">
        <v>7080.9708870000004</v>
      </c>
      <c r="X52">
        <v>7310.8349029999999</v>
      </c>
      <c r="Y52">
        <v>7560.4221239999997</v>
      </c>
      <c r="Z52">
        <v>7821.0217979999998</v>
      </c>
      <c r="AA52">
        <v>8096.0617689999999</v>
      </c>
      <c r="AB52">
        <v>8387.32798799999</v>
      </c>
      <c r="AC52">
        <v>8748.0792930000007</v>
      </c>
      <c r="AD52">
        <v>9122.7089909999995</v>
      </c>
      <c r="AE52">
        <v>9516.2796419999995</v>
      </c>
      <c r="AF52">
        <v>9926.0842549999998</v>
      </c>
      <c r="AG52">
        <v>10348.012930000001</v>
      </c>
      <c r="AH52">
        <v>10710.53333</v>
      </c>
      <c r="AI52">
        <v>11087.010490000001</v>
      </c>
      <c r="AJ52">
        <v>11477.36196</v>
      </c>
      <c r="AK52">
        <v>11879.89006</v>
      </c>
      <c r="AL52">
        <v>12293.191360000001</v>
      </c>
      <c r="AM52">
        <v>12557.135399999999</v>
      </c>
      <c r="AN52">
        <v>12836.846970000001</v>
      </c>
      <c r="AO52">
        <v>13123.555420000001</v>
      </c>
      <c r="AP52">
        <v>13416.16574</v>
      </c>
      <c r="AQ52">
        <v>13712.31439</v>
      </c>
      <c r="AR52">
        <v>13926.362859999999</v>
      </c>
      <c r="AS52">
        <v>14140.14696</v>
      </c>
      <c r="AT52">
        <v>14353.44859</v>
      </c>
      <c r="AU52">
        <v>14565.26434</v>
      </c>
      <c r="AV52">
        <v>14777.49597</v>
      </c>
    </row>
    <row r="53" spans="1:48">
      <c r="A53" t="s">
        <v>300</v>
      </c>
      <c r="B53">
        <v>1562.42671534339</v>
      </c>
      <c r="C53">
        <v>1587.5119816394699</v>
      </c>
      <c r="D53">
        <v>1605.1040889999999</v>
      </c>
      <c r="E53">
        <v>1610.307888</v>
      </c>
      <c r="F53">
        <v>1609.1837969999999</v>
      </c>
      <c r="G53">
        <v>1606.262579</v>
      </c>
      <c r="H53">
        <v>1624.592666</v>
      </c>
      <c r="I53">
        <v>1643.6148909999999</v>
      </c>
      <c r="J53">
        <v>1652.3892780000001</v>
      </c>
      <c r="K53">
        <v>1662.0995869999999</v>
      </c>
      <c r="L53">
        <v>1682.1944570000001</v>
      </c>
      <c r="M53">
        <v>1678.0493859999999</v>
      </c>
      <c r="N53">
        <v>1700.327493</v>
      </c>
      <c r="O53">
        <v>1725.731035</v>
      </c>
      <c r="P53">
        <v>1747.6763169999999</v>
      </c>
      <c r="Q53">
        <v>1779.921754</v>
      </c>
      <c r="R53">
        <v>1784.8602470000001</v>
      </c>
      <c r="S53">
        <v>1788.1631829999999</v>
      </c>
      <c r="T53">
        <v>1800.7277260000001</v>
      </c>
      <c r="U53">
        <v>1816.8417460000001</v>
      </c>
      <c r="V53">
        <v>1885.466889</v>
      </c>
      <c r="W53">
        <v>1932.209171</v>
      </c>
      <c r="X53">
        <v>1908.0419770000001</v>
      </c>
      <c r="Y53">
        <v>1895.2763829999999</v>
      </c>
      <c r="Z53">
        <v>1887.208204</v>
      </c>
      <c r="AA53">
        <v>1880.7833820000001</v>
      </c>
      <c r="AB53">
        <v>1874.9562860000001</v>
      </c>
      <c r="AC53">
        <v>1833.522923</v>
      </c>
      <c r="AD53">
        <v>1791.7918709999999</v>
      </c>
      <c r="AE53">
        <v>1749.453786</v>
      </c>
      <c r="AF53">
        <v>1706.672288</v>
      </c>
      <c r="AG53">
        <v>1663.5285409999999</v>
      </c>
      <c r="AH53">
        <v>1617.1357579999999</v>
      </c>
      <c r="AI53">
        <v>1569.5524640000001</v>
      </c>
      <c r="AJ53">
        <v>1521.3360809999999</v>
      </c>
      <c r="AK53">
        <v>1472.68489</v>
      </c>
      <c r="AL53">
        <v>1423.7191210000001</v>
      </c>
      <c r="AM53">
        <v>1388.5658579999999</v>
      </c>
      <c r="AN53">
        <v>1353.468938</v>
      </c>
      <c r="AO53">
        <v>1318.2075709999999</v>
      </c>
      <c r="AP53">
        <v>1282.683086</v>
      </c>
      <c r="AQ53">
        <v>1248.6421929999999</v>
      </c>
      <c r="AR53">
        <v>1233.827503</v>
      </c>
      <c r="AS53">
        <v>1218.811481</v>
      </c>
      <c r="AT53">
        <v>1203.6133830000001</v>
      </c>
      <c r="AU53">
        <v>1188.2420010000001</v>
      </c>
      <c r="AV53">
        <v>1169.695737</v>
      </c>
    </row>
    <row r="54" spans="1:48">
      <c r="A54" t="s">
        <v>168</v>
      </c>
      <c r="B54">
        <v>6772.67767358117</v>
      </c>
      <c r="C54">
        <v>6881.4152043151798</v>
      </c>
      <c r="D54">
        <v>6991.8920099999996</v>
      </c>
      <c r="E54">
        <v>6983.4094649999997</v>
      </c>
      <c r="F54">
        <v>6878.9683420000001</v>
      </c>
      <c r="G54">
        <v>6667.5853880000004</v>
      </c>
      <c r="H54">
        <v>6647.3856599999999</v>
      </c>
      <c r="I54">
        <v>6637.3088109999999</v>
      </c>
      <c r="J54">
        <v>6587.5234469999996</v>
      </c>
      <c r="K54">
        <v>6501.1167889999997</v>
      </c>
      <c r="L54">
        <v>6466.9314199999999</v>
      </c>
      <c r="M54">
        <v>6420.9044249999997</v>
      </c>
      <c r="N54">
        <v>6433.5567209999999</v>
      </c>
      <c r="O54">
        <v>6483.3470289999996</v>
      </c>
      <c r="P54">
        <v>6421.2059419999996</v>
      </c>
      <c r="Q54">
        <v>6370.4485020000002</v>
      </c>
      <c r="R54">
        <v>6340.4601640000001</v>
      </c>
      <c r="S54">
        <v>6542.9073269999999</v>
      </c>
      <c r="T54">
        <v>6670.4442300000001</v>
      </c>
      <c r="U54">
        <v>6792.5718010000001</v>
      </c>
      <c r="V54">
        <v>6780.3283970000002</v>
      </c>
      <c r="W54">
        <v>6689.3426909999998</v>
      </c>
      <c r="X54">
        <v>6739.2359630000001</v>
      </c>
      <c r="Y54">
        <v>6795.5878540000003</v>
      </c>
      <c r="Z54">
        <v>6853.9056119999996</v>
      </c>
      <c r="AA54">
        <v>6914.4931130000004</v>
      </c>
      <c r="AB54">
        <v>6979.4593430000004</v>
      </c>
      <c r="AC54">
        <v>7132.8819130000002</v>
      </c>
      <c r="AD54">
        <v>7275.2521230000002</v>
      </c>
      <c r="AE54">
        <v>7421.468374</v>
      </c>
      <c r="AF54">
        <v>7568.8148199999996</v>
      </c>
      <c r="AG54">
        <v>7717.117741</v>
      </c>
      <c r="AH54">
        <v>7902.2359260000003</v>
      </c>
      <c r="AI54">
        <v>8086.7046410000003</v>
      </c>
      <c r="AJ54">
        <v>8278.9265589999995</v>
      </c>
      <c r="AK54">
        <v>8478.4518960000005</v>
      </c>
      <c r="AL54">
        <v>8684.0867419999995</v>
      </c>
      <c r="AM54">
        <v>8839.180359</v>
      </c>
      <c r="AN54">
        <v>9009.3365680000006</v>
      </c>
      <c r="AO54">
        <v>9190.4279719999995</v>
      </c>
      <c r="AP54">
        <v>9379.5194009999996</v>
      </c>
      <c r="AQ54">
        <v>9570.334116</v>
      </c>
      <c r="AR54">
        <v>9679.0346200000004</v>
      </c>
      <c r="AS54">
        <v>9806.3820469999901</v>
      </c>
      <c r="AT54">
        <v>9939.8701380000002</v>
      </c>
      <c r="AU54">
        <v>10077.405269999999</v>
      </c>
      <c r="AV54">
        <v>10132.2191</v>
      </c>
    </row>
    <row r="55" spans="1:48">
      <c r="A55" t="s">
        <v>123</v>
      </c>
      <c r="B55">
        <v>17152.791243211901</v>
      </c>
      <c r="C55">
        <v>17428.184854849202</v>
      </c>
      <c r="D55">
        <v>17707.998309999999</v>
      </c>
      <c r="E55">
        <v>18112.589110000001</v>
      </c>
      <c r="F55">
        <v>17584.912469999999</v>
      </c>
      <c r="G55">
        <v>16489.447919999999</v>
      </c>
      <c r="H55">
        <v>16981.449280000001</v>
      </c>
      <c r="I55">
        <v>16978.001810000002</v>
      </c>
      <c r="J55">
        <v>16711.345099999999</v>
      </c>
      <c r="K55">
        <v>16810.171760000001</v>
      </c>
      <c r="L55">
        <v>16819.797849999999</v>
      </c>
      <c r="M55">
        <v>16807.925149999999</v>
      </c>
      <c r="N55">
        <v>17139.387409999999</v>
      </c>
      <c r="O55">
        <v>17961.560839999998</v>
      </c>
      <c r="P55">
        <v>17864.866890000001</v>
      </c>
      <c r="Q55">
        <v>18438.065910000001</v>
      </c>
      <c r="R55">
        <v>18412.655599999998</v>
      </c>
      <c r="S55">
        <v>18418.69328</v>
      </c>
      <c r="T55">
        <v>18525.588110000001</v>
      </c>
      <c r="U55">
        <v>18673.22553</v>
      </c>
      <c r="V55">
        <v>18755.76527</v>
      </c>
      <c r="W55">
        <v>18822.224330000001</v>
      </c>
      <c r="X55">
        <v>18980.7664</v>
      </c>
      <c r="Y55">
        <v>19087.975539999999</v>
      </c>
      <c r="Z55">
        <v>19182.481779999998</v>
      </c>
      <c r="AA55">
        <v>19276.06321</v>
      </c>
      <c r="AB55">
        <v>19373.707259999999</v>
      </c>
      <c r="AC55">
        <v>19476.89803</v>
      </c>
      <c r="AD55">
        <v>19527.646059999999</v>
      </c>
      <c r="AE55">
        <v>19611.476640000001</v>
      </c>
      <c r="AF55">
        <v>19711.054940000002</v>
      </c>
      <c r="AG55">
        <v>19761.15998</v>
      </c>
      <c r="AH55">
        <v>19907.54204</v>
      </c>
      <c r="AI55">
        <v>20043.701249999998</v>
      </c>
      <c r="AJ55">
        <v>20178.44284</v>
      </c>
      <c r="AK55">
        <v>20315.01496</v>
      </c>
      <c r="AL55">
        <v>20454.119060000001</v>
      </c>
      <c r="AM55">
        <v>20586.58122</v>
      </c>
      <c r="AN55">
        <v>20730.114710000002</v>
      </c>
      <c r="AO55">
        <v>20879.662629999999</v>
      </c>
      <c r="AP55">
        <v>21033.47682</v>
      </c>
      <c r="AQ55">
        <v>21189.580150000002</v>
      </c>
      <c r="AR55">
        <v>21344.463810000001</v>
      </c>
      <c r="AS55">
        <v>21504.010910000001</v>
      </c>
      <c r="AT55">
        <v>21666.472689999999</v>
      </c>
      <c r="AU55">
        <v>21831.032360000001</v>
      </c>
      <c r="AV55">
        <v>21999.661680000001</v>
      </c>
    </row>
    <row r="56" spans="1:48">
      <c r="A56" t="s">
        <v>124</v>
      </c>
      <c r="B56">
        <v>50367.815966588998</v>
      </c>
      <c r="C56">
        <v>51176.487543864299</v>
      </c>
      <c r="D56">
        <v>51997.840850000001</v>
      </c>
      <c r="E56">
        <v>53278.509599999998</v>
      </c>
      <c r="F56">
        <v>51746.802889999999</v>
      </c>
      <c r="G56">
        <v>47902.889869999999</v>
      </c>
      <c r="H56">
        <v>49310.520519999998</v>
      </c>
      <c r="I56">
        <v>49903.578589999997</v>
      </c>
      <c r="J56">
        <v>48585.703049999996</v>
      </c>
      <c r="K56">
        <v>48340.087520000001</v>
      </c>
      <c r="L56">
        <v>48989.524239999999</v>
      </c>
      <c r="M56">
        <v>49920.82185</v>
      </c>
      <c r="N56">
        <v>51000.063699999999</v>
      </c>
      <c r="O56">
        <v>53563.894549999997</v>
      </c>
      <c r="P56">
        <v>53234.94328</v>
      </c>
      <c r="Q56">
        <v>54083.170460000001</v>
      </c>
      <c r="R56">
        <v>54384.040549999998</v>
      </c>
      <c r="S56">
        <v>55183.301979999997</v>
      </c>
      <c r="T56">
        <v>55517.264150000003</v>
      </c>
      <c r="U56">
        <v>55943.687749999997</v>
      </c>
      <c r="V56">
        <v>56043.569920000002</v>
      </c>
      <c r="W56">
        <v>55981.868490000001</v>
      </c>
      <c r="X56">
        <v>55831.963600000003</v>
      </c>
      <c r="Y56">
        <v>55837.592900000003</v>
      </c>
      <c r="Z56">
        <v>55921.604290000003</v>
      </c>
      <c r="AA56">
        <v>56100.488770000004</v>
      </c>
      <c r="AB56">
        <v>56377.724820000003</v>
      </c>
      <c r="AC56">
        <v>56726.147230000002</v>
      </c>
      <c r="AD56">
        <v>57137.725350000001</v>
      </c>
      <c r="AE56">
        <v>57636.872170000002</v>
      </c>
      <c r="AF56">
        <v>58199.327700000002</v>
      </c>
      <c r="AG56">
        <v>58795.863420000001</v>
      </c>
      <c r="AH56">
        <v>59518.450680000002</v>
      </c>
      <c r="AI56">
        <v>60285.855669999997</v>
      </c>
      <c r="AJ56">
        <v>61094.809459999997</v>
      </c>
      <c r="AK56">
        <v>61933.891960000001</v>
      </c>
      <c r="AL56">
        <v>62794.10873</v>
      </c>
      <c r="AM56">
        <v>63681.83726</v>
      </c>
      <c r="AN56">
        <v>64636.3027</v>
      </c>
      <c r="AO56">
        <v>65612.238540000006</v>
      </c>
      <c r="AP56">
        <v>66603.755860000005</v>
      </c>
      <c r="AQ56">
        <v>67598.876759999999</v>
      </c>
      <c r="AR56">
        <v>68625.995880000002</v>
      </c>
      <c r="AS56">
        <v>69650.972469999906</v>
      </c>
      <c r="AT56">
        <v>70672.735270000005</v>
      </c>
      <c r="AU56">
        <v>71686.349719999998</v>
      </c>
      <c r="AV56">
        <v>72701.181930000006</v>
      </c>
    </row>
    <row r="57" spans="1:48">
      <c r="A57" t="s">
        <v>125</v>
      </c>
      <c r="B57">
        <v>17152.791243211901</v>
      </c>
      <c r="C57">
        <v>17428.184854849202</v>
      </c>
      <c r="D57">
        <v>17707.998309999999</v>
      </c>
      <c r="E57">
        <v>18112.589110000001</v>
      </c>
      <c r="F57">
        <v>17584.912469999999</v>
      </c>
      <c r="G57">
        <v>16489.447919999999</v>
      </c>
      <c r="H57">
        <v>16981.449280000001</v>
      </c>
      <c r="I57">
        <v>16978.001810000002</v>
      </c>
      <c r="J57">
        <v>16711.345099999999</v>
      </c>
      <c r="K57">
        <v>16810.171760000001</v>
      </c>
      <c r="L57">
        <v>16819.797849999999</v>
      </c>
      <c r="M57">
        <v>16807.925149999999</v>
      </c>
      <c r="N57">
        <v>17139.387409999999</v>
      </c>
      <c r="O57">
        <v>17961.560839999998</v>
      </c>
      <c r="P57">
        <v>17864.866890000001</v>
      </c>
      <c r="Q57">
        <v>18438.065910000001</v>
      </c>
      <c r="R57">
        <v>18412.655599999998</v>
      </c>
      <c r="S57">
        <v>18418.69328</v>
      </c>
      <c r="T57">
        <v>18525.588110000001</v>
      </c>
      <c r="U57">
        <v>18673.22553</v>
      </c>
      <c r="V57">
        <v>19550.87456</v>
      </c>
      <c r="W57">
        <v>20214.116679999999</v>
      </c>
      <c r="X57">
        <v>20269.07245</v>
      </c>
      <c r="Y57">
        <v>20446.381069999999</v>
      </c>
      <c r="Z57">
        <v>20678.330310000001</v>
      </c>
      <c r="AA57">
        <v>20933.468850000001</v>
      </c>
      <c r="AB57">
        <v>21201.012879999998</v>
      </c>
      <c r="AC57">
        <v>21370.535489999998</v>
      </c>
      <c r="AD57">
        <v>21541.793379999999</v>
      </c>
      <c r="AE57">
        <v>21711.017970000001</v>
      </c>
      <c r="AF57">
        <v>21880.00417</v>
      </c>
      <c r="AG57">
        <v>22049.701669999999</v>
      </c>
      <c r="AH57">
        <v>22265.475050000001</v>
      </c>
      <c r="AI57">
        <v>22474.26974</v>
      </c>
      <c r="AJ57">
        <v>22683.361099999998</v>
      </c>
      <c r="AK57">
        <v>22895.70004</v>
      </c>
      <c r="AL57">
        <v>23113.493439999998</v>
      </c>
      <c r="AM57">
        <v>23321.533439999999</v>
      </c>
      <c r="AN57">
        <v>23538.658439999999</v>
      </c>
      <c r="AO57">
        <v>23761.7408</v>
      </c>
      <c r="AP57">
        <v>23989.451779999999</v>
      </c>
      <c r="AQ57">
        <v>24256.095539999998</v>
      </c>
      <c r="AR57">
        <v>24480.156930000001</v>
      </c>
      <c r="AS57">
        <v>24705.70004</v>
      </c>
      <c r="AT57">
        <v>24933.131119999998</v>
      </c>
      <c r="AU57">
        <v>25162.670129999999</v>
      </c>
      <c r="AV57">
        <v>25329.366829999999</v>
      </c>
    </row>
    <row r="58" spans="1:48">
      <c r="A58" t="s">
        <v>126</v>
      </c>
      <c r="B58">
        <v>50367.815966588998</v>
      </c>
      <c r="C58">
        <v>51176.487543864299</v>
      </c>
      <c r="D58">
        <v>51997.840850000001</v>
      </c>
      <c r="E58">
        <v>53278.509599999998</v>
      </c>
      <c r="F58">
        <v>51746.802889999999</v>
      </c>
      <c r="G58">
        <v>47902.889869999999</v>
      </c>
      <c r="H58">
        <v>49310.520519999998</v>
      </c>
      <c r="I58">
        <v>49903.578589999997</v>
      </c>
      <c r="J58">
        <v>48585.703049999996</v>
      </c>
      <c r="K58">
        <v>48340.087520000001</v>
      </c>
      <c r="L58">
        <v>48989.524239999999</v>
      </c>
      <c r="M58">
        <v>49920.82185</v>
      </c>
      <c r="N58">
        <v>51000.063699999999</v>
      </c>
      <c r="O58">
        <v>53563.894549999997</v>
      </c>
      <c r="P58">
        <v>53234.94328</v>
      </c>
      <c r="Q58">
        <v>54083.170460000001</v>
      </c>
      <c r="R58">
        <v>54384.040549999998</v>
      </c>
      <c r="S58">
        <v>55183.301979999997</v>
      </c>
      <c r="T58">
        <v>55517.264150000003</v>
      </c>
      <c r="U58">
        <v>55943.687749999997</v>
      </c>
      <c r="V58">
        <v>56175.354829999997</v>
      </c>
      <c r="W58">
        <v>55751.777620000001</v>
      </c>
      <c r="X58">
        <v>55679.215400000001</v>
      </c>
      <c r="Y58">
        <v>55664.565360000001</v>
      </c>
      <c r="Z58">
        <v>55669.839500000002</v>
      </c>
      <c r="AA58">
        <v>55696.968309999997</v>
      </c>
      <c r="AB58">
        <v>55762.249089999998</v>
      </c>
      <c r="AC58">
        <v>56212.121760000002</v>
      </c>
      <c r="AD58">
        <v>56569.540739999997</v>
      </c>
      <c r="AE58">
        <v>56952.5628</v>
      </c>
      <c r="AF58">
        <v>57339.704010000001</v>
      </c>
      <c r="AG58">
        <v>57729.589500000002</v>
      </c>
      <c r="AH58">
        <v>58218.395530000002</v>
      </c>
      <c r="AI58">
        <v>58694.266750000003</v>
      </c>
      <c r="AJ58">
        <v>59217.993439999998</v>
      </c>
      <c r="AK58">
        <v>59784.48416</v>
      </c>
      <c r="AL58">
        <v>60383.784720000003</v>
      </c>
      <c r="AM58">
        <v>60898.695820000001</v>
      </c>
      <c r="AN58">
        <v>61511.361629999999</v>
      </c>
      <c r="AO58">
        <v>62191.33584</v>
      </c>
      <c r="AP58">
        <v>62917.270909999999</v>
      </c>
      <c r="AQ58">
        <v>63646.355479999998</v>
      </c>
      <c r="AR58">
        <v>64235.917630000004</v>
      </c>
      <c r="AS58">
        <v>64948.029949999996</v>
      </c>
      <c r="AT58">
        <v>65699.320550000004</v>
      </c>
      <c r="AU58">
        <v>66475.784870000003</v>
      </c>
      <c r="AV58">
        <v>66706.072369999994</v>
      </c>
    </row>
    <row r="59" spans="1:48">
      <c r="A59" t="s">
        <v>290</v>
      </c>
      <c r="B59">
        <v>24880.332639176799</v>
      </c>
      <c r="C59">
        <v>25279.794427470399</v>
      </c>
      <c r="D59">
        <v>25688.370599999998</v>
      </c>
      <c r="E59">
        <v>25849.027590000002</v>
      </c>
      <c r="F59">
        <v>26077.5268</v>
      </c>
      <c r="G59">
        <v>26252.676009999999</v>
      </c>
      <c r="H59">
        <v>26515.370439999999</v>
      </c>
      <c r="I59">
        <v>26905.835599999999</v>
      </c>
      <c r="J59">
        <v>27182.044259999999</v>
      </c>
      <c r="K59">
        <v>27448.531879999999</v>
      </c>
      <c r="L59">
        <v>27852.99641</v>
      </c>
      <c r="M59">
        <v>28019.964609999999</v>
      </c>
      <c r="N59">
        <v>28433.957119999999</v>
      </c>
      <c r="O59">
        <v>28856.385190000001</v>
      </c>
      <c r="P59">
        <v>29367.43622</v>
      </c>
      <c r="Q59">
        <v>29930.410759999999</v>
      </c>
      <c r="R59">
        <v>30123.822219999998</v>
      </c>
      <c r="S59">
        <v>30345.287110000001</v>
      </c>
      <c r="T59">
        <v>30670.597750000001</v>
      </c>
      <c r="U59">
        <v>31031.557140000001</v>
      </c>
      <c r="V59">
        <v>31312.176019999999</v>
      </c>
      <c r="W59">
        <v>31572.159619999999</v>
      </c>
      <c r="X59">
        <v>31928.654879999998</v>
      </c>
      <c r="Y59">
        <v>32224.733820000001</v>
      </c>
      <c r="Z59">
        <v>32501.570360000002</v>
      </c>
      <c r="AA59">
        <v>32771.748010000003</v>
      </c>
      <c r="AB59">
        <v>33040.90625</v>
      </c>
      <c r="AC59">
        <v>33311.430939999998</v>
      </c>
      <c r="AD59">
        <v>33519.737079999999</v>
      </c>
      <c r="AE59">
        <v>33759.231919999998</v>
      </c>
      <c r="AF59">
        <v>34012.080589999998</v>
      </c>
      <c r="AG59">
        <v>34207.02203</v>
      </c>
      <c r="AH59">
        <v>34502.167370000003</v>
      </c>
      <c r="AI59">
        <v>34783.089720000004</v>
      </c>
      <c r="AJ59">
        <v>35059.734479999999</v>
      </c>
      <c r="AK59">
        <v>35335.953719999998</v>
      </c>
      <c r="AL59">
        <v>35612.82847</v>
      </c>
      <c r="AM59">
        <v>35878.536740000003</v>
      </c>
      <c r="AN59">
        <v>36152.743949999996</v>
      </c>
      <c r="AO59">
        <v>36430.596129999998</v>
      </c>
      <c r="AP59">
        <v>36710.712030000002</v>
      </c>
      <c r="AQ59">
        <v>36991.360630000003</v>
      </c>
      <c r="AR59">
        <v>37267.828099999999</v>
      </c>
      <c r="AS59">
        <v>37546.77231</v>
      </c>
      <c r="AT59">
        <v>37826.672570000002</v>
      </c>
      <c r="AU59">
        <v>38106.93262</v>
      </c>
      <c r="AV59">
        <v>38389.890200000002</v>
      </c>
    </row>
    <row r="60" spans="1:48">
      <c r="A60" t="s">
        <v>173</v>
      </c>
      <c r="B60">
        <v>58358.394150187502</v>
      </c>
      <c r="C60">
        <v>59295.357044826203</v>
      </c>
      <c r="D60">
        <v>60250.883699999998</v>
      </c>
      <c r="E60">
        <v>60985.596060000003</v>
      </c>
      <c r="F60">
        <v>61402.329760000001</v>
      </c>
      <c r="G60">
        <v>60789.84706</v>
      </c>
      <c r="H60">
        <v>61115.401279999998</v>
      </c>
      <c r="I60">
        <v>62080.520559999997</v>
      </c>
      <c r="J60">
        <v>62495.068039999998</v>
      </c>
      <c r="K60">
        <v>62203.859279999997</v>
      </c>
      <c r="L60">
        <v>62589.728949999997</v>
      </c>
      <c r="M60">
        <v>62961.45448</v>
      </c>
      <c r="N60">
        <v>63508.970909999996</v>
      </c>
      <c r="O60">
        <v>64418.063679999999</v>
      </c>
      <c r="P60">
        <v>65585.387789999906</v>
      </c>
      <c r="Q60">
        <v>66515.088900000002</v>
      </c>
      <c r="R60">
        <v>67294.467810000002</v>
      </c>
      <c r="S60">
        <v>68498.18492</v>
      </c>
      <c r="T60">
        <v>69344.231820000001</v>
      </c>
      <c r="U60">
        <v>70275.928669999994</v>
      </c>
      <c r="V60">
        <v>70936.973679999996</v>
      </c>
      <c r="W60">
        <v>71468.475850000003</v>
      </c>
      <c r="X60">
        <v>71917.533339999994</v>
      </c>
      <c r="Y60">
        <v>72483.989100000006</v>
      </c>
      <c r="Z60">
        <v>73101.323170000003</v>
      </c>
      <c r="AA60">
        <v>73784.463229999994</v>
      </c>
      <c r="AB60">
        <v>74539.009179999906</v>
      </c>
      <c r="AC60">
        <v>75350.514389999997</v>
      </c>
      <c r="AD60">
        <v>76214.838839999997</v>
      </c>
      <c r="AE60">
        <v>77156.743530000007</v>
      </c>
      <c r="AF60">
        <v>78157.785659999994</v>
      </c>
      <c r="AG60">
        <v>79193.445519999994</v>
      </c>
      <c r="AH60">
        <v>80345.425579999996</v>
      </c>
      <c r="AI60">
        <v>81544.502240000002</v>
      </c>
      <c r="AJ60">
        <v>82789.213409999997</v>
      </c>
      <c r="AK60">
        <v>84070.16777</v>
      </c>
      <c r="AL60">
        <v>85379.566030000002</v>
      </c>
      <c r="AM60">
        <v>86716.836139999999</v>
      </c>
      <c r="AN60">
        <v>88120.464779999995</v>
      </c>
      <c r="AO60">
        <v>89552.00013</v>
      </c>
      <c r="AP60">
        <v>91007.481390000001</v>
      </c>
      <c r="AQ60">
        <v>92476.687009999994</v>
      </c>
      <c r="AR60">
        <v>93981.122929999998</v>
      </c>
      <c r="AS60">
        <v>95491.00447</v>
      </c>
      <c r="AT60">
        <v>97005.694560000004</v>
      </c>
      <c r="AU60">
        <v>98520.558850000001</v>
      </c>
      <c r="AV60">
        <v>100043.7743</v>
      </c>
    </row>
    <row r="61" spans="1:48">
      <c r="A61" t="s">
        <v>291</v>
      </c>
      <c r="B61">
        <v>24880.332639176799</v>
      </c>
      <c r="C61">
        <v>25279.794427470399</v>
      </c>
      <c r="D61">
        <v>25688.370599999998</v>
      </c>
      <c r="E61">
        <v>25849.027590000002</v>
      </c>
      <c r="F61">
        <v>26077.5268</v>
      </c>
      <c r="G61">
        <v>26252.676009999999</v>
      </c>
      <c r="H61">
        <v>26515.370439999999</v>
      </c>
      <c r="I61">
        <v>26905.835599999999</v>
      </c>
      <c r="J61">
        <v>27182.044259999999</v>
      </c>
      <c r="K61">
        <v>27448.531879999999</v>
      </c>
      <c r="L61">
        <v>27852.99641</v>
      </c>
      <c r="M61">
        <v>28019.964609999999</v>
      </c>
      <c r="N61">
        <v>28433.957119999999</v>
      </c>
      <c r="O61">
        <v>28856.385190000001</v>
      </c>
      <c r="P61">
        <v>29367.43622</v>
      </c>
      <c r="Q61">
        <v>29930.410759999999</v>
      </c>
      <c r="R61">
        <v>30123.822219999998</v>
      </c>
      <c r="S61">
        <v>30345.287110000001</v>
      </c>
      <c r="T61">
        <v>30670.597750000001</v>
      </c>
      <c r="U61">
        <v>31031.557140000001</v>
      </c>
      <c r="V61">
        <v>32124.50995</v>
      </c>
      <c r="W61">
        <v>33000.901120000002</v>
      </c>
      <c r="X61">
        <v>33214.407249999997</v>
      </c>
      <c r="Y61">
        <v>33559.982129999997</v>
      </c>
      <c r="Z61">
        <v>33962.214330000003</v>
      </c>
      <c r="AA61">
        <v>34386.26715</v>
      </c>
      <c r="AB61">
        <v>34820.16848</v>
      </c>
      <c r="AC61">
        <v>35149.056980000001</v>
      </c>
      <c r="AD61">
        <v>35479.094669999999</v>
      </c>
      <c r="AE61">
        <v>35805.499629999998</v>
      </c>
      <c r="AF61">
        <v>36129.830719999998</v>
      </c>
      <c r="AG61">
        <v>36452.825299999997</v>
      </c>
      <c r="AH61">
        <v>36825.93045</v>
      </c>
      <c r="AI61">
        <v>37191.644039999999</v>
      </c>
      <c r="AJ61">
        <v>37557.744809999997</v>
      </c>
      <c r="AK61">
        <v>37927.294399999999</v>
      </c>
      <c r="AL61">
        <v>38302.628349999999</v>
      </c>
      <c r="AM61">
        <v>38664.842620000003</v>
      </c>
      <c r="AN61">
        <v>39034.437639999996</v>
      </c>
      <c r="AO61">
        <v>39408.044099999999</v>
      </c>
      <c r="AP61">
        <v>39784.191809999997</v>
      </c>
      <c r="AQ61">
        <v>40200.376179999999</v>
      </c>
      <c r="AR61">
        <v>40565.448620000003</v>
      </c>
      <c r="AS61">
        <v>40926.594109999998</v>
      </c>
      <c r="AT61">
        <v>41284.153079999996</v>
      </c>
      <c r="AU61">
        <v>41638.311589999998</v>
      </c>
      <c r="AV61">
        <v>41919.573530000001</v>
      </c>
    </row>
    <row r="62" spans="1:48">
      <c r="A62" t="s">
        <v>292</v>
      </c>
      <c r="B62">
        <v>58358.394150187502</v>
      </c>
      <c r="C62">
        <v>59295.357044826203</v>
      </c>
      <c r="D62">
        <v>60250.883699999998</v>
      </c>
      <c r="E62">
        <v>60985.596060000003</v>
      </c>
      <c r="F62">
        <v>61402.329760000001</v>
      </c>
      <c r="G62">
        <v>60789.84706</v>
      </c>
      <c r="H62">
        <v>61115.401279999998</v>
      </c>
      <c r="I62">
        <v>62080.520559999997</v>
      </c>
      <c r="J62">
        <v>62495.068039999998</v>
      </c>
      <c r="K62">
        <v>62203.859279999997</v>
      </c>
      <c r="L62">
        <v>62589.728949999997</v>
      </c>
      <c r="M62">
        <v>62961.45448</v>
      </c>
      <c r="N62">
        <v>63508.970909999996</v>
      </c>
      <c r="O62">
        <v>64418.063679999999</v>
      </c>
      <c r="P62">
        <v>65585.387789999906</v>
      </c>
      <c r="Q62">
        <v>66515.088900000002</v>
      </c>
      <c r="R62">
        <v>67294.467810000002</v>
      </c>
      <c r="S62">
        <v>68498.18492</v>
      </c>
      <c r="T62">
        <v>69344.231820000001</v>
      </c>
      <c r="U62">
        <v>70275.928669999994</v>
      </c>
      <c r="V62">
        <v>70982.890280000007</v>
      </c>
      <c r="W62">
        <v>71181.865730000005</v>
      </c>
      <c r="X62">
        <v>71741.335229999997</v>
      </c>
      <c r="Y62">
        <v>72387.653810000003</v>
      </c>
      <c r="Z62">
        <v>73065.97868</v>
      </c>
      <c r="AA62">
        <v>73763.183399999994</v>
      </c>
      <c r="AB62">
        <v>74484.839229999998</v>
      </c>
      <c r="AC62">
        <v>75608.104139999996</v>
      </c>
      <c r="AD62">
        <v>76669.806949999998</v>
      </c>
      <c r="AE62">
        <v>77774.941399999996</v>
      </c>
      <c r="AF62">
        <v>78895.368770000001</v>
      </c>
      <c r="AG62">
        <v>80023.355429999996</v>
      </c>
      <c r="AH62">
        <v>81260.396689999994</v>
      </c>
      <c r="AI62">
        <v>82491.274579999998</v>
      </c>
      <c r="AJ62">
        <v>83780.112949999995</v>
      </c>
      <c r="AK62">
        <v>85122.196609999999</v>
      </c>
      <c r="AL62">
        <v>86507.548850000006</v>
      </c>
      <c r="AM62">
        <v>87784.889649999997</v>
      </c>
      <c r="AN62">
        <v>89158.190629999997</v>
      </c>
      <c r="AO62">
        <v>90600.031000000003</v>
      </c>
      <c r="AP62">
        <v>92091.574099999998</v>
      </c>
      <c r="AQ62">
        <v>93588.171319999994</v>
      </c>
      <c r="AR62">
        <v>94907.752389999994</v>
      </c>
      <c r="AS62">
        <v>96346.550430000003</v>
      </c>
      <c r="AT62">
        <v>97815.451010000004</v>
      </c>
      <c r="AU62">
        <v>99301.741299999994</v>
      </c>
      <c r="AV62">
        <v>100155.20299999999</v>
      </c>
    </row>
    <row r="63" spans="1:48">
      <c r="A63" t="s">
        <v>293</v>
      </c>
      <c r="B63">
        <v>16664.593435069899</v>
      </c>
      <c r="C63">
        <v>16932.148872985399</v>
      </c>
      <c r="D63">
        <v>17203.998350000002</v>
      </c>
      <c r="E63">
        <v>17597.073810000002</v>
      </c>
      <c r="F63">
        <v>17084.41576</v>
      </c>
      <c r="G63">
        <v>16020.13</v>
      </c>
      <c r="H63">
        <v>16498.12816</v>
      </c>
      <c r="I63">
        <v>16494.77881</v>
      </c>
      <c r="J63">
        <v>16235.711600000001</v>
      </c>
      <c r="K63">
        <v>16331.725479999999</v>
      </c>
      <c r="L63">
        <v>16341.07761</v>
      </c>
      <c r="M63">
        <v>16329.542820000001</v>
      </c>
      <c r="N63">
        <v>16651.571100000001</v>
      </c>
      <c r="O63">
        <v>17450.344059999999</v>
      </c>
      <c r="P63">
        <v>17356.402190000001</v>
      </c>
      <c r="Q63">
        <v>17913.286990000001</v>
      </c>
      <c r="R63">
        <v>17888.599900000001</v>
      </c>
      <c r="S63">
        <v>17894.46573</v>
      </c>
      <c r="T63">
        <v>17998.318159999999</v>
      </c>
      <c r="U63">
        <v>18141.753560000001</v>
      </c>
      <c r="V63">
        <v>18221.944080000001</v>
      </c>
      <c r="W63">
        <v>18286.511600000002</v>
      </c>
      <c r="X63">
        <v>18440.541290000001</v>
      </c>
      <c r="Y63">
        <v>18544.699069999999</v>
      </c>
      <c r="Z63">
        <v>18636.515500000001</v>
      </c>
      <c r="AA63">
        <v>18727.433440000001</v>
      </c>
      <c r="AB63">
        <v>18822.29838</v>
      </c>
      <c r="AC63">
        <v>18922.552159999999</v>
      </c>
      <c r="AD63">
        <v>18971.855810000001</v>
      </c>
      <c r="AE63">
        <v>19053.300439999999</v>
      </c>
      <c r="AF63">
        <v>19150.044559999998</v>
      </c>
      <c r="AG63">
        <v>19198.723529999999</v>
      </c>
      <c r="AH63">
        <v>19340.939310000002</v>
      </c>
      <c r="AI63">
        <v>19473.223190000001</v>
      </c>
      <c r="AJ63">
        <v>19604.129809999999</v>
      </c>
      <c r="AK63">
        <v>19736.814849999999</v>
      </c>
      <c r="AL63">
        <v>19871.959800000001</v>
      </c>
      <c r="AM63">
        <v>20000.651870000002</v>
      </c>
      <c r="AN63">
        <v>20140.100149999998</v>
      </c>
      <c r="AO63">
        <v>20285.391680000001</v>
      </c>
      <c r="AP63">
        <v>20434.82806</v>
      </c>
      <c r="AQ63">
        <v>20586.488420000001</v>
      </c>
      <c r="AR63">
        <v>20736.963820000001</v>
      </c>
      <c r="AS63">
        <v>20891.969939999999</v>
      </c>
      <c r="AT63">
        <v>21049.807779999999</v>
      </c>
      <c r="AU63">
        <v>21209.683799999999</v>
      </c>
      <c r="AV63">
        <v>21373.513640000001</v>
      </c>
    </row>
    <row r="64" spans="1:48">
      <c r="A64" t="s">
        <v>294</v>
      </c>
      <c r="B64">
        <v>50367.815966588998</v>
      </c>
      <c r="C64">
        <v>51176.487543864299</v>
      </c>
      <c r="D64">
        <v>51997.840850000001</v>
      </c>
      <c r="E64">
        <v>53278.509599999998</v>
      </c>
      <c r="F64">
        <v>51746.802889999999</v>
      </c>
      <c r="G64">
        <v>47902.889869999999</v>
      </c>
      <c r="H64">
        <v>49310.520519999998</v>
      </c>
      <c r="I64">
        <v>49903.578589999997</v>
      </c>
      <c r="J64">
        <v>48585.703049999996</v>
      </c>
      <c r="K64">
        <v>48340.087520000001</v>
      </c>
      <c r="L64">
        <v>48989.524239999999</v>
      </c>
      <c r="M64">
        <v>49920.82185</v>
      </c>
      <c r="N64">
        <v>51000.063699999999</v>
      </c>
      <c r="O64">
        <v>53563.894549999997</v>
      </c>
      <c r="P64">
        <v>53234.94328</v>
      </c>
      <c r="Q64">
        <v>54083.170460000001</v>
      </c>
      <c r="R64">
        <v>54384.040549999998</v>
      </c>
      <c r="S64">
        <v>55183.301979999997</v>
      </c>
      <c r="T64">
        <v>55517.264150000003</v>
      </c>
      <c r="U64">
        <v>55943.687749999997</v>
      </c>
      <c r="V64">
        <v>56043.569920000002</v>
      </c>
      <c r="W64">
        <v>55981.868490000001</v>
      </c>
      <c r="X64">
        <v>55831.963600000003</v>
      </c>
      <c r="Y64">
        <v>55837.592900000003</v>
      </c>
      <c r="Z64">
        <v>55921.604290000003</v>
      </c>
      <c r="AA64">
        <v>56100.488770000004</v>
      </c>
      <c r="AB64">
        <v>56377.724820000003</v>
      </c>
      <c r="AC64">
        <v>56726.147230000002</v>
      </c>
      <c r="AD64">
        <v>57137.725350000001</v>
      </c>
      <c r="AE64">
        <v>57636.872170000002</v>
      </c>
      <c r="AF64">
        <v>58199.327700000002</v>
      </c>
      <c r="AG64">
        <v>58795.863420000001</v>
      </c>
      <c r="AH64">
        <v>59518.450680000002</v>
      </c>
      <c r="AI64">
        <v>60285.855669999997</v>
      </c>
      <c r="AJ64">
        <v>61094.809459999997</v>
      </c>
      <c r="AK64">
        <v>61933.891960000001</v>
      </c>
      <c r="AL64">
        <v>62794.10873</v>
      </c>
      <c r="AM64">
        <v>63681.83726</v>
      </c>
      <c r="AN64">
        <v>64636.3027</v>
      </c>
      <c r="AO64">
        <v>65612.238540000006</v>
      </c>
      <c r="AP64">
        <v>66603.755860000005</v>
      </c>
      <c r="AQ64">
        <v>67598.876759999999</v>
      </c>
      <c r="AR64">
        <v>68625.995880000002</v>
      </c>
      <c r="AS64">
        <v>69650.972469999906</v>
      </c>
      <c r="AT64">
        <v>70672.735270000005</v>
      </c>
      <c r="AU64">
        <v>71686.349719999998</v>
      </c>
      <c r="AV64">
        <v>72701.181930000006</v>
      </c>
    </row>
    <row r="65" spans="1:48">
      <c r="A65" t="s">
        <v>295</v>
      </c>
      <c r="B65">
        <v>16664.593435069899</v>
      </c>
      <c r="C65">
        <v>16932.148872985399</v>
      </c>
      <c r="D65">
        <v>17203.998350000002</v>
      </c>
      <c r="E65">
        <v>17597.073810000002</v>
      </c>
      <c r="F65">
        <v>17084.41576</v>
      </c>
      <c r="G65">
        <v>16020.13</v>
      </c>
      <c r="H65">
        <v>16498.12816</v>
      </c>
      <c r="I65">
        <v>16494.77881</v>
      </c>
      <c r="J65">
        <v>16235.711600000001</v>
      </c>
      <c r="K65">
        <v>16331.725479999999</v>
      </c>
      <c r="L65">
        <v>16341.07761</v>
      </c>
      <c r="M65">
        <v>16329.542820000001</v>
      </c>
      <c r="N65">
        <v>16651.571100000001</v>
      </c>
      <c r="O65">
        <v>17450.344059999999</v>
      </c>
      <c r="P65">
        <v>17356.402190000001</v>
      </c>
      <c r="Q65">
        <v>17913.286990000001</v>
      </c>
      <c r="R65">
        <v>17888.599900000001</v>
      </c>
      <c r="S65">
        <v>17894.46573</v>
      </c>
      <c r="T65">
        <v>17998.318159999999</v>
      </c>
      <c r="U65">
        <v>18141.753560000001</v>
      </c>
      <c r="V65">
        <v>18994.423200000001</v>
      </c>
      <c r="W65">
        <v>19638.78831</v>
      </c>
      <c r="X65">
        <v>19692.179940000002</v>
      </c>
      <c r="Y65">
        <v>19864.442060000001</v>
      </c>
      <c r="Z65">
        <v>20089.78962</v>
      </c>
      <c r="AA65">
        <v>20337.66649</v>
      </c>
      <c r="AB65">
        <v>20597.59575</v>
      </c>
      <c r="AC65">
        <v>20762.293460000001</v>
      </c>
      <c r="AD65">
        <v>20928.677060000002</v>
      </c>
      <c r="AE65">
        <v>21093.085220000001</v>
      </c>
      <c r="AF65">
        <v>21257.26179</v>
      </c>
      <c r="AG65">
        <v>21422.129410000001</v>
      </c>
      <c r="AH65">
        <v>21631.76151</v>
      </c>
      <c r="AI65">
        <v>21834.613539999998</v>
      </c>
      <c r="AJ65">
        <v>22037.753799999999</v>
      </c>
      <c r="AK65">
        <v>22244.049210000001</v>
      </c>
      <c r="AL65">
        <v>22455.643840000001</v>
      </c>
      <c r="AM65">
        <v>22657.76266</v>
      </c>
      <c r="AN65">
        <v>22868.707920000001</v>
      </c>
      <c r="AO65">
        <v>23085.440979999999</v>
      </c>
      <c r="AP65">
        <v>23306.670910000001</v>
      </c>
      <c r="AQ65">
        <v>23565.72553</v>
      </c>
      <c r="AR65">
        <v>23783.409749999999</v>
      </c>
      <c r="AS65">
        <v>24002.533520000001</v>
      </c>
      <c r="AT65">
        <v>24223.49152</v>
      </c>
      <c r="AU65">
        <v>24446.497449999999</v>
      </c>
      <c r="AV65">
        <v>24608.449680000002</v>
      </c>
    </row>
    <row r="66" spans="1:48">
      <c r="A66" t="s">
        <v>296</v>
      </c>
      <c r="B66">
        <v>50367.815966588998</v>
      </c>
      <c r="C66">
        <v>51176.487543864299</v>
      </c>
      <c r="D66">
        <v>51997.840850000001</v>
      </c>
      <c r="E66">
        <v>53278.509599999998</v>
      </c>
      <c r="F66">
        <v>51746.802889999999</v>
      </c>
      <c r="G66">
        <v>47902.889869999999</v>
      </c>
      <c r="H66">
        <v>49310.520519999998</v>
      </c>
      <c r="I66">
        <v>49903.578589999997</v>
      </c>
      <c r="J66">
        <v>48585.703049999996</v>
      </c>
      <c r="K66">
        <v>48340.087520000001</v>
      </c>
      <c r="L66">
        <v>48989.524239999999</v>
      </c>
      <c r="M66">
        <v>49920.82185</v>
      </c>
      <c r="N66">
        <v>51000.063699999999</v>
      </c>
      <c r="O66">
        <v>53563.894549999997</v>
      </c>
      <c r="P66">
        <v>53234.94328</v>
      </c>
      <c r="Q66">
        <v>54083.170460000001</v>
      </c>
      <c r="R66">
        <v>54384.040549999998</v>
      </c>
      <c r="S66">
        <v>55183.301979999997</v>
      </c>
      <c r="T66">
        <v>55517.264150000003</v>
      </c>
      <c r="U66">
        <v>55943.687749999997</v>
      </c>
      <c r="V66">
        <v>56175.354829999997</v>
      </c>
      <c r="W66">
        <v>55751.777620000001</v>
      </c>
      <c r="X66">
        <v>55679.215400000001</v>
      </c>
      <c r="Y66">
        <v>55664.565360000001</v>
      </c>
      <c r="Z66">
        <v>55669.839500000002</v>
      </c>
      <c r="AA66">
        <v>55696.968309999997</v>
      </c>
      <c r="AB66">
        <v>55762.249089999998</v>
      </c>
      <c r="AC66">
        <v>56212.121760000002</v>
      </c>
      <c r="AD66">
        <v>56569.540739999997</v>
      </c>
      <c r="AE66">
        <v>56952.5628</v>
      </c>
      <c r="AF66">
        <v>57339.704010000001</v>
      </c>
      <c r="AG66">
        <v>57729.589500000002</v>
      </c>
      <c r="AH66">
        <v>58218.395530000002</v>
      </c>
      <c r="AI66">
        <v>58694.266750000003</v>
      </c>
      <c r="AJ66">
        <v>59217.993439999998</v>
      </c>
      <c r="AK66">
        <v>59784.48416</v>
      </c>
      <c r="AL66">
        <v>60383.784720000003</v>
      </c>
      <c r="AM66">
        <v>60898.695820000001</v>
      </c>
      <c r="AN66">
        <v>61511.361629999999</v>
      </c>
      <c r="AO66">
        <v>62191.33584</v>
      </c>
      <c r="AP66">
        <v>62917.270909999999</v>
      </c>
      <c r="AQ66">
        <v>63646.355479999998</v>
      </c>
      <c r="AR66">
        <v>64235.917630000004</v>
      </c>
      <c r="AS66">
        <v>64948.029949999996</v>
      </c>
      <c r="AT66">
        <v>65699.320550000004</v>
      </c>
      <c r="AU66">
        <v>66475.784870000003</v>
      </c>
      <c r="AV66">
        <v>66706.072369999994</v>
      </c>
    </row>
    <row r="67" spans="1:48">
      <c r="A67" t="s">
        <v>445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>
      <c r="A68" t="s">
        <v>446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>
      <c r="A69" t="s">
        <v>340</v>
      </c>
      <c r="B69">
        <v>0.98362242874987105</v>
      </c>
      <c r="C69">
        <v>0.98362242874987105</v>
      </c>
      <c r="D69">
        <v>0.98362242874987105</v>
      </c>
      <c r="E69">
        <v>0.98162992842836505</v>
      </c>
      <c r="F69">
        <v>0.97963742810685905</v>
      </c>
      <c r="G69">
        <v>0.97764492778535295</v>
      </c>
      <c r="H69">
        <v>0.97565242746384795</v>
      </c>
      <c r="I69">
        <v>0.97365992714234195</v>
      </c>
      <c r="J69">
        <v>0.97166742682083596</v>
      </c>
      <c r="K69">
        <v>0.96967492649932996</v>
      </c>
      <c r="L69">
        <v>0.96768242617782396</v>
      </c>
      <c r="M69">
        <v>0.96568992585631896</v>
      </c>
      <c r="N69">
        <v>0.96606393685472203</v>
      </c>
      <c r="O69">
        <v>0.96471088435374097</v>
      </c>
      <c r="P69">
        <v>0.96326148078725304</v>
      </c>
      <c r="Q69">
        <v>0.95730193323141299</v>
      </c>
      <c r="R69">
        <v>0.94680725032579005</v>
      </c>
      <c r="S69">
        <v>0.93349334219054803</v>
      </c>
      <c r="T69">
        <v>0.92284221568235403</v>
      </c>
      <c r="U69">
        <v>0.91432131447579901</v>
      </c>
      <c r="V69">
        <v>0.87716065723789904</v>
      </c>
      <c r="W69">
        <v>0.84</v>
      </c>
      <c r="X69">
        <v>0.81799999999999995</v>
      </c>
      <c r="Y69">
        <v>0.79599999999999904</v>
      </c>
      <c r="Z69">
        <v>0.77399999999999902</v>
      </c>
      <c r="AA69">
        <v>0.751999999999999</v>
      </c>
      <c r="AB69">
        <v>0.73</v>
      </c>
      <c r="AC69">
        <v>0.69399999999999995</v>
      </c>
      <c r="AD69">
        <v>0.65799999999999903</v>
      </c>
      <c r="AE69">
        <v>0.621999999999999</v>
      </c>
      <c r="AF69">
        <v>0.58599999999999897</v>
      </c>
      <c r="AG69">
        <v>0.55000000000000004</v>
      </c>
      <c r="AH69">
        <v>0.51</v>
      </c>
      <c r="AI69">
        <v>0.47</v>
      </c>
      <c r="AJ69">
        <v>0.43</v>
      </c>
      <c r="AK69">
        <v>0.38999999999999901</v>
      </c>
      <c r="AL69">
        <v>0.35</v>
      </c>
      <c r="AM69">
        <v>0.316</v>
      </c>
      <c r="AN69">
        <v>0.28199999999999997</v>
      </c>
      <c r="AO69">
        <v>0.248</v>
      </c>
      <c r="AP69">
        <v>0.214</v>
      </c>
      <c r="AQ69">
        <v>0.18</v>
      </c>
      <c r="AR69">
        <v>0.156</v>
      </c>
      <c r="AS69">
        <v>0.13200000000000001</v>
      </c>
      <c r="AT69">
        <v>0.108</v>
      </c>
      <c r="AU69">
        <v>8.4000000000000005E-2</v>
      </c>
      <c r="AV69">
        <v>0.06</v>
      </c>
    </row>
    <row r="70" spans="1:48">
      <c r="A70" t="s">
        <v>387</v>
      </c>
      <c r="B70">
        <v>0.99654878914066003</v>
      </c>
      <c r="C70">
        <v>0.99654878914066003</v>
      </c>
      <c r="D70">
        <v>0.99654878914066003</v>
      </c>
      <c r="E70">
        <v>0.99676037255573602</v>
      </c>
      <c r="F70">
        <v>0.996809781780847</v>
      </c>
      <c r="G70">
        <v>0.99669090395583504</v>
      </c>
      <c r="H70">
        <v>0.99653562464101397</v>
      </c>
      <c r="I70">
        <v>0.99633373317210705</v>
      </c>
      <c r="J70">
        <v>0.99600709949139998</v>
      </c>
      <c r="K70">
        <v>0.99551429538855196</v>
      </c>
      <c r="L70">
        <v>0.99500076218279598</v>
      </c>
      <c r="M70">
        <v>0.99436680067554495</v>
      </c>
      <c r="N70">
        <v>0.99368925387797002</v>
      </c>
      <c r="O70">
        <v>0.99294337286716505</v>
      </c>
      <c r="P70">
        <v>0.99213735495289301</v>
      </c>
      <c r="Q70">
        <v>0.99117637580769602</v>
      </c>
      <c r="R70">
        <v>0.98998936945293803</v>
      </c>
      <c r="S70">
        <v>0.98253998298298295</v>
      </c>
      <c r="T70">
        <v>0.97658047380701996</v>
      </c>
      <c r="U70">
        <v>0.97181286646624898</v>
      </c>
      <c r="V70">
        <v>0.96437948973066401</v>
      </c>
      <c r="W70">
        <v>0.95694611299507903</v>
      </c>
      <c r="X70">
        <v>0.9328803870083</v>
      </c>
      <c r="Y70">
        <v>0.90881466102152098</v>
      </c>
      <c r="Z70">
        <v>0.88474893503474195</v>
      </c>
      <c r="AA70">
        <v>0.86068320904796303</v>
      </c>
      <c r="AB70">
        <v>0.836617483061185</v>
      </c>
      <c r="AC70">
        <v>0.79444281415621998</v>
      </c>
      <c r="AD70">
        <v>0.75226814525125596</v>
      </c>
      <c r="AE70">
        <v>0.71009347634629205</v>
      </c>
      <c r="AF70">
        <v>0.66791880744132803</v>
      </c>
      <c r="AG70">
        <v>0.62574413853636401</v>
      </c>
      <c r="AH70">
        <v>0.58221179186245897</v>
      </c>
      <c r="AI70">
        <v>0.53867944518855504</v>
      </c>
      <c r="AJ70">
        <v>0.495147098514651</v>
      </c>
      <c r="AK70">
        <v>0.45161475184074701</v>
      </c>
      <c r="AL70">
        <v>0.40808240516684302</v>
      </c>
      <c r="AM70">
        <v>0.37904971708229201</v>
      </c>
      <c r="AN70">
        <v>0.35001702899774101</v>
      </c>
      <c r="AO70">
        <v>0.32098434091319</v>
      </c>
      <c r="AP70">
        <v>0.291951652828639</v>
      </c>
      <c r="AQ70">
        <v>0.26291896474408799</v>
      </c>
      <c r="AR70">
        <v>0.24645925618499601</v>
      </c>
      <c r="AS70">
        <v>0.22999954762590499</v>
      </c>
      <c r="AT70">
        <v>0.21353983906681301</v>
      </c>
      <c r="AU70">
        <v>0.197080130507722</v>
      </c>
      <c r="AV70">
        <v>0.18062042194863101</v>
      </c>
    </row>
    <row r="71" spans="1:48">
      <c r="A71" t="s">
        <v>341</v>
      </c>
      <c r="B71">
        <v>4.3775712501289204E-3</v>
      </c>
      <c r="C71">
        <v>4.3775712501289204E-3</v>
      </c>
      <c r="D71">
        <v>4.3775712501289204E-3</v>
      </c>
      <c r="E71">
        <v>4.3775712501289204E-3</v>
      </c>
      <c r="F71">
        <v>4.3775712501289204E-3</v>
      </c>
      <c r="G71">
        <v>4.3775712501289204E-3</v>
      </c>
      <c r="H71">
        <v>4.3775712501289204E-3</v>
      </c>
      <c r="I71">
        <v>4.3775712501289204E-3</v>
      </c>
      <c r="J71">
        <v>4.3775712501289204E-3</v>
      </c>
      <c r="K71">
        <v>4.3775712501289204E-3</v>
      </c>
      <c r="L71">
        <v>4.3775712501289204E-3</v>
      </c>
      <c r="M71">
        <v>4.3775712501289204E-3</v>
      </c>
      <c r="N71">
        <v>4.8173151948977099E-3</v>
      </c>
      <c r="O71">
        <v>5.3034371643394199E-3</v>
      </c>
      <c r="P71">
        <v>5.72247643199735E-3</v>
      </c>
      <c r="Q71">
        <v>8.3813117349206805E-3</v>
      </c>
      <c r="R71">
        <v>9.7037188614015994E-3</v>
      </c>
      <c r="S71">
        <v>1.4209512585391101E-2</v>
      </c>
      <c r="T71">
        <v>1.7814147564582699E-2</v>
      </c>
      <c r="U71">
        <v>2.0697855547936E-2</v>
      </c>
      <c r="V71">
        <v>4.0348927773968001E-2</v>
      </c>
      <c r="W71">
        <v>0.06</v>
      </c>
      <c r="X71">
        <v>7.8E-2</v>
      </c>
      <c r="Y71">
        <v>9.6000000000000002E-2</v>
      </c>
      <c r="Z71">
        <v>0.114</v>
      </c>
      <c r="AA71">
        <v>0.13200000000000001</v>
      </c>
      <c r="AB71">
        <v>0.15</v>
      </c>
      <c r="AC71">
        <v>0.184</v>
      </c>
      <c r="AD71">
        <v>0.218</v>
      </c>
      <c r="AE71">
        <v>0.252</v>
      </c>
      <c r="AF71">
        <v>0.28599999999999998</v>
      </c>
      <c r="AG71">
        <v>0.32</v>
      </c>
      <c r="AH71">
        <v>0.35799999999999998</v>
      </c>
      <c r="AI71">
        <v>0.39600000000000002</v>
      </c>
      <c r="AJ71">
        <v>0.434</v>
      </c>
      <c r="AK71">
        <v>0.47199999999999998</v>
      </c>
      <c r="AL71">
        <v>0.51</v>
      </c>
      <c r="AM71">
        <v>0.54</v>
      </c>
      <c r="AN71">
        <v>0.56999999999999995</v>
      </c>
      <c r="AO71">
        <v>0.6</v>
      </c>
      <c r="AP71">
        <v>0.63</v>
      </c>
      <c r="AQ71">
        <v>0.66</v>
      </c>
      <c r="AR71">
        <v>0.67800000000000005</v>
      </c>
      <c r="AS71">
        <v>0.69599999999999995</v>
      </c>
      <c r="AT71">
        <v>0.71399999999999997</v>
      </c>
      <c r="AU71">
        <v>0.73199999999999998</v>
      </c>
      <c r="AV71">
        <v>0.75</v>
      </c>
    </row>
    <row r="72" spans="1:48">
      <c r="A72" t="s">
        <v>388</v>
      </c>
      <c r="B72">
        <v>1.7256054296695899E-3</v>
      </c>
      <c r="C72">
        <v>1.7256054296695899E-3</v>
      </c>
      <c r="D72">
        <v>1.7256054296695899E-3</v>
      </c>
      <c r="E72">
        <v>1.29536409278626E-3</v>
      </c>
      <c r="F72">
        <v>9.8075464665988007E-4</v>
      </c>
      <c r="G72">
        <v>7.5526915471805698E-4</v>
      </c>
      <c r="H72">
        <v>5.7024901507147401E-4</v>
      </c>
      <c r="I72">
        <v>4.25441149166224E-4</v>
      </c>
      <c r="J72">
        <v>3.2114036008526399E-4</v>
      </c>
      <c r="K72">
        <v>2.4699653339177799E-4</v>
      </c>
      <c r="L72">
        <v>1.8683410995599999E-4</v>
      </c>
      <c r="M72">
        <v>1.42034982083792E-4</v>
      </c>
      <c r="N72">
        <v>1.0691233073858999E-4</v>
      </c>
      <c r="O72" s="59">
        <v>8.0102038509265899E-5</v>
      </c>
      <c r="P72" s="59">
        <v>5.9689822442498501E-5</v>
      </c>
      <c r="Q72" s="59">
        <v>4.4742180823345798E-5</v>
      </c>
      <c r="R72" s="59">
        <v>3.38769223250826E-5</v>
      </c>
      <c r="S72">
        <v>1.17629502478088E-3</v>
      </c>
      <c r="T72">
        <v>2.09022950674552E-3</v>
      </c>
      <c r="U72">
        <v>2.8213770923172401E-3</v>
      </c>
      <c r="V72">
        <v>1.15343552762703E-2</v>
      </c>
      <c r="W72">
        <v>2.0247333460223501E-2</v>
      </c>
      <c r="X72">
        <v>3.9975427797595803E-2</v>
      </c>
      <c r="Y72">
        <v>5.9703522134968101E-2</v>
      </c>
      <c r="Z72">
        <v>7.9431616472340399E-2</v>
      </c>
      <c r="AA72">
        <v>9.9159710809712698E-2</v>
      </c>
      <c r="AB72">
        <v>0.118887805147085</v>
      </c>
      <c r="AC72">
        <v>0.15558028850202099</v>
      </c>
      <c r="AD72">
        <v>0.19227277185695801</v>
      </c>
      <c r="AE72">
        <v>0.22896525521189501</v>
      </c>
      <c r="AF72">
        <v>0.265657738566832</v>
      </c>
      <c r="AG72">
        <v>0.30235022192176902</v>
      </c>
      <c r="AH72">
        <v>0.33916618304589002</v>
      </c>
      <c r="AI72">
        <v>0.37598214417001102</v>
      </c>
      <c r="AJ72">
        <v>0.41279810529413202</v>
      </c>
      <c r="AK72">
        <v>0.44961406641825402</v>
      </c>
      <c r="AL72">
        <v>0.48643002754237502</v>
      </c>
      <c r="AM72">
        <v>0.51083986367025802</v>
      </c>
      <c r="AN72">
        <v>0.53524969979814097</v>
      </c>
      <c r="AO72">
        <v>0.55965953592602402</v>
      </c>
      <c r="AP72">
        <v>0.58406937205390697</v>
      </c>
      <c r="AQ72">
        <v>0.60847920818179102</v>
      </c>
      <c r="AR72">
        <v>0.623113331891752</v>
      </c>
      <c r="AS72">
        <v>0.63774745560171298</v>
      </c>
      <c r="AT72">
        <v>0.65238157931167495</v>
      </c>
      <c r="AU72">
        <v>0.66701570302163604</v>
      </c>
      <c r="AV72">
        <v>0.68164982673159802</v>
      </c>
    </row>
    <row r="73" spans="1:48">
      <c r="A73" t="s">
        <v>342</v>
      </c>
      <c r="B73">
        <v>1.2E-2</v>
      </c>
      <c r="C73">
        <v>1.2E-2</v>
      </c>
      <c r="D73">
        <v>1.2E-2</v>
      </c>
      <c r="E73">
        <v>1.39925003215057E-2</v>
      </c>
      <c r="F73">
        <v>1.59850006430114E-2</v>
      </c>
      <c r="G73">
        <v>1.7977500964517199E-2</v>
      </c>
      <c r="H73">
        <v>1.9970001286022901E-2</v>
      </c>
      <c r="I73">
        <v>2.19625016075287E-2</v>
      </c>
      <c r="J73">
        <v>2.3955001929034402E-2</v>
      </c>
      <c r="K73">
        <v>2.59475022505401E-2</v>
      </c>
      <c r="L73">
        <v>2.7940002572045899E-2</v>
      </c>
      <c r="M73">
        <v>2.99325028935516E-2</v>
      </c>
      <c r="N73">
        <v>2.91187479503793E-2</v>
      </c>
      <c r="O73">
        <v>2.9985678481918999E-2</v>
      </c>
      <c r="P73">
        <v>3.1016042780748598E-2</v>
      </c>
      <c r="Q73">
        <v>3.4316755033666199E-2</v>
      </c>
      <c r="R73">
        <v>4.3489030812807597E-2</v>
      </c>
      <c r="S73">
        <v>5.2297145224060503E-2</v>
      </c>
      <c r="T73">
        <v>5.9343636753062902E-2</v>
      </c>
      <c r="U73">
        <v>6.4980829976264795E-2</v>
      </c>
      <c r="V73">
        <v>8.2490414988132393E-2</v>
      </c>
      <c r="W73">
        <v>0.1</v>
      </c>
      <c r="X73">
        <v>0.104</v>
      </c>
      <c r="Y73">
        <v>0.108</v>
      </c>
      <c r="Z73">
        <v>0.112</v>
      </c>
      <c r="AA73">
        <v>0.11600000000000001</v>
      </c>
      <c r="AB73">
        <v>0.12</v>
      </c>
      <c r="AC73">
        <v>0.122</v>
      </c>
      <c r="AD73">
        <v>0.124</v>
      </c>
      <c r="AE73">
        <v>0.126</v>
      </c>
      <c r="AF73">
        <v>0.128</v>
      </c>
      <c r="AG73">
        <v>0.13</v>
      </c>
      <c r="AH73">
        <v>0.13200000000000001</v>
      </c>
      <c r="AI73">
        <v>0.13400000000000001</v>
      </c>
      <c r="AJ73">
        <v>0.13600000000000001</v>
      </c>
      <c r="AK73">
        <v>0.13800000000000001</v>
      </c>
      <c r="AL73">
        <v>0.14000000000000001</v>
      </c>
      <c r="AM73">
        <v>0.14399999999999999</v>
      </c>
      <c r="AN73">
        <v>0.14799999999999999</v>
      </c>
      <c r="AO73">
        <v>0.152</v>
      </c>
      <c r="AP73">
        <v>0.156</v>
      </c>
      <c r="AQ73">
        <v>0.16</v>
      </c>
      <c r="AR73">
        <v>0.16600000000000001</v>
      </c>
      <c r="AS73">
        <v>0.17199999999999999</v>
      </c>
      <c r="AT73">
        <v>0.17799999999999999</v>
      </c>
      <c r="AU73">
        <v>0.184</v>
      </c>
      <c r="AV73">
        <v>0.19</v>
      </c>
    </row>
    <row r="74" spans="1:48">
      <c r="A74" t="s">
        <v>389</v>
      </c>
      <c r="B74">
        <v>1.7256054296695899E-3</v>
      </c>
      <c r="C74">
        <v>1.7256054296695899E-3</v>
      </c>
      <c r="D74">
        <v>1.7256054296695899E-3</v>
      </c>
      <c r="E74">
        <v>1.9442633514768601E-3</v>
      </c>
      <c r="F74">
        <v>2.20946357249203E-3</v>
      </c>
      <c r="G74">
        <v>2.55382688944678E-3</v>
      </c>
      <c r="H74">
        <v>2.8941263439137498E-3</v>
      </c>
      <c r="I74">
        <v>3.24082567872667E-3</v>
      </c>
      <c r="J74">
        <v>3.6717601485143402E-3</v>
      </c>
      <c r="K74">
        <v>4.2387080780557701E-3</v>
      </c>
      <c r="L74">
        <v>4.81240370724714E-3</v>
      </c>
      <c r="M74">
        <v>5.49116434237042E-3</v>
      </c>
      <c r="N74">
        <v>6.2038337912912501E-3</v>
      </c>
      <c r="O74">
        <v>6.97652509432498E-3</v>
      </c>
      <c r="P74">
        <v>7.8029552246640802E-3</v>
      </c>
      <c r="Q74">
        <v>8.7788820114801103E-3</v>
      </c>
      <c r="R74">
        <v>9.97675362473684E-3</v>
      </c>
      <c r="S74">
        <v>1.6283721992235201E-2</v>
      </c>
      <c r="T74">
        <v>2.1329296686233901E-2</v>
      </c>
      <c r="U74">
        <v>2.53657564414329E-2</v>
      </c>
      <c r="V74">
        <v>2.4086154993065299E-2</v>
      </c>
      <c r="W74">
        <v>2.2806553544697801E-2</v>
      </c>
      <c r="X74">
        <v>2.7144185194104199E-2</v>
      </c>
      <c r="Y74">
        <v>3.1481816843510702E-2</v>
      </c>
      <c r="Z74">
        <v>3.58194484929171E-2</v>
      </c>
      <c r="AA74">
        <v>4.0157080142323602E-2</v>
      </c>
      <c r="AB74">
        <v>4.449471179173E-2</v>
      </c>
      <c r="AC74">
        <v>4.9976897341757399E-2</v>
      </c>
      <c r="AD74">
        <v>5.5459082891784701E-2</v>
      </c>
      <c r="AE74">
        <v>6.0941268441811997E-2</v>
      </c>
      <c r="AF74">
        <v>6.6423453991839299E-2</v>
      </c>
      <c r="AG74">
        <v>7.1905639541866698E-2</v>
      </c>
      <c r="AH74">
        <v>7.86220250916497E-2</v>
      </c>
      <c r="AI74">
        <v>8.5338410641432702E-2</v>
      </c>
      <c r="AJ74">
        <v>9.2054796191215704E-2</v>
      </c>
      <c r="AK74">
        <v>9.8771181740998706E-2</v>
      </c>
      <c r="AL74">
        <v>0.105487567290781</v>
      </c>
      <c r="AM74">
        <v>0.11011041924744901</v>
      </c>
      <c r="AN74">
        <v>0.114733271204117</v>
      </c>
      <c r="AO74">
        <v>0.119356123160785</v>
      </c>
      <c r="AP74">
        <v>0.123978975117453</v>
      </c>
      <c r="AQ74">
        <v>0.12860182707412099</v>
      </c>
      <c r="AR74">
        <v>0.130427411923251</v>
      </c>
      <c r="AS74">
        <v>0.132252996772381</v>
      </c>
      <c r="AT74">
        <v>0.13407858162151101</v>
      </c>
      <c r="AU74">
        <v>0.13590416647064099</v>
      </c>
      <c r="AV74">
        <v>0.137729751319771</v>
      </c>
    </row>
    <row r="75" spans="1:48">
      <c r="A75" t="s">
        <v>447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>
      <c r="A76" t="s">
        <v>384</v>
      </c>
      <c r="B76">
        <v>0.99960929983082503</v>
      </c>
      <c r="C76">
        <v>0.99960929983082503</v>
      </c>
      <c r="D76">
        <v>0.99960929983082503</v>
      </c>
      <c r="E76">
        <v>0.99907361382670401</v>
      </c>
      <c r="F76">
        <v>0.998538214894237</v>
      </c>
      <c r="G76">
        <v>0.99800310287958405</v>
      </c>
      <c r="H76">
        <v>0.99746827762898704</v>
      </c>
      <c r="I76">
        <v>0.99693373898876902</v>
      </c>
      <c r="J76">
        <v>0.99639948680533896</v>
      </c>
      <c r="K76">
        <v>0.99586552092518499</v>
      </c>
      <c r="L76">
        <v>0.99533184119487805</v>
      </c>
      <c r="M76">
        <v>0.99479844746107204</v>
      </c>
      <c r="N76">
        <v>0.99413099156080798</v>
      </c>
      <c r="O76">
        <v>0.99316895985780895</v>
      </c>
      <c r="P76">
        <v>0.99207926838138305</v>
      </c>
      <c r="Q76">
        <v>0.99071068628014303</v>
      </c>
      <c r="R76">
        <v>0.98878254627208695</v>
      </c>
      <c r="S76">
        <v>0.98461027839094695</v>
      </c>
      <c r="T76">
        <v>0.98127246408603497</v>
      </c>
      <c r="U76">
        <v>0.97860221264210501</v>
      </c>
      <c r="V76">
        <v>0.97350554865732397</v>
      </c>
      <c r="W76">
        <v>0.96840888467254405</v>
      </c>
      <c r="X76">
        <v>0.94640888467254403</v>
      </c>
      <c r="Y76">
        <v>0.92440888467254401</v>
      </c>
      <c r="Z76">
        <v>0.90240888467254399</v>
      </c>
      <c r="AA76">
        <v>0.88040888467254397</v>
      </c>
      <c r="AB76">
        <v>0.85840888467254395</v>
      </c>
      <c r="AC76">
        <v>0.81290489781782904</v>
      </c>
      <c r="AD76">
        <v>0.76740091096311502</v>
      </c>
      <c r="AE76">
        <v>0.72189692410840001</v>
      </c>
      <c r="AF76">
        <v>0.67639293725368499</v>
      </c>
      <c r="AG76">
        <v>0.63088895039897097</v>
      </c>
      <c r="AH76">
        <v>0.56441316031917599</v>
      </c>
      <c r="AI76">
        <v>0.497937370239382</v>
      </c>
      <c r="AJ76">
        <v>0.43146158015958802</v>
      </c>
      <c r="AK76">
        <v>0.36498579007979398</v>
      </c>
      <c r="AL76">
        <v>0.29851</v>
      </c>
      <c r="AM76">
        <v>0.25502599999999997</v>
      </c>
      <c r="AN76">
        <v>0.21154200000000001</v>
      </c>
      <c r="AO76">
        <v>0.16805800000000001</v>
      </c>
      <c r="AP76">
        <v>0.124574</v>
      </c>
      <c r="AQ76">
        <v>8.1089999999999898E-2</v>
      </c>
      <c r="AR76">
        <v>6.6871999999999904E-2</v>
      </c>
      <c r="AS76">
        <v>5.2653999999999999E-2</v>
      </c>
      <c r="AT76">
        <v>3.8435999999999998E-2</v>
      </c>
      <c r="AU76">
        <v>2.4218E-2</v>
      </c>
      <c r="AV76">
        <v>0.01</v>
      </c>
    </row>
    <row r="77" spans="1:48">
      <c r="A77" t="s">
        <v>385</v>
      </c>
      <c r="B77">
        <v>1.9535008458740401E-4</v>
      </c>
      <c r="C77">
        <v>1.9535008458740401E-4</v>
      </c>
      <c r="D77">
        <v>1.9535008458740401E-4</v>
      </c>
      <c r="E77">
        <v>2.7352947177994497E-4</v>
      </c>
      <c r="F77">
        <v>3.8299636312028702E-4</v>
      </c>
      <c r="G77">
        <v>5.3627206314855796E-4</v>
      </c>
      <c r="H77">
        <v>7.5088892064306397E-4</v>
      </c>
      <c r="I77">
        <v>1.05139575579254E-3</v>
      </c>
      <c r="J77">
        <v>1.4721658622314901E-3</v>
      </c>
      <c r="K77">
        <v>2.06132877556283E-3</v>
      </c>
      <c r="L77">
        <v>2.8862755413460498E-3</v>
      </c>
      <c r="M77">
        <v>4.0413671993191798E-3</v>
      </c>
      <c r="N77">
        <v>4.7117346405585996E-3</v>
      </c>
      <c r="O77">
        <v>5.65448526200587E-3</v>
      </c>
      <c r="P77">
        <v>6.6503517083628403E-3</v>
      </c>
      <c r="Q77">
        <v>7.9073450339161699E-3</v>
      </c>
      <c r="R77">
        <v>9.6611655143514497E-3</v>
      </c>
      <c r="S77">
        <v>1.38191599881578E-2</v>
      </c>
      <c r="T77">
        <v>1.7145555567203E-2</v>
      </c>
      <c r="U77">
        <v>1.98066720304391E-2</v>
      </c>
      <c r="V77">
        <v>2.4903336015219501E-2</v>
      </c>
      <c r="W77">
        <v>0.03</v>
      </c>
      <c r="X77">
        <v>5.1999999999999998E-2</v>
      </c>
      <c r="Y77">
        <v>7.3999999999999996E-2</v>
      </c>
      <c r="Z77">
        <v>9.6000000000000002E-2</v>
      </c>
      <c r="AA77">
        <v>0.11799999999999999</v>
      </c>
      <c r="AB77">
        <v>0.14000000000000001</v>
      </c>
      <c r="AC77">
        <v>0.184</v>
      </c>
      <c r="AD77">
        <v>0.22800000000000001</v>
      </c>
      <c r="AE77">
        <v>0.27200000000000002</v>
      </c>
      <c r="AF77">
        <v>0.316</v>
      </c>
      <c r="AG77">
        <v>0.36</v>
      </c>
      <c r="AH77">
        <v>0.42499799999999999</v>
      </c>
      <c r="AI77">
        <v>0.48999599999999999</v>
      </c>
      <c r="AJ77">
        <v>0.55499399999999999</v>
      </c>
      <c r="AK77">
        <v>0.61999199999999999</v>
      </c>
      <c r="AL77">
        <v>0.68498999999999999</v>
      </c>
      <c r="AM77">
        <v>0.72701199999999999</v>
      </c>
      <c r="AN77">
        <v>0.769034</v>
      </c>
      <c r="AO77">
        <v>0.811056</v>
      </c>
      <c r="AP77">
        <v>0.853078</v>
      </c>
      <c r="AQ77">
        <v>0.89510000000000001</v>
      </c>
      <c r="AR77">
        <v>0.90842000000000001</v>
      </c>
      <c r="AS77">
        <v>0.92174</v>
      </c>
      <c r="AT77">
        <v>0.93506</v>
      </c>
      <c r="AU77">
        <v>0.94838</v>
      </c>
      <c r="AV77">
        <v>0.9617</v>
      </c>
    </row>
    <row r="78" spans="1:48">
      <c r="A78" t="s">
        <v>386</v>
      </c>
      <c r="B78">
        <v>1.9535008458740401E-4</v>
      </c>
      <c r="C78">
        <v>1.9535008458740401E-4</v>
      </c>
      <c r="D78">
        <v>1.9535008458740401E-4</v>
      </c>
      <c r="E78">
        <v>6.5285670151559903E-4</v>
      </c>
      <c r="F78">
        <v>1.07878874264193E-3</v>
      </c>
      <c r="G78">
        <v>1.4606250572668301E-3</v>
      </c>
      <c r="H78">
        <v>1.78083345036978E-3</v>
      </c>
      <c r="I78">
        <v>2.01486525543765E-3</v>
      </c>
      <c r="J78">
        <v>2.1283473324290899E-3</v>
      </c>
      <c r="K78">
        <v>2.0731502992520599E-3</v>
      </c>
      <c r="L78">
        <v>1.7818832637756701E-3</v>
      </c>
      <c r="M78">
        <v>1.16018533960796E-3</v>
      </c>
      <c r="N78">
        <v>1.15727379863295E-3</v>
      </c>
      <c r="O78">
        <v>1.17655488018482E-3</v>
      </c>
      <c r="P78">
        <v>1.27037991025335E-3</v>
      </c>
      <c r="Q78">
        <v>1.38196868594059E-3</v>
      </c>
      <c r="R78">
        <v>1.5562882135607E-3</v>
      </c>
      <c r="S78">
        <v>1.57056162089465E-3</v>
      </c>
      <c r="T78">
        <v>1.58198034676181E-3</v>
      </c>
      <c r="U78">
        <v>1.59111532745554E-3</v>
      </c>
      <c r="V78">
        <v>1.59111532745554E-3</v>
      </c>
      <c r="W78">
        <v>1.59111532745554E-3</v>
      </c>
      <c r="X78">
        <v>1.59111532745554E-3</v>
      </c>
      <c r="Y78">
        <v>1.59111532745554E-3</v>
      </c>
      <c r="Z78">
        <v>1.59111532745554E-3</v>
      </c>
      <c r="AA78">
        <v>1.59111532745554E-3</v>
      </c>
      <c r="AB78">
        <v>1.59111532745554E-3</v>
      </c>
      <c r="AC78">
        <v>3.0951021821702001E-3</v>
      </c>
      <c r="AD78">
        <v>4.5990890368848604E-3</v>
      </c>
      <c r="AE78">
        <v>6.1030758915995202E-3</v>
      </c>
      <c r="AF78">
        <v>7.6070627463141801E-3</v>
      </c>
      <c r="AG78">
        <v>9.1110496010288495E-3</v>
      </c>
      <c r="AH78">
        <v>1.0588839680823E-2</v>
      </c>
      <c r="AI78">
        <v>1.2066629760617301E-2</v>
      </c>
      <c r="AJ78">
        <v>1.3544419840411499E-2</v>
      </c>
      <c r="AK78">
        <v>1.50222099202057E-2</v>
      </c>
      <c r="AL78">
        <v>1.6500000000000001E-2</v>
      </c>
      <c r="AM78">
        <v>1.7961999999999999E-2</v>
      </c>
      <c r="AN78">
        <v>1.9424E-2</v>
      </c>
      <c r="AO78">
        <v>2.0885999999999998E-2</v>
      </c>
      <c r="AP78">
        <v>2.2348E-2</v>
      </c>
      <c r="AQ78">
        <v>2.3810000000000001E-2</v>
      </c>
      <c r="AR78">
        <v>2.4708000000000001E-2</v>
      </c>
      <c r="AS78">
        <v>2.5606E-2</v>
      </c>
      <c r="AT78">
        <v>2.6504E-2</v>
      </c>
      <c r="AU78">
        <v>2.7401999999999999E-2</v>
      </c>
      <c r="AV78">
        <v>2.8299999999999999E-2</v>
      </c>
    </row>
  </sheetData>
  <phoneticPr fontId="1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CD83-F953-4CBF-AF68-9A839021ACF5}">
  <dimension ref="A1:AU184"/>
  <sheetViews>
    <sheetView topLeftCell="A44" workbookViewId="0">
      <selection activeCell="AU59" sqref="AU59:AU61"/>
    </sheetView>
  </sheetViews>
  <sheetFormatPr baseColWidth="10" defaultRowHeight="15"/>
  <cols>
    <col min="1" max="1" width="36.140625" customWidth="1"/>
    <col min="3" max="46" width="0" hidden="1" customWidth="1"/>
    <col min="47" max="47" width="18" style="60" customWidth="1"/>
  </cols>
  <sheetData>
    <row r="1" spans="1:47">
      <c r="A1" s="13"/>
      <c r="B1" s="13">
        <v>2006</v>
      </c>
      <c r="C1" s="13">
        <v>2007</v>
      </c>
      <c r="D1" s="13">
        <v>2008</v>
      </c>
      <c r="E1" s="13">
        <v>2009</v>
      </c>
      <c r="F1" s="13">
        <v>2010</v>
      </c>
      <c r="G1" s="13">
        <v>2011</v>
      </c>
      <c r="H1" s="13">
        <v>2012</v>
      </c>
      <c r="I1" s="13">
        <v>2013</v>
      </c>
      <c r="J1" s="13">
        <v>2014</v>
      </c>
      <c r="K1" s="13">
        <v>2015</v>
      </c>
      <c r="L1" s="13">
        <v>2016</v>
      </c>
      <c r="M1" s="13">
        <v>2017</v>
      </c>
      <c r="N1" s="13">
        <v>2018</v>
      </c>
      <c r="O1" s="13">
        <v>2019</v>
      </c>
      <c r="P1" s="13">
        <v>2020</v>
      </c>
      <c r="Q1" s="13">
        <v>2021</v>
      </c>
      <c r="R1" s="13">
        <v>2022</v>
      </c>
      <c r="S1" s="13">
        <v>2023</v>
      </c>
      <c r="T1" s="13">
        <v>2024</v>
      </c>
      <c r="U1" s="13">
        <v>2025</v>
      </c>
      <c r="V1" s="13">
        <v>2026</v>
      </c>
      <c r="W1" s="13">
        <v>2027</v>
      </c>
      <c r="X1" s="13">
        <v>2028</v>
      </c>
      <c r="Y1" s="13">
        <v>2029</v>
      </c>
      <c r="Z1" s="13">
        <v>2030</v>
      </c>
      <c r="AA1" s="13">
        <v>2031</v>
      </c>
      <c r="AB1" s="13">
        <v>2032</v>
      </c>
      <c r="AC1" s="13">
        <v>2033</v>
      </c>
      <c r="AD1" s="13">
        <v>2034</v>
      </c>
      <c r="AE1" s="13">
        <v>2035</v>
      </c>
      <c r="AF1" s="13">
        <v>2036</v>
      </c>
      <c r="AG1" s="13">
        <v>2037</v>
      </c>
      <c r="AH1" s="13">
        <v>2038</v>
      </c>
      <c r="AI1" s="13">
        <v>2039</v>
      </c>
      <c r="AJ1" s="13">
        <v>2040</v>
      </c>
      <c r="AK1" s="13">
        <v>2041</v>
      </c>
      <c r="AL1" s="13">
        <v>2042</v>
      </c>
      <c r="AM1" s="13">
        <v>2043</v>
      </c>
      <c r="AN1" s="13">
        <v>2044</v>
      </c>
      <c r="AO1" s="13">
        <v>2045</v>
      </c>
      <c r="AP1" s="13">
        <v>2046</v>
      </c>
      <c r="AQ1" s="13">
        <v>2047</v>
      </c>
      <c r="AR1" s="13">
        <v>2048</v>
      </c>
      <c r="AS1" s="13">
        <v>2049</v>
      </c>
      <c r="AT1" s="13">
        <v>2050</v>
      </c>
      <c r="AU1" s="64"/>
    </row>
    <row r="2" spans="1:47">
      <c r="A2" s="13" t="s">
        <v>265</v>
      </c>
      <c r="B2" s="13">
        <v>6180405.7480800003</v>
      </c>
      <c r="C2" s="13">
        <v>6279634.1614742996</v>
      </c>
      <c r="D2" s="13">
        <v>6380455.7191420002</v>
      </c>
      <c r="E2" s="13">
        <v>6482895.9995296998</v>
      </c>
      <c r="F2" s="13">
        <v>6586980.9917542702</v>
      </c>
      <c r="G2" s="13">
        <v>6692737.1021962604</v>
      </c>
      <c r="H2" s="13">
        <v>6800191.1611991804</v>
      </c>
      <c r="I2" s="13">
        <v>6909370.4298763797</v>
      </c>
      <c r="J2" s="13">
        <v>7020302.6070272401</v>
      </c>
      <c r="K2" s="13">
        <v>7133015.8361642798</v>
      </c>
      <c r="L2" s="13">
        <v>7247538.7126532402</v>
      </c>
      <c r="M2" s="13">
        <v>7363900.2909677103</v>
      </c>
      <c r="N2" s="13">
        <v>7482130.0920602297</v>
      </c>
      <c r="O2" s="13">
        <v>7602258.1108518103</v>
      </c>
      <c r="P2" s="13">
        <v>7724314.8238415997</v>
      </c>
      <c r="Q2" s="13">
        <v>7848331.1968387999</v>
      </c>
      <c r="R2" s="13">
        <v>7974338.6928187003</v>
      </c>
      <c r="S2" s="13">
        <v>8102369.2799048396</v>
      </c>
      <c r="T2" s="13">
        <v>8232455.4394793101</v>
      </c>
      <c r="U2" s="13">
        <v>8364630.1744233202</v>
      </c>
      <c r="V2" s="13">
        <v>8498927.0174899697</v>
      </c>
      <c r="W2" s="13">
        <v>8635380.0398116093</v>
      </c>
      <c r="X2" s="13">
        <v>8774023.8595435992</v>
      </c>
      <c r="Y2" s="13">
        <v>8914893.6506470107</v>
      </c>
      <c r="Z2" s="13">
        <v>9058025.1518121995</v>
      </c>
      <c r="AA2" s="13">
        <v>9203454.6755257994</v>
      </c>
      <c r="AB2" s="13">
        <v>9351219.1172831301</v>
      </c>
      <c r="AC2" s="13">
        <v>9501355.9649486393</v>
      </c>
      <c r="AD2" s="13">
        <v>9653903.3082665503</v>
      </c>
      <c r="AE2" s="13">
        <v>9808899.8485242799</v>
      </c>
      <c r="AF2" s="13">
        <v>9966384.9083708897</v>
      </c>
      <c r="AG2" s="13">
        <v>10126398.4417933</v>
      </c>
      <c r="AH2" s="13">
        <v>10288981.044252699</v>
      </c>
      <c r="AI2" s="13">
        <v>10454173.962983301</v>
      </c>
      <c r="AJ2" s="13">
        <v>10622019.107457399</v>
      </c>
      <c r="AK2" s="13">
        <v>10792559.0600171</v>
      </c>
      <c r="AL2" s="13">
        <v>10965837.086677801</v>
      </c>
      <c r="AM2" s="13">
        <v>11141897.1481049</v>
      </c>
      <c r="AN2" s="13">
        <v>11320783.910766499</v>
      </c>
      <c r="AO2" s="13">
        <v>11502542.758265199</v>
      </c>
      <c r="AP2" s="13">
        <v>11687219.802851999</v>
      </c>
      <c r="AQ2" s="13">
        <v>11874861.897125101</v>
      </c>
      <c r="AR2" s="13">
        <v>12065516.6459164</v>
      </c>
      <c r="AS2" s="13">
        <v>12259232.4183685</v>
      </c>
      <c r="AT2" s="13">
        <v>12456058.3602065</v>
      </c>
      <c r="AU2" s="64">
        <f>'calibrage bloc PL'!D2-B2</f>
        <v>-1061390.8159283958</v>
      </c>
    </row>
    <row r="3" spans="1:47">
      <c r="A3" t="s">
        <v>346</v>
      </c>
      <c r="B3">
        <v>582664.34177000006</v>
      </c>
      <c r="C3">
        <v>592019.20624523796</v>
      </c>
      <c r="D3">
        <v>601524.26609554398</v>
      </c>
      <c r="E3">
        <v>611181.93275624502</v>
      </c>
      <c r="F3">
        <v>620994.65637904406</v>
      </c>
      <c r="G3">
        <v>630964.92645362206</v>
      </c>
      <c r="H3">
        <v>641095.27243922302</v>
      </c>
      <c r="I3">
        <v>651388.26440637605</v>
      </c>
      <c r="J3">
        <v>661846.51368892496</v>
      </c>
      <c r="K3">
        <v>672472.67354652099</v>
      </c>
      <c r="L3">
        <v>683269.43983775994</v>
      </c>
      <c r="M3">
        <v>694239.55170411803</v>
      </c>
      <c r="N3">
        <v>705385.79226487305</v>
      </c>
      <c r="O3">
        <v>716710.98932318494</v>
      </c>
      <c r="P3">
        <v>728218.01608350698</v>
      </c>
      <c r="Q3">
        <v>739909.79188051901</v>
      </c>
      <c r="R3">
        <v>751789.28291976405</v>
      </c>
      <c r="S3">
        <v>763859.50303017395</v>
      </c>
      <c r="T3">
        <v>776123.514428681</v>
      </c>
      <c r="U3">
        <v>788584.42849709699</v>
      </c>
      <c r="V3">
        <v>801245.40657147905</v>
      </c>
      <c r="W3">
        <v>814109.66074415401</v>
      </c>
      <c r="X3">
        <v>827180.45467863302</v>
      </c>
      <c r="Y3">
        <v>840461.10443759698</v>
      </c>
      <c r="Z3">
        <v>853954.97932418995</v>
      </c>
      <c r="AA3">
        <v>867665.50273680396</v>
      </c>
      <c r="AB3">
        <v>881596.15303760301</v>
      </c>
      <c r="AC3">
        <v>895750.46443497704</v>
      </c>
      <c r="AD3">
        <v>910132.02788017795</v>
      </c>
      <c r="AE3">
        <v>924744.49197833997</v>
      </c>
      <c r="AF3">
        <v>939591.563914133</v>
      </c>
      <c r="AG3">
        <v>954677.01039227704</v>
      </c>
      <c r="AH3">
        <v>970004.65859315405</v>
      </c>
      <c r="AI3">
        <v>985578.39714376302</v>
      </c>
      <c r="AJ3">
        <v>1001402.17710427</v>
      </c>
      <c r="AK3">
        <v>1017480.01297039</v>
      </c>
      <c r="AL3">
        <v>1033815.98369186</v>
      </c>
      <c r="AM3">
        <v>1050414.2337072899</v>
      </c>
      <c r="AN3">
        <v>1067278.9739955701</v>
      </c>
      <c r="AO3">
        <v>1084414.48314424</v>
      </c>
      <c r="AP3">
        <v>1101825.10843492</v>
      </c>
      <c r="AQ3">
        <v>1119515.2669462699</v>
      </c>
      <c r="AR3">
        <v>1137489.44667457</v>
      </c>
      <c r="AS3">
        <v>1155752.2076723201</v>
      </c>
      <c r="AT3">
        <v>1174308.1832051401</v>
      </c>
      <c r="AU3" s="64">
        <f>'calibrage bloc PL'!D3-B3</f>
        <v>-3157.5884842997184</v>
      </c>
    </row>
    <row r="4" spans="1:47">
      <c r="A4" t="s">
        <v>259</v>
      </c>
      <c r="B4">
        <v>6122994.0201700004</v>
      </c>
      <c r="C4">
        <v>6221300.6697023604</v>
      </c>
      <c r="D4">
        <v>6321185.6642911499</v>
      </c>
      <c r="E4">
        <v>6422674.3447767803</v>
      </c>
      <c r="F4">
        <v>6525792.4588550497</v>
      </c>
      <c r="G4">
        <v>6630566.1676093498</v>
      </c>
      <c r="H4">
        <v>6737022.0521477098</v>
      </c>
      <c r="I4">
        <v>6845187.1203464698</v>
      </c>
      <c r="J4">
        <v>6955088.81370214</v>
      </c>
      <c r="K4">
        <v>7066755.0142933503</v>
      </c>
      <c r="L4">
        <v>7180214.0518545099</v>
      </c>
      <c r="M4">
        <v>7295494.7109630704</v>
      </c>
      <c r="N4">
        <v>7412626.2383422097</v>
      </c>
      <c r="O4">
        <v>7531638.35028069</v>
      </c>
      <c r="P4">
        <v>7652561.2401719</v>
      </c>
      <c r="Q4">
        <v>7775425.5861739302</v>
      </c>
      <c r="R4">
        <v>7900262.5589926103</v>
      </c>
      <c r="S4">
        <v>8027103.8297895696</v>
      </c>
      <c r="T4">
        <v>8155981.5782171404</v>
      </c>
      <c r="U4">
        <v>8286928.50058241</v>
      </c>
      <c r="V4">
        <v>8419977.8181422297</v>
      </c>
      <c r="W4">
        <v>8555163.2855315004</v>
      </c>
      <c r="X4">
        <v>8692519.1993266791</v>
      </c>
      <c r="Y4">
        <v>8832080.4067468699</v>
      </c>
      <c r="Z4">
        <v>8973882.3144945502</v>
      </c>
      <c r="AA4">
        <v>9117960.8977382407</v>
      </c>
      <c r="AB4">
        <v>9264352.70923944</v>
      </c>
      <c r="AC4">
        <v>9413094.8886260707</v>
      </c>
      <c r="AD4">
        <v>9564225.1718147807</v>
      </c>
      <c r="AE4">
        <v>9717781.9005845506</v>
      </c>
      <c r="AF4">
        <v>9873804.0323040597</v>
      </c>
      <c r="AG4">
        <v>10032331.149815099</v>
      </c>
      <c r="AH4">
        <v>10193403.4714748</v>
      </c>
      <c r="AI4">
        <v>10357061.861359101</v>
      </c>
      <c r="AJ4">
        <v>10523347.839629799</v>
      </c>
      <c r="AK4">
        <v>10692303.5930684</v>
      </c>
      <c r="AL4">
        <v>10863971.985778701</v>
      </c>
      <c r="AM4">
        <v>11038396.5700617</v>
      </c>
      <c r="AN4">
        <v>11215621.5974645</v>
      </c>
      <c r="AO4">
        <v>11395692.0300074</v>
      </c>
      <c r="AP4">
        <v>11578653.551590201</v>
      </c>
      <c r="AQ4">
        <v>11764552.5795826</v>
      </c>
      <c r="AR4">
        <v>11953436.276600201</v>
      </c>
      <c r="AS4">
        <v>12145352.562469499</v>
      </c>
      <c r="AT4">
        <v>12340350.126385501</v>
      </c>
      <c r="AU4" s="64">
        <f>'calibrage bloc PL'!D4-B4</f>
        <v>-1005979.0880183959</v>
      </c>
    </row>
    <row r="5" spans="1:47">
      <c r="A5" t="s">
        <v>260</v>
      </c>
      <c r="B5">
        <v>48870.600700000003</v>
      </c>
      <c r="C5">
        <v>49655.2340018822</v>
      </c>
      <c r="D5">
        <v>50452.464845222901</v>
      </c>
      <c r="E5">
        <v>51262.495487625099</v>
      </c>
      <c r="F5">
        <v>52085.5314340029</v>
      </c>
      <c r="G5">
        <v>52921.781488718298</v>
      </c>
      <c r="H5">
        <v>53771.4578085549</v>
      </c>
      <c r="I5">
        <v>54634.7759565421</v>
      </c>
      <c r="J5">
        <v>55511.9549566434</v>
      </c>
      <c r="K5">
        <v>56403.217349322898</v>
      </c>
      <c r="L5">
        <v>57308.789248003901</v>
      </c>
      <c r="M5">
        <v>58228.900396433703</v>
      </c>
      <c r="N5">
        <v>59163.784226969998</v>
      </c>
      <c r="O5">
        <v>60113.677919802198</v>
      </c>
      <c r="P5">
        <v>61078.822463124699</v>
      </c>
      <c r="Q5">
        <v>62059.462714275098</v>
      </c>
      <c r="R5">
        <v>63055.847461854697</v>
      </c>
      <c r="S5">
        <v>64068.229488846599</v>
      </c>
      <c r="T5">
        <v>65096.865636745999</v>
      </c>
      <c r="U5">
        <v>66142.016870721796</v>
      </c>
      <c r="V5">
        <v>67203.948345822704</v>
      </c>
      <c r="W5">
        <v>68282.929474247998</v>
      </c>
      <c r="X5">
        <v>69379.233993696398</v>
      </c>
      <c r="Y5">
        <v>70493.140036814206</v>
      </c>
      <c r="Z5">
        <v>71624.930201757496</v>
      </c>
      <c r="AA5">
        <v>72774.891623886797</v>
      </c>
      <c r="AB5">
        <v>73943.316048613997</v>
      </c>
      <c r="AC5">
        <v>75130.499905417804</v>
      </c>
      <c r="AD5">
        <v>76336.744383048004</v>
      </c>
      <c r="AE5">
        <v>77562.355505937405</v>
      </c>
      <c r="AF5">
        <v>78807.644211840001</v>
      </c>
      <c r="AG5">
        <v>80072.926430715903</v>
      </c>
      <c r="AH5">
        <v>81358.523164882994</v>
      </c>
      <c r="AI5">
        <v>82664.760570455095</v>
      </c>
      <c r="AJ5">
        <v>83991.970040088199</v>
      </c>
      <c r="AK5">
        <v>85340.488287054293</v>
      </c>
      <c r="AL5">
        <v>86710.657430666004</v>
      </c>
      <c r="AM5">
        <v>88102.825083072195</v>
      </c>
      <c r="AN5">
        <v>89517.344437447202</v>
      </c>
      <c r="AO5">
        <v>90954.574357595906</v>
      </c>
      <c r="AP5">
        <v>92414.879468997795</v>
      </c>
      <c r="AQ5">
        <v>93898.630251312206</v>
      </c>
      <c r="AR5">
        <v>95406.203132369599</v>
      </c>
      <c r="AS5">
        <v>96937.980583670593</v>
      </c>
      <c r="AT5">
        <v>98494.351217419695</v>
      </c>
      <c r="AU5" s="64">
        <f>'calibrage bloc PL'!D5-B5</f>
        <v>-47870.600700000003</v>
      </c>
    </row>
    <row r="6" spans="1:47">
      <c r="A6" t="s">
        <v>261</v>
      </c>
      <c r="B6">
        <v>8541.1272100000006</v>
      </c>
      <c r="C6">
        <v>8678.2577700624206</v>
      </c>
      <c r="D6">
        <v>8817.5900056227802</v>
      </c>
      <c r="E6">
        <v>8959.1592652933596</v>
      </c>
      <c r="F6">
        <v>9103.0014652198206</v>
      </c>
      <c r="G6">
        <v>9249.1530981931701</v>
      </c>
      <c r="H6">
        <v>9397.6512429079994</v>
      </c>
      <c r="I6">
        <v>9548.53357336931</v>
      </c>
      <c r="J6">
        <v>9701.8383684504606</v>
      </c>
      <c r="K6">
        <v>9857.6045216044695</v>
      </c>
      <c r="L6">
        <v>10015.871550731301</v>
      </c>
      <c r="M6">
        <v>10176.6796082038</v>
      </c>
      <c r="N6">
        <v>10340.0694910537</v>
      </c>
      <c r="O6">
        <v>10506.0826513229</v>
      </c>
      <c r="P6">
        <v>10674.7612065786</v>
      </c>
      <c r="Q6">
        <v>10846.147950599499</v>
      </c>
      <c r="R6">
        <v>11020.286364232399</v>
      </c>
      <c r="S6">
        <v>11197.220626422701</v>
      </c>
      <c r="T6">
        <v>11376.9956254236</v>
      </c>
      <c r="U6">
        <v>11559.6569701833</v>
      </c>
      <c r="V6">
        <v>11745.2510019166</v>
      </c>
      <c r="W6">
        <v>11933.824805861401</v>
      </c>
      <c r="X6">
        <v>12125.4262232245</v>
      </c>
      <c r="Y6">
        <v>12320.1038633186</v>
      </c>
      <c r="Z6">
        <v>12517.907115894701</v>
      </c>
      <c r="AA6">
        <v>12718.886163672199</v>
      </c>
      <c r="AB6">
        <v>12923.091995070299</v>
      </c>
      <c r="AC6">
        <v>13130.5764171437</v>
      </c>
      <c r="AD6">
        <v>13341.3920687262</v>
      </c>
      <c r="AE6">
        <v>13555.592433785099</v>
      </c>
      <c r="AF6">
        <v>13773.231854990099</v>
      </c>
      <c r="AG6">
        <v>13994.3655475001</v>
      </c>
      <c r="AH6">
        <v>14219.049612971001</v>
      </c>
      <c r="AI6">
        <v>14447.3410537892</v>
      </c>
      <c r="AJ6">
        <v>14679.2977875326</v>
      </c>
      <c r="AK6">
        <v>14914.9786616649</v>
      </c>
      <c r="AL6">
        <v>15154.4434684644</v>
      </c>
      <c r="AM6">
        <v>15397.752960194301</v>
      </c>
      <c r="AN6">
        <v>15644.9688645145</v>
      </c>
      <c r="AO6">
        <v>15896.153900142799</v>
      </c>
      <c r="AP6">
        <v>16151.3717927663</v>
      </c>
      <c r="AQ6">
        <v>16410.6872912084</v>
      </c>
      <c r="AR6">
        <v>16674.166183855999</v>
      </c>
      <c r="AS6">
        <v>16941.8753153496</v>
      </c>
      <c r="AT6">
        <v>17213.882603542399</v>
      </c>
      <c r="AU6" s="64">
        <f>'calibrage bloc PL'!D6-B6</f>
        <v>-7541.1272100000006</v>
      </c>
    </row>
    <row r="7" spans="1:47">
      <c r="A7" t="s">
        <v>347</v>
      </c>
      <c r="B7">
        <v>580664.34177000006</v>
      </c>
      <c r="C7">
        <v>589987.09559832001</v>
      </c>
      <c r="D7">
        <v>599459.52925488399</v>
      </c>
      <c r="E7">
        <v>609084.04589774995</v>
      </c>
      <c r="F7">
        <v>618863.087268456</v>
      </c>
      <c r="G7">
        <v>628799.13431148801</v>
      </c>
      <c r="H7">
        <v>638894.70780370198</v>
      </c>
      <c r="I7">
        <v>649152.36899383902</v>
      </c>
      <c r="J7">
        <v>659574.72025231796</v>
      </c>
      <c r="K7">
        <v>670164.40573145798</v>
      </c>
      <c r="L7">
        <v>680924.112036295</v>
      </c>
      <c r="M7">
        <v>691856.56890618196</v>
      </c>
      <c r="N7">
        <v>702964.54990731901</v>
      </c>
      <c r="O7">
        <v>714250.87313640804</v>
      </c>
      <c r="P7">
        <v>725718.40193560405</v>
      </c>
      <c r="Q7">
        <v>737370.04561894794</v>
      </c>
      <c r="R7">
        <v>749208.760210459</v>
      </c>
      <c r="S7">
        <v>761237.54919407796</v>
      </c>
      <c r="T7">
        <v>773459.46427565103</v>
      </c>
      <c r="U7">
        <v>785877.60615714896</v>
      </c>
      <c r="V7">
        <v>798495.12532331597</v>
      </c>
      <c r="W7">
        <v>811315.22284094896</v>
      </c>
      <c r="X7">
        <v>824341.15117100498</v>
      </c>
      <c r="Y7">
        <v>837576.21499375603</v>
      </c>
      <c r="Z7">
        <v>851023.77204718301</v>
      </c>
      <c r="AA7">
        <v>864687.23397884006</v>
      </c>
      <c r="AB7">
        <v>878570.06721138</v>
      </c>
      <c r="AC7">
        <v>892675.79382199899</v>
      </c>
      <c r="AD7">
        <v>907007.99243597896</v>
      </c>
      <c r="AE7">
        <v>921570.29913458601</v>
      </c>
      <c r="AF7">
        <v>936366.40837755101</v>
      </c>
      <c r="AG7">
        <v>951400.07394034904</v>
      </c>
      <c r="AH7">
        <v>966675.10986653494</v>
      </c>
      <c r="AI7">
        <v>982195.39143536601</v>
      </c>
      <c r="AJ7">
        <v>997964.85614496202</v>
      </c>
      <c r="AK7">
        <v>1013987.5047112399</v>
      </c>
      <c r="AL7">
        <v>1030267.40208293</v>
      </c>
      <c r="AM7">
        <v>1046808.67847281</v>
      </c>
      <c r="AN7">
        <v>1063615.53040555</v>
      </c>
      <c r="AO7">
        <v>1080692.2217824</v>
      </c>
      <c r="AP7">
        <v>1098043.0849629201</v>
      </c>
      <c r="AQ7">
        <v>1115672.5218640999</v>
      </c>
      <c r="AR7">
        <v>1133585.0050771299</v>
      </c>
      <c r="AS7">
        <v>1151785.0790021101</v>
      </c>
      <c r="AT7">
        <v>1170277.36100093</v>
      </c>
      <c r="AU7" s="64">
        <f>'calibrage bloc PL'!D7-B7</f>
        <v>-3157.5884842997184</v>
      </c>
    </row>
    <row r="8" spans="1:47">
      <c r="A8" t="s">
        <v>348</v>
      </c>
      <c r="B8">
        <v>1000</v>
      </c>
      <c r="C8">
        <v>1016.05532345916</v>
      </c>
      <c r="D8">
        <v>1032.3684203297</v>
      </c>
      <c r="E8">
        <v>1048.9434292471201</v>
      </c>
      <c r="F8">
        <v>1065.7845552940501</v>
      </c>
      <c r="G8">
        <v>1082.8960710670799</v>
      </c>
      <c r="H8">
        <v>1100.2823177607199</v>
      </c>
      <c r="I8">
        <v>1117.9477062687699</v>
      </c>
      <c r="J8">
        <v>1135.8967183033501</v>
      </c>
      <c r="K8">
        <v>1154.1339075319099</v>
      </c>
      <c r="L8">
        <v>1172.66390073253</v>
      </c>
      <c r="M8">
        <v>1191.49139896767</v>
      </c>
      <c r="N8">
        <v>1210.62117877691</v>
      </c>
      <c r="O8">
        <v>1230.0580933886899</v>
      </c>
      <c r="P8">
        <v>1249.8070739516099</v>
      </c>
      <c r="Q8">
        <v>1269.87313078546</v>
      </c>
      <c r="R8">
        <v>1290.2613546523201</v>
      </c>
      <c r="S8">
        <v>1310.9769180481201</v>
      </c>
      <c r="T8">
        <v>1332.0250765148801</v>
      </c>
      <c r="U8">
        <v>1353.4111699740499</v>
      </c>
      <c r="V8">
        <v>1375.14062408123</v>
      </c>
      <c r="W8">
        <v>1397.2189516026899</v>
      </c>
      <c r="X8">
        <v>1419.6517538139501</v>
      </c>
      <c r="Y8">
        <v>1442.4447219208</v>
      </c>
      <c r="Z8">
        <v>1465.60363850321</v>
      </c>
      <c r="AA8">
        <v>1489.1343789822999</v>
      </c>
      <c r="AB8">
        <v>1513.04291311103</v>
      </c>
      <c r="AC8">
        <v>1537.3353064886201</v>
      </c>
      <c r="AD8">
        <v>1562.0177220994899</v>
      </c>
      <c r="AE8">
        <v>1587.0964218767499</v>
      </c>
      <c r="AF8">
        <v>1612.5777682908599</v>
      </c>
      <c r="AG8">
        <v>1638.46822596383</v>
      </c>
      <c r="AH8">
        <v>1664.77436330924</v>
      </c>
      <c r="AI8">
        <v>1691.5028541987001</v>
      </c>
      <c r="AJ8">
        <v>1718.66047965496</v>
      </c>
      <c r="AK8">
        <v>1746.2541295722999</v>
      </c>
      <c r="AL8">
        <v>1774.2908044644901</v>
      </c>
      <c r="AM8">
        <v>1802.7776172407901</v>
      </c>
      <c r="AN8">
        <v>1831.7217950105301</v>
      </c>
      <c r="AO8">
        <v>1861.1306809166299</v>
      </c>
      <c r="AP8">
        <v>1891.01173599852</v>
      </c>
      <c r="AQ8">
        <v>1921.37254108506</v>
      </c>
      <c r="AR8">
        <v>1952.2207987177301</v>
      </c>
      <c r="AS8">
        <v>1983.56433510486</v>
      </c>
      <c r="AT8">
        <v>2015.41110210703</v>
      </c>
      <c r="AU8" s="64">
        <f>'calibrage bloc PL'!D8-B8</f>
        <v>0</v>
      </c>
    </row>
    <row r="9" spans="1:47">
      <c r="A9" t="s">
        <v>349</v>
      </c>
      <c r="B9">
        <v>1000</v>
      </c>
      <c r="C9">
        <v>1016.05532345916</v>
      </c>
      <c r="D9">
        <v>1032.3684203297</v>
      </c>
      <c r="E9">
        <v>1048.9434292471201</v>
      </c>
      <c r="F9">
        <v>1065.7845552940501</v>
      </c>
      <c r="G9">
        <v>1082.8960710670799</v>
      </c>
      <c r="H9">
        <v>1100.2823177607199</v>
      </c>
      <c r="I9">
        <v>1117.9477062687699</v>
      </c>
      <c r="J9">
        <v>1135.8967183033501</v>
      </c>
      <c r="K9">
        <v>1154.1339075319099</v>
      </c>
      <c r="L9">
        <v>1172.66390073253</v>
      </c>
      <c r="M9">
        <v>1191.49139896767</v>
      </c>
      <c r="N9">
        <v>1210.62117877691</v>
      </c>
      <c r="O9">
        <v>1230.0580933886899</v>
      </c>
      <c r="P9">
        <v>1249.8070739516099</v>
      </c>
      <c r="Q9">
        <v>1269.87313078546</v>
      </c>
      <c r="R9">
        <v>1290.2613546523201</v>
      </c>
      <c r="S9">
        <v>1310.9769180481201</v>
      </c>
      <c r="T9">
        <v>1332.0250765148801</v>
      </c>
      <c r="U9">
        <v>1353.4111699740499</v>
      </c>
      <c r="V9">
        <v>1375.14062408123</v>
      </c>
      <c r="W9">
        <v>1397.2189516026899</v>
      </c>
      <c r="X9">
        <v>1419.6517538139501</v>
      </c>
      <c r="Y9">
        <v>1442.4447219208</v>
      </c>
      <c r="Z9">
        <v>1465.60363850321</v>
      </c>
      <c r="AA9">
        <v>1489.1343789822999</v>
      </c>
      <c r="AB9">
        <v>1513.04291311103</v>
      </c>
      <c r="AC9">
        <v>1537.3353064886201</v>
      </c>
      <c r="AD9">
        <v>1562.0177220994899</v>
      </c>
      <c r="AE9">
        <v>1587.0964218767499</v>
      </c>
      <c r="AF9">
        <v>1612.5777682908599</v>
      </c>
      <c r="AG9">
        <v>1638.46822596383</v>
      </c>
      <c r="AH9">
        <v>1664.77436330924</v>
      </c>
      <c r="AI9">
        <v>1691.5028541987001</v>
      </c>
      <c r="AJ9">
        <v>1718.66047965496</v>
      </c>
      <c r="AK9">
        <v>1746.2541295722999</v>
      </c>
      <c r="AL9">
        <v>1774.2908044644901</v>
      </c>
      <c r="AM9">
        <v>1802.7776172407901</v>
      </c>
      <c r="AN9">
        <v>1831.7217950105301</v>
      </c>
      <c r="AO9">
        <v>1861.1306809166299</v>
      </c>
      <c r="AP9">
        <v>1891.01173599852</v>
      </c>
      <c r="AQ9">
        <v>1921.37254108506</v>
      </c>
      <c r="AR9">
        <v>1952.2207987177301</v>
      </c>
      <c r="AS9">
        <v>1983.56433510486</v>
      </c>
      <c r="AT9">
        <v>2015.41110210703</v>
      </c>
      <c r="AU9" s="64">
        <f>'calibrage bloc PL'!D9-B9</f>
        <v>0</v>
      </c>
    </row>
    <row r="10" spans="1:47">
      <c r="A10" t="s">
        <v>350</v>
      </c>
      <c r="B10">
        <v>17.087077000000001</v>
      </c>
      <c r="C10">
        <v>17.087077000000001</v>
      </c>
      <c r="D10">
        <v>17.087077000000001</v>
      </c>
      <c r="E10">
        <v>17.087077000000001</v>
      </c>
      <c r="F10">
        <v>17.087077000000001</v>
      </c>
      <c r="G10">
        <v>17.087077000000001</v>
      </c>
      <c r="H10">
        <v>17.087077000000001</v>
      </c>
      <c r="I10">
        <v>17.087077000000001</v>
      </c>
      <c r="J10">
        <v>17.087077000000001</v>
      </c>
      <c r="K10">
        <v>17.087077000000001</v>
      </c>
      <c r="L10">
        <v>17.087077000000001</v>
      </c>
      <c r="M10">
        <v>17.087077000000001</v>
      </c>
      <c r="N10">
        <v>17.087077000000001</v>
      </c>
      <c r="O10">
        <v>17.087077000000001</v>
      </c>
      <c r="P10">
        <v>17.087077000000001</v>
      </c>
      <c r="Q10">
        <v>17.087077000000001</v>
      </c>
      <c r="R10">
        <v>17.087077000000001</v>
      </c>
      <c r="S10">
        <v>17.087077000000001</v>
      </c>
      <c r="T10">
        <v>17.087077000000001</v>
      </c>
      <c r="U10">
        <v>17.087077000000001</v>
      </c>
      <c r="V10">
        <v>17.087077000000001</v>
      </c>
      <c r="W10">
        <v>17.087077000000001</v>
      </c>
      <c r="X10">
        <v>17.087077000000001</v>
      </c>
      <c r="Y10">
        <v>17.087077000000001</v>
      </c>
      <c r="Z10">
        <v>17.087077000000001</v>
      </c>
      <c r="AA10">
        <v>17.087077000000001</v>
      </c>
      <c r="AB10">
        <v>17.087077000000001</v>
      </c>
      <c r="AC10">
        <v>17.087077000000001</v>
      </c>
      <c r="AD10">
        <v>17.087077000000001</v>
      </c>
      <c r="AE10">
        <v>17.087077000000001</v>
      </c>
      <c r="AF10">
        <v>17.087077000000001</v>
      </c>
      <c r="AG10">
        <v>17.087077000000001</v>
      </c>
      <c r="AH10">
        <v>17.087077000000001</v>
      </c>
      <c r="AI10">
        <v>17.087077000000001</v>
      </c>
      <c r="AJ10">
        <v>17.087077000000001</v>
      </c>
      <c r="AK10">
        <v>17.087077000000001</v>
      </c>
      <c r="AL10">
        <v>17.087077000000001</v>
      </c>
      <c r="AM10">
        <v>17.087077000000001</v>
      </c>
      <c r="AN10">
        <v>17.087077000000001</v>
      </c>
      <c r="AO10">
        <v>17.087077000000001</v>
      </c>
      <c r="AP10">
        <v>17.087077000000001</v>
      </c>
      <c r="AQ10">
        <v>17.087077000000001</v>
      </c>
      <c r="AR10">
        <v>17.087077000000001</v>
      </c>
      <c r="AS10">
        <v>17.087077000000001</v>
      </c>
      <c r="AT10">
        <v>17.087077000000001</v>
      </c>
      <c r="AU10" s="64">
        <f>'calibrage bloc PL'!D10-B10</f>
        <v>-0.2095127469896596</v>
      </c>
    </row>
    <row r="11" spans="1:47">
      <c r="A11" t="s">
        <v>351</v>
      </c>
      <c r="B11">
        <v>5.138242</v>
      </c>
      <c r="C11">
        <v>5.138242</v>
      </c>
      <c r="D11">
        <v>5.138242</v>
      </c>
      <c r="E11">
        <v>5.138242</v>
      </c>
      <c r="F11">
        <v>5.138242</v>
      </c>
      <c r="G11">
        <v>5.138242</v>
      </c>
      <c r="H11">
        <v>5.138242</v>
      </c>
      <c r="I11">
        <v>5.138242</v>
      </c>
      <c r="J11">
        <v>5.138242</v>
      </c>
      <c r="K11">
        <v>5.138242</v>
      </c>
      <c r="L11">
        <v>5.138242</v>
      </c>
      <c r="M11">
        <v>5.138242</v>
      </c>
      <c r="N11">
        <v>5.138242</v>
      </c>
      <c r="O11">
        <v>5.138242</v>
      </c>
      <c r="P11">
        <v>5.138242</v>
      </c>
      <c r="Q11">
        <v>5.138242</v>
      </c>
      <c r="R11">
        <v>5.138242</v>
      </c>
      <c r="S11">
        <v>5.138242</v>
      </c>
      <c r="T11">
        <v>5.138242</v>
      </c>
      <c r="U11">
        <v>5.138242</v>
      </c>
      <c r="V11">
        <v>5.138242</v>
      </c>
      <c r="W11">
        <v>5.138242</v>
      </c>
      <c r="X11">
        <v>5.138242</v>
      </c>
      <c r="Y11">
        <v>5.138242</v>
      </c>
      <c r="Z11">
        <v>5.138242</v>
      </c>
      <c r="AA11">
        <v>5.138242</v>
      </c>
      <c r="AB11">
        <v>5.138242</v>
      </c>
      <c r="AC11">
        <v>5.138242</v>
      </c>
      <c r="AD11">
        <v>5.138242</v>
      </c>
      <c r="AE11">
        <v>5.138242</v>
      </c>
      <c r="AF11">
        <v>5.138242</v>
      </c>
      <c r="AG11">
        <v>5.138242</v>
      </c>
      <c r="AH11">
        <v>5.138242</v>
      </c>
      <c r="AI11">
        <v>5.138242</v>
      </c>
      <c r="AJ11">
        <v>5.138242</v>
      </c>
      <c r="AK11">
        <v>5.138242</v>
      </c>
      <c r="AL11">
        <v>5.138242</v>
      </c>
      <c r="AM11">
        <v>5.138242</v>
      </c>
      <c r="AN11">
        <v>5.138242</v>
      </c>
      <c r="AO11">
        <v>5.138242</v>
      </c>
      <c r="AP11">
        <v>5.138242</v>
      </c>
      <c r="AQ11">
        <v>5.138242</v>
      </c>
      <c r="AR11">
        <v>5.138242</v>
      </c>
      <c r="AS11">
        <v>5.138242</v>
      </c>
      <c r="AT11">
        <v>5.138242</v>
      </c>
      <c r="AU11" s="64">
        <f>'calibrage bloc PL'!D11-B11</f>
        <v>2.9746337482094987E-7</v>
      </c>
    </row>
    <row r="12" spans="1:47">
      <c r="A12" t="s">
        <v>352</v>
      </c>
      <c r="B12">
        <v>13.709016999999999</v>
      </c>
      <c r="C12">
        <v>13.709016999999999</v>
      </c>
      <c r="D12">
        <v>13.709016999999999</v>
      </c>
      <c r="E12">
        <v>13.709016999999999</v>
      </c>
      <c r="F12">
        <v>13.709016999999999</v>
      </c>
      <c r="G12">
        <v>13.709016999999999</v>
      </c>
      <c r="H12">
        <v>13.709016999999999</v>
      </c>
      <c r="I12">
        <v>13.709016999999999</v>
      </c>
      <c r="J12">
        <v>13.709016999999999</v>
      </c>
      <c r="K12">
        <v>13.709016999999999</v>
      </c>
      <c r="L12">
        <v>13.709016999999999</v>
      </c>
      <c r="M12">
        <v>13.709016999999999</v>
      </c>
      <c r="N12">
        <v>13.709016999999999</v>
      </c>
      <c r="O12">
        <v>13.709016999999999</v>
      </c>
      <c r="P12">
        <v>13.709016999999999</v>
      </c>
      <c r="Q12">
        <v>13.709016999999999</v>
      </c>
      <c r="R12">
        <v>13.709016999999999</v>
      </c>
      <c r="S12">
        <v>13.709016999999999</v>
      </c>
      <c r="T12">
        <v>13.709016999999999</v>
      </c>
      <c r="U12">
        <v>13.709016999999999</v>
      </c>
      <c r="V12">
        <v>13.709016999999999</v>
      </c>
      <c r="W12">
        <v>13.709016999999999</v>
      </c>
      <c r="X12">
        <v>13.709016999999999</v>
      </c>
      <c r="Y12">
        <v>13.709016999999999</v>
      </c>
      <c r="Z12">
        <v>13.709016999999999</v>
      </c>
      <c r="AA12">
        <v>13.709016999999999</v>
      </c>
      <c r="AB12">
        <v>13.709016999999999</v>
      </c>
      <c r="AC12">
        <v>13.709016999999999</v>
      </c>
      <c r="AD12">
        <v>13.709016999999999</v>
      </c>
      <c r="AE12">
        <v>13.709016999999999</v>
      </c>
      <c r="AF12">
        <v>13.709016999999999</v>
      </c>
      <c r="AG12">
        <v>13.709016999999999</v>
      </c>
      <c r="AH12">
        <v>13.709016999999999</v>
      </c>
      <c r="AI12">
        <v>13.709016999999999</v>
      </c>
      <c r="AJ12">
        <v>13.709016999999999</v>
      </c>
      <c r="AK12">
        <v>13.709016999999999</v>
      </c>
      <c r="AL12">
        <v>13.709016999999999</v>
      </c>
      <c r="AM12">
        <v>13.709016999999999</v>
      </c>
      <c r="AN12">
        <v>13.709016999999999</v>
      </c>
      <c r="AO12">
        <v>13.709016999999999</v>
      </c>
      <c r="AP12">
        <v>13.709016999999999</v>
      </c>
      <c r="AQ12">
        <v>13.709016999999999</v>
      </c>
      <c r="AR12">
        <v>13.709016999999999</v>
      </c>
      <c r="AS12">
        <v>13.709016999999999</v>
      </c>
      <c r="AT12">
        <v>13.709016999999999</v>
      </c>
      <c r="AU12" s="64">
        <f>'calibrage bloc PL'!D12-B12</f>
        <v>-4.5612163823705032E-7</v>
      </c>
    </row>
    <row r="13" spans="1:47">
      <c r="A13" t="s">
        <v>353</v>
      </c>
      <c r="B13">
        <v>0.86246400000000001</v>
      </c>
      <c r="C13">
        <v>0.86246400000000001</v>
      </c>
      <c r="D13">
        <v>0.86246400000000001</v>
      </c>
      <c r="E13">
        <v>0.86246400000000001</v>
      </c>
      <c r="F13">
        <v>0.86246400000000001</v>
      </c>
      <c r="G13">
        <v>0.86246400000000001</v>
      </c>
      <c r="H13">
        <v>0.86246400000000001</v>
      </c>
      <c r="I13">
        <v>0.86246400000000001</v>
      </c>
      <c r="J13">
        <v>0.86246400000000001</v>
      </c>
      <c r="K13">
        <v>0.86246400000000001</v>
      </c>
      <c r="L13">
        <v>0.86246400000000001</v>
      </c>
      <c r="M13">
        <v>0.86246400000000001</v>
      </c>
      <c r="N13">
        <v>0.86246400000000001</v>
      </c>
      <c r="O13">
        <v>0.86246400000000001</v>
      </c>
      <c r="P13">
        <v>0.86246400000000001</v>
      </c>
      <c r="Q13">
        <v>0.86246400000000001</v>
      </c>
      <c r="R13">
        <v>0.86246400000000001</v>
      </c>
      <c r="S13">
        <v>0.86246400000000001</v>
      </c>
      <c r="T13">
        <v>0.86246400000000001</v>
      </c>
      <c r="U13">
        <v>0.86246400000000001</v>
      </c>
      <c r="V13">
        <v>0.86246400000000001</v>
      </c>
      <c r="W13">
        <v>0.86246400000000001</v>
      </c>
      <c r="X13">
        <v>0.86246400000000001</v>
      </c>
      <c r="Y13">
        <v>0.86246400000000001</v>
      </c>
      <c r="Z13">
        <v>0.86246400000000001</v>
      </c>
      <c r="AA13">
        <v>0.86246400000000001</v>
      </c>
      <c r="AB13">
        <v>0.86246400000000001</v>
      </c>
      <c r="AC13">
        <v>0.86246400000000001</v>
      </c>
      <c r="AD13">
        <v>0.86246400000000001</v>
      </c>
      <c r="AE13">
        <v>0.86246400000000001</v>
      </c>
      <c r="AF13">
        <v>0.86246400000000001</v>
      </c>
      <c r="AG13">
        <v>0.86246400000000001</v>
      </c>
      <c r="AH13">
        <v>0.86246400000000001</v>
      </c>
      <c r="AI13">
        <v>0.86246400000000001</v>
      </c>
      <c r="AJ13">
        <v>0.86246400000000001</v>
      </c>
      <c r="AK13">
        <v>0.86246400000000001</v>
      </c>
      <c r="AL13">
        <v>0.86246400000000001</v>
      </c>
      <c r="AM13">
        <v>0.86246400000000001</v>
      </c>
      <c r="AN13">
        <v>0.86246400000000001</v>
      </c>
      <c r="AO13">
        <v>0.86246400000000001</v>
      </c>
      <c r="AP13">
        <v>0.86246400000000001</v>
      </c>
      <c r="AQ13">
        <v>0.86246400000000001</v>
      </c>
      <c r="AR13">
        <v>0.86246400000000001</v>
      </c>
      <c r="AS13">
        <v>0.86246400000000001</v>
      </c>
      <c r="AT13">
        <v>0.86246400000000001</v>
      </c>
      <c r="AU13" s="64">
        <f>'calibrage bloc PL'!D13-B13</f>
        <v>-2.0398359990014825E-7</v>
      </c>
    </row>
    <row r="14" spans="1:47">
      <c r="A14" t="s">
        <v>354</v>
      </c>
      <c r="B14">
        <v>0.38646399999999997</v>
      </c>
      <c r="C14">
        <v>0.38646399999999997</v>
      </c>
      <c r="D14">
        <v>0.38646399999999997</v>
      </c>
      <c r="E14">
        <v>0.38646399999999997</v>
      </c>
      <c r="F14">
        <v>0.38646399999999997</v>
      </c>
      <c r="G14">
        <v>0.38646399999999997</v>
      </c>
      <c r="H14">
        <v>0.38646399999999997</v>
      </c>
      <c r="I14">
        <v>0.38646399999999997</v>
      </c>
      <c r="J14">
        <v>0.38646399999999997</v>
      </c>
      <c r="K14">
        <v>0.38646399999999997</v>
      </c>
      <c r="L14">
        <v>0.38646399999999997</v>
      </c>
      <c r="M14">
        <v>0.38646399999999997</v>
      </c>
      <c r="N14">
        <v>0.38646399999999997</v>
      </c>
      <c r="O14">
        <v>0.38646399999999997</v>
      </c>
      <c r="P14">
        <v>0.38646399999999997</v>
      </c>
      <c r="Q14">
        <v>0.38646399999999997</v>
      </c>
      <c r="R14">
        <v>0.38646399999999997</v>
      </c>
      <c r="S14">
        <v>0.38646399999999997</v>
      </c>
      <c r="T14">
        <v>0.38646399999999997</v>
      </c>
      <c r="U14">
        <v>0.38646399999999997</v>
      </c>
      <c r="V14">
        <v>0.38646399999999997</v>
      </c>
      <c r="W14">
        <v>0.38646399999999997</v>
      </c>
      <c r="X14">
        <v>0.38646399999999997</v>
      </c>
      <c r="Y14">
        <v>0.38646399999999997</v>
      </c>
      <c r="Z14">
        <v>0.38646399999999997</v>
      </c>
      <c r="AA14">
        <v>0.38646399999999997</v>
      </c>
      <c r="AB14">
        <v>0.38646399999999997</v>
      </c>
      <c r="AC14">
        <v>0.38646399999999997</v>
      </c>
      <c r="AD14">
        <v>0.38646399999999997</v>
      </c>
      <c r="AE14">
        <v>0.38646399999999997</v>
      </c>
      <c r="AF14">
        <v>0.38646399999999997</v>
      </c>
      <c r="AG14">
        <v>0.38646399999999997</v>
      </c>
      <c r="AH14">
        <v>0.38646399999999997</v>
      </c>
      <c r="AI14">
        <v>0.38646399999999997</v>
      </c>
      <c r="AJ14">
        <v>0.38646399999999997</v>
      </c>
      <c r="AK14">
        <v>0.38646399999999997</v>
      </c>
      <c r="AL14">
        <v>0.38646399999999997</v>
      </c>
      <c r="AM14">
        <v>0.38646399999999997</v>
      </c>
      <c r="AN14">
        <v>0.38646399999999997</v>
      </c>
      <c r="AO14">
        <v>0.38646399999999997</v>
      </c>
      <c r="AP14">
        <v>0.38646399999999997</v>
      </c>
      <c r="AQ14">
        <v>0.38646399999999997</v>
      </c>
      <c r="AR14">
        <v>0.38646399999999997</v>
      </c>
      <c r="AS14">
        <v>0.38646399999999997</v>
      </c>
      <c r="AT14">
        <v>0.38646399999999997</v>
      </c>
      <c r="AU14" s="64">
        <f>'calibrage bloc PL'!D14-B14</f>
        <v>3.3231675355960277E-7</v>
      </c>
    </row>
    <row r="15" spans="1:47">
      <c r="A15" t="s">
        <v>355</v>
      </c>
      <c r="B15">
        <v>1.0052730000000001</v>
      </c>
      <c r="C15">
        <v>1.0052730000000001</v>
      </c>
      <c r="D15">
        <v>1.0052730000000001</v>
      </c>
      <c r="E15">
        <v>1.0052730000000001</v>
      </c>
      <c r="F15">
        <v>1.0052730000000001</v>
      </c>
      <c r="G15">
        <v>1.0052730000000001</v>
      </c>
      <c r="H15">
        <v>1.0052730000000001</v>
      </c>
      <c r="I15">
        <v>1.0052730000000001</v>
      </c>
      <c r="J15">
        <v>1.0052730000000001</v>
      </c>
      <c r="K15">
        <v>1.0052730000000001</v>
      </c>
      <c r="L15">
        <v>1.0052730000000001</v>
      </c>
      <c r="M15">
        <v>1.0052730000000001</v>
      </c>
      <c r="N15">
        <v>1.0052730000000001</v>
      </c>
      <c r="O15">
        <v>1.0052730000000001</v>
      </c>
      <c r="P15">
        <v>1.0052730000000001</v>
      </c>
      <c r="Q15">
        <v>1.0052730000000001</v>
      </c>
      <c r="R15">
        <v>1.0052730000000001</v>
      </c>
      <c r="S15">
        <v>1.0052730000000001</v>
      </c>
      <c r="T15">
        <v>1.0052730000000001</v>
      </c>
      <c r="U15">
        <v>1.0052730000000001</v>
      </c>
      <c r="V15">
        <v>1.0052730000000001</v>
      </c>
      <c r="W15">
        <v>1.0052730000000001</v>
      </c>
      <c r="X15">
        <v>1.0052730000000001</v>
      </c>
      <c r="Y15">
        <v>1.0052730000000001</v>
      </c>
      <c r="Z15">
        <v>1.0052730000000001</v>
      </c>
      <c r="AA15">
        <v>1.0052730000000001</v>
      </c>
      <c r="AB15">
        <v>1.0052730000000001</v>
      </c>
      <c r="AC15">
        <v>1.0052730000000001</v>
      </c>
      <c r="AD15">
        <v>1.0052730000000001</v>
      </c>
      <c r="AE15">
        <v>1.0052730000000001</v>
      </c>
      <c r="AF15">
        <v>1.0052730000000001</v>
      </c>
      <c r="AG15">
        <v>1.0052730000000001</v>
      </c>
      <c r="AH15">
        <v>1.0052730000000001</v>
      </c>
      <c r="AI15">
        <v>1.0052730000000001</v>
      </c>
      <c r="AJ15">
        <v>1.0052730000000001</v>
      </c>
      <c r="AK15">
        <v>1.0052730000000001</v>
      </c>
      <c r="AL15">
        <v>1.0052730000000001</v>
      </c>
      <c r="AM15">
        <v>1.0052730000000001</v>
      </c>
      <c r="AN15">
        <v>1.0052730000000001</v>
      </c>
      <c r="AO15">
        <v>1.0052730000000001</v>
      </c>
      <c r="AP15">
        <v>1.0052730000000001</v>
      </c>
      <c r="AQ15">
        <v>1.0052730000000001</v>
      </c>
      <c r="AR15">
        <v>1.0052730000000001</v>
      </c>
      <c r="AS15">
        <v>1.0052730000000001</v>
      </c>
      <c r="AT15">
        <v>1.0052730000000001</v>
      </c>
      <c r="AU15" s="64">
        <f>'calibrage bloc PL'!D15-B15</f>
        <v>-7.8146074722340586E-8</v>
      </c>
    </row>
    <row r="16" spans="1:47">
      <c r="A16" t="s">
        <v>356</v>
      </c>
      <c r="B16">
        <v>1211.74229019529</v>
      </c>
      <c r="C16">
        <v>1231.1972046135199</v>
      </c>
      <c r="D16">
        <v>1250.96447397561</v>
      </c>
      <c r="E16">
        <v>1271.0491132412201</v>
      </c>
      <c r="F16">
        <v>1291.45621788679</v>
      </c>
      <c r="G16">
        <v>1312.1909651983101</v>
      </c>
      <c r="H16">
        <v>1333.25861558476</v>
      </c>
      <c r="I16">
        <v>1354.6645139126999</v>
      </c>
      <c r="J16">
        <v>1376.4140908622201</v>
      </c>
      <c r="K16">
        <v>1398.5128643047599</v>
      </c>
      <c r="L16">
        <v>1420.96644070298</v>
      </c>
      <c r="M16">
        <v>1443.7805165330799</v>
      </c>
      <c r="N16">
        <v>1466.96087973006</v>
      </c>
      <c r="O16">
        <v>1490.5134111560701</v>
      </c>
      <c r="P16">
        <v>1514.4440860924001</v>
      </c>
      <c r="Q16">
        <v>1538.7589757554399</v>
      </c>
      <c r="R16">
        <v>1563.46424883688</v>
      </c>
      <c r="S16">
        <v>1588.5661730688</v>
      </c>
      <c r="T16">
        <v>1614.07111681371</v>
      </c>
      <c r="U16">
        <v>1639.9855506802501</v>
      </c>
      <c r="V16">
        <v>1666.31604916478</v>
      </c>
      <c r="W16">
        <v>1693.0692923193101</v>
      </c>
      <c r="X16">
        <v>1720.2520674462801</v>
      </c>
      <c r="Y16">
        <v>1747.87127082043</v>
      </c>
      <c r="Z16">
        <v>1775.93390943843</v>
      </c>
      <c r="AA16">
        <v>1804.4471027965701</v>
      </c>
      <c r="AB16">
        <v>1833.41808469692</v>
      </c>
      <c r="AC16">
        <v>1862.85420508261</v>
      </c>
      <c r="AD16">
        <v>1892.76293190248</v>
      </c>
      <c r="AE16">
        <v>1923.1518530056901</v>
      </c>
      <c r="AF16">
        <v>1954.02867806679</v>
      </c>
      <c r="AG16">
        <v>1985.4012405416299</v>
      </c>
      <c r="AH16">
        <v>2017.27749965476</v>
      </c>
      <c r="AI16">
        <v>2049.6655424186101</v>
      </c>
      <c r="AJ16">
        <v>2082.5735856852398</v>
      </c>
      <c r="AK16">
        <v>2116.0099782309298</v>
      </c>
      <c r="AL16">
        <v>2149.9832028742499</v>
      </c>
      <c r="AM16">
        <v>2184.5018786281698</v>
      </c>
      <c r="AN16">
        <v>2219.5747628866998</v>
      </c>
      <c r="AO16">
        <v>2255.2107536466401</v>
      </c>
      <c r="AP16">
        <v>2291.4188917650299</v>
      </c>
      <c r="AQ16">
        <v>2328.2083632527601</v>
      </c>
      <c r="AR16">
        <v>2365.5885016051102</v>
      </c>
      <c r="AS16">
        <v>2403.5687901696601</v>
      </c>
      <c r="AT16">
        <v>2442.1588645521902</v>
      </c>
      <c r="AU16" s="64">
        <f>'calibrage bloc PL'!D16-B16</f>
        <v>-249.68794783306521</v>
      </c>
    </row>
    <row r="17" spans="1:47">
      <c r="A17" t="s">
        <v>357</v>
      </c>
      <c r="B17">
        <v>72.372604969509496</v>
      </c>
      <c r="C17">
        <v>73.534570551877295</v>
      </c>
      <c r="D17">
        <v>74.715191867518499</v>
      </c>
      <c r="E17">
        <v>75.914768440265107</v>
      </c>
      <c r="F17">
        <v>77.133604602901201</v>
      </c>
      <c r="G17">
        <v>78.3720095743721</v>
      </c>
      <c r="H17">
        <v>79.630297538233407</v>
      </c>
      <c r="I17">
        <v>80.908787722359307</v>
      </c>
      <c r="J17">
        <v>82.207804479930701</v>
      </c>
      <c r="K17">
        <v>83.527677371723698</v>
      </c>
      <c r="L17">
        <v>84.868741249719506</v>
      </c>
      <c r="M17">
        <v>86.231336342055997</v>
      </c>
      <c r="N17">
        <v>87.615808339343701</v>
      </c>
      <c r="O17">
        <v>89.022508482368096</v>
      </c>
      <c r="P17">
        <v>90.451793651198699</v>
      </c>
      <c r="Q17">
        <v>91.904026455730403</v>
      </c>
      <c r="R17">
        <v>93.379575327676804</v>
      </c>
      <c r="S17">
        <v>94.878814614042099</v>
      </c>
      <c r="T17">
        <v>96.402124672092697</v>
      </c>
      <c r="U17">
        <v>97.949891965853894</v>
      </c>
      <c r="V17">
        <v>99.522509164155906</v>
      </c>
      <c r="W17">
        <v>101.12037524025401</v>
      </c>
      <c r="X17">
        <v>102.74389557304799</v>
      </c>
      <c r="Y17">
        <v>104.393482049928</v>
      </c>
      <c r="Z17">
        <v>106.069553171268</v>
      </c>
      <c r="AA17">
        <v>107.77253415660201</v>
      </c>
      <c r="AB17">
        <v>109.5028570525</v>
      </c>
      <c r="AC17">
        <v>111.26096084218101</v>
      </c>
      <c r="AD17">
        <v>113.04729155688</v>
      </c>
      <c r="AE17">
        <v>114.86230238900799</v>
      </c>
      <c r="AF17">
        <v>116.706453807128</v>
      </c>
      <c r="AG17">
        <v>118.580213672773</v>
      </c>
      <c r="AH17">
        <v>120.484057359147</v>
      </c>
      <c r="AI17">
        <v>122.41846787172</v>
      </c>
      <c r="AJ17">
        <v>124.38393597077599</v>
      </c>
      <c r="AK17">
        <v>126.380960295911</v>
      </c>
      <c r="AL17">
        <v>128.41004749254199</v>
      </c>
      <c r="AM17">
        <v>130.471712340441</v>
      </c>
      <c r="AN17">
        <v>132.56647788433801</v>
      </c>
      <c r="AO17">
        <v>134.69487556661301</v>
      </c>
      <c r="AP17">
        <v>136.85744536212701</v>
      </c>
      <c r="AQ17">
        <v>139.05473591521101</v>
      </c>
      <c r="AR17">
        <v>141.28730467885899</v>
      </c>
      <c r="AS17">
        <v>143.55571805615099</v>
      </c>
      <c r="AT17">
        <v>145.86055154395601</v>
      </c>
      <c r="AU17" s="64">
        <f>'calibrage bloc PL'!D17-B17</f>
        <v>2.504232863340988</v>
      </c>
    </row>
    <row r="18" spans="1:47">
      <c r="A18" t="s">
        <v>358</v>
      </c>
      <c r="B18">
        <v>7.2045791455103902</v>
      </c>
      <c r="C18">
        <v>7.3202509940787097</v>
      </c>
      <c r="D18">
        <v>7.4377799915909204</v>
      </c>
      <c r="E18">
        <v>7.55719595517402</v>
      </c>
      <c r="F18">
        <v>7.6785291806786304</v>
      </c>
      <c r="G18">
        <v>7.8018104503650596</v>
      </c>
      <c r="H18">
        <v>7.9270710407127698</v>
      </c>
      <c r="I18">
        <v>8.0543427303551898</v>
      </c>
      <c r="J18">
        <v>8.1836578081420193</v>
      </c>
      <c r="K18">
        <v>8.3150490813308604</v>
      </c>
      <c r="L18">
        <v>8.4485498839104594</v>
      </c>
      <c r="M18">
        <v>8.5841940850575291</v>
      </c>
      <c r="N18">
        <v>8.7220160977293801</v>
      </c>
      <c r="O18">
        <v>8.8620508873944708</v>
      </c>
      <c r="P18">
        <v>9.0043339809031604</v>
      </c>
      <c r="Q18">
        <v>9.1489014755009102</v>
      </c>
      <c r="R18">
        <v>9.2957900479861095</v>
      </c>
      <c r="S18">
        <v>9.4450369640150207</v>
      </c>
      <c r="T18">
        <v>9.5966800875560505</v>
      </c>
      <c r="U18">
        <v>9.7507578904958905</v>
      </c>
      <c r="V18">
        <v>9.9073094623997999</v>
      </c>
      <c r="W18">
        <v>10.066374520428599</v>
      </c>
      <c r="X18">
        <v>10.227993419415199</v>
      </c>
      <c r="Y18">
        <v>10.3922071621021</v>
      </c>
      <c r="Z18">
        <v>10.5590574095443</v>
      </c>
      <c r="AA18">
        <v>10.728586491678501</v>
      </c>
      <c r="AB18">
        <v>10.900837418062</v>
      </c>
      <c r="AC18">
        <v>11.0758538887847</v>
      </c>
      <c r="AD18">
        <v>11.2536803055556</v>
      </c>
      <c r="AE18">
        <v>11.4343617829674</v>
      </c>
      <c r="AF18">
        <v>11.617944159942001</v>
      </c>
      <c r="AG18">
        <v>11.8044740113604</v>
      </c>
      <c r="AH18">
        <v>11.9939986598781</v>
      </c>
      <c r="AI18">
        <v>12.1865661879312</v>
      </c>
      <c r="AJ18">
        <v>12.382225449935</v>
      </c>
      <c r="AK18">
        <v>12.581026084677999</v>
      </c>
      <c r="AL18">
        <v>12.783018527915701</v>
      </c>
      <c r="AM18">
        <v>12.988254025165901</v>
      </c>
      <c r="AN18">
        <v>13.1967846447097</v>
      </c>
      <c r="AO18">
        <v>13.408663290801501</v>
      </c>
      <c r="AP18">
        <v>13.623943717090301</v>
      </c>
      <c r="AQ18">
        <v>13.8426805402577</v>
      </c>
      <c r="AR18">
        <v>14.0649292538734</v>
      </c>
      <c r="AS18">
        <v>14.290746242474601</v>
      </c>
      <c r="AT18">
        <v>14.5201887958704</v>
      </c>
      <c r="AU18" s="64">
        <f>'calibrage bloc PL'!D18-B18</f>
        <v>18.531288673048682</v>
      </c>
    </row>
    <row r="19" spans="1:47">
      <c r="A19" t="s">
        <v>359</v>
      </c>
      <c r="B19">
        <v>3.26728176640979</v>
      </c>
      <c r="C19">
        <v>3.3197390320017299</v>
      </c>
      <c r="D19">
        <v>3.3730385159605301</v>
      </c>
      <c r="E19">
        <v>3.4271937403744999</v>
      </c>
      <c r="F19">
        <v>3.4822184444334399</v>
      </c>
      <c r="G19">
        <v>3.5381265879142898</v>
      </c>
      <c r="H19">
        <v>3.5949323547227201</v>
      </c>
      <c r="I19">
        <v>3.6526501564916098</v>
      </c>
      <c r="J19">
        <v>3.7112946362372501</v>
      </c>
      <c r="K19">
        <v>3.77088067207431</v>
      </c>
      <c r="L19">
        <v>3.8314233809903699</v>
      </c>
      <c r="M19">
        <v>3.8929381226811799</v>
      </c>
      <c r="N19">
        <v>3.9554405034473401</v>
      </c>
      <c r="O19">
        <v>4.01894638015367</v>
      </c>
      <c r="P19">
        <v>4.08347186425208</v>
      </c>
      <c r="Q19">
        <v>4.1490333258690502</v>
      </c>
      <c r="R19">
        <v>4.2156473979587297</v>
      </c>
      <c r="S19">
        <v>4.2833309805227398</v>
      </c>
      <c r="T19">
        <v>4.3521012448976997</v>
      </c>
      <c r="U19">
        <v>4.4219756381115696</v>
      </c>
      <c r="V19">
        <v>4.4929718873099898</v>
      </c>
      <c r="W19">
        <v>4.5651080042536902</v>
      </c>
      <c r="X19">
        <v>4.6384022898880097</v>
      </c>
      <c r="Y19">
        <v>4.7128733389858901</v>
      </c>
      <c r="Z19">
        <v>4.7885400448653801</v>
      </c>
      <c r="AA19">
        <v>4.8654216041828597</v>
      </c>
      <c r="AB19">
        <v>4.94353752180323</v>
      </c>
      <c r="AC19">
        <v>5.0229076157483004</v>
      </c>
      <c r="AD19">
        <v>5.1035520222246298</v>
      </c>
      <c r="AE19">
        <v>5.1854912007321303</v>
      </c>
      <c r="AF19">
        <v>5.2687459392545399</v>
      </c>
      <c r="AG19">
        <v>5.3533373595334304</v>
      </c>
      <c r="AH19">
        <v>5.4392869224267697</v>
      </c>
      <c r="AI19">
        <v>5.5266164333535404</v>
      </c>
      <c r="AJ19">
        <v>5.61534804782577</v>
      </c>
      <c r="AK19">
        <v>5.7055042770693998</v>
      </c>
      <c r="AL19">
        <v>5.7971079937354002</v>
      </c>
      <c r="AM19">
        <v>5.8901824377025198</v>
      </c>
      <c r="AN19">
        <v>5.9847512219733403</v>
      </c>
      <c r="AO19">
        <v>6.0808383386647602</v>
      </c>
      <c r="AP19">
        <v>6.1784681650949098</v>
      </c>
      <c r="AQ19">
        <v>6.2776654699676602</v>
      </c>
      <c r="AR19">
        <v>6.3784554196564303</v>
      </c>
      <c r="AS19">
        <v>6.48086358458887</v>
      </c>
      <c r="AT19">
        <v>6.5849159457341697</v>
      </c>
      <c r="AU19" s="64">
        <f>'calibrage bloc PL'!D19-B19</f>
        <v>-0.95359785649132656</v>
      </c>
    </row>
    <row r="20" spans="1:47">
      <c r="A20" t="s">
        <v>360</v>
      </c>
      <c r="B20">
        <v>0.222312236822826</v>
      </c>
      <c r="C20">
        <v>0.22588153169394701</v>
      </c>
      <c r="D20">
        <v>0.22950813274874499</v>
      </c>
      <c r="E20">
        <v>0.233192960056535</v>
      </c>
      <c r="F20">
        <v>0.23693694845864299</v>
      </c>
      <c r="G20">
        <v>0.24074104780557401</v>
      </c>
      <c r="H20">
        <v>0.24460622319799</v>
      </c>
      <c r="I20">
        <v>0.24853345523155901</v>
      </c>
      <c r="J20">
        <v>0.25252374024572499</v>
      </c>
      <c r="K20">
        <v>0.256578090576489</v>
      </c>
      <c r="L20">
        <v>0.26069753481322899</v>
      </c>
      <c r="M20">
        <v>0.26488311805966203</v>
      </c>
      <c r="N20">
        <v>0.26913590219898198</v>
      </c>
      <c r="O20">
        <v>0.27345696616326098</v>
      </c>
      <c r="P20">
        <v>0.27784740620717402</v>
      </c>
      <c r="Q20">
        <v>0.282308336186121</v>
      </c>
      <c r="R20">
        <v>0.28684088783880701</v>
      </c>
      <c r="S20">
        <v>0.29144621107437402</v>
      </c>
      <c r="T20">
        <v>0.296125474264121</v>
      </c>
      <c r="U20">
        <v>0.30087986453792998</v>
      </c>
      <c r="V20">
        <v>0.305710588085436</v>
      </c>
      <c r="W20">
        <v>0.31061887046203901</v>
      </c>
      <c r="X20">
        <v>0.31560595689982801</v>
      </c>
      <c r="Y20">
        <v>0.32067311262349402</v>
      </c>
      <c r="Z20">
        <v>0.32582162317132102</v>
      </c>
      <c r="AA20">
        <v>0.33105279472132698</v>
      </c>
      <c r="AB20">
        <v>0.336367954422638</v>
      </c>
      <c r="AC20">
        <v>0.34176845073219098</v>
      </c>
      <c r="AD20">
        <v>0.34725565375683398</v>
      </c>
      <c r="AE20">
        <v>0.35283095560092398</v>
      </c>
      <c r="AF20">
        <v>0.358495770719503</v>
      </c>
      <c r="AG20">
        <v>0.36425153627714701</v>
      </c>
      <c r="AH20">
        <v>0.37009971251257501</v>
      </c>
      <c r="AI20">
        <v>0.37604178310910802</v>
      </c>
      <c r="AJ20">
        <v>0.38207925557108602</v>
      </c>
      <c r="AK20">
        <v>0.38821366160631698</v>
      </c>
      <c r="AL20">
        <v>0.394446557514673</v>
      </c>
      <c r="AM20">
        <v>0.40077952458292498</v>
      </c>
      <c r="AN20">
        <v>0.40721416948591399</v>
      </c>
      <c r="AO20">
        <v>0.413752124694166</v>
      </c>
      <c r="AP20">
        <v>0.42039504888804802</v>
      </c>
      <c r="AQ20">
        <v>0.427144627378577</v>
      </c>
      <c r="AR20">
        <v>0.43400257253498398</v>
      </c>
      <c r="AS20">
        <v>0.44097062421914301</v>
      </c>
      <c r="AT20">
        <v>0.44805055022697099</v>
      </c>
      <c r="AU20" s="64">
        <f>'calibrage bloc PL'!D20-B20</f>
        <v>-0.14450361011927279</v>
      </c>
    </row>
    <row r="21" spans="1:47">
      <c r="A21" t="s">
        <v>361</v>
      </c>
      <c r="B21">
        <v>2.9472829951684701E-3</v>
      </c>
      <c r="C21">
        <v>2.9946025769815999E-3</v>
      </c>
      <c r="D21">
        <v>3.04268188998669E-3</v>
      </c>
      <c r="E21">
        <v>3.0915331319137599E-3</v>
      </c>
      <c r="F21">
        <v>3.1411686963313699E-3</v>
      </c>
      <c r="G21">
        <v>3.19160117579077E-3</v>
      </c>
      <c r="H21">
        <v>3.2428433650207398E-3</v>
      </c>
      <c r="I21">
        <v>3.2949082641735498E-3</v>
      </c>
      <c r="J21">
        <v>3.3478090821231401E-3</v>
      </c>
      <c r="K21">
        <v>3.4015592398161602E-3</v>
      </c>
      <c r="L21">
        <v>3.4561723736769201E-3</v>
      </c>
      <c r="M21">
        <v>3.5116623390669299E-3</v>
      </c>
      <c r="N21">
        <v>3.5680432138000201E-3</v>
      </c>
      <c r="O21">
        <v>3.6253293017138501E-3</v>
      </c>
      <c r="P21">
        <v>3.6835351362988602E-3</v>
      </c>
      <c r="Q21">
        <v>3.74267548438534E-3</v>
      </c>
      <c r="R21">
        <v>3.8027653498898298E-3</v>
      </c>
      <c r="S21">
        <v>3.8638199776216101E-3</v>
      </c>
      <c r="T21">
        <v>3.9258548571503103E-3</v>
      </c>
      <c r="U21">
        <v>3.9888857267355903E-3</v>
      </c>
      <c r="V21">
        <v>4.0529285773199799E-3</v>
      </c>
      <c r="W21">
        <v>4.11799965658575E-3</v>
      </c>
      <c r="X21">
        <v>4.18411547307696E-3</v>
      </c>
      <c r="Y21">
        <v>4.2512928003877104E-3</v>
      </c>
      <c r="Z21">
        <v>4.3195486814175503E-3</v>
      </c>
      <c r="AA21">
        <v>4.3889004326953199E-3</v>
      </c>
      <c r="AB21">
        <v>4.4593656487723196E-3</v>
      </c>
      <c r="AC21">
        <v>4.5309622066860402E-3</v>
      </c>
      <c r="AD21">
        <v>4.6037082704956404E-3</v>
      </c>
      <c r="AE21">
        <v>4.67762229589008E-3</v>
      </c>
      <c r="AF21">
        <v>4.7527230348703899E-3</v>
      </c>
      <c r="AG21">
        <v>4.8290295405070604E-3</v>
      </c>
      <c r="AH21">
        <v>4.9065611717737699E-3</v>
      </c>
      <c r="AI21">
        <v>4.9853375984587802E-3</v>
      </c>
      <c r="AJ21">
        <v>5.0653788061551701E-3</v>
      </c>
      <c r="AK21">
        <v>5.1467051013311896E-3</v>
      </c>
      <c r="AL21">
        <v>5.2293371164819904E-3</v>
      </c>
      <c r="AM21">
        <v>5.3132958153641304E-3</v>
      </c>
      <c r="AN21">
        <v>5.3986024983140304E-3</v>
      </c>
      <c r="AO21">
        <v>5.4852788076519103E-3</v>
      </c>
      <c r="AP21">
        <v>5.5733467331724696E-3</v>
      </c>
      <c r="AQ21">
        <v>5.66282861772363E-3</v>
      </c>
      <c r="AR21">
        <v>5.753747162875E-3</v>
      </c>
      <c r="AS21">
        <v>5.8461254346772098E-3</v>
      </c>
      <c r="AT21">
        <v>5.9399868695138103E-3</v>
      </c>
      <c r="AU21" s="65">
        <f>'calibrage bloc PL'!D21-B21</f>
        <v>7.5808921080460509E-3</v>
      </c>
    </row>
    <row r="22" spans="1:47">
      <c r="A22" t="s">
        <v>362</v>
      </c>
      <c r="B22">
        <v>9.9218563189782998</v>
      </c>
      <c r="C22">
        <v>10.081154931494799</v>
      </c>
      <c r="D22">
        <v>10.2430111347619</v>
      </c>
      <c r="E22">
        <v>10.407465991726401</v>
      </c>
      <c r="F22">
        <v>10.574561224613801</v>
      </c>
      <c r="G22">
        <v>10.7443392255137</v>
      </c>
      <c r="H22">
        <v>10.9168430671343</v>
      </c>
      <c r="I22">
        <v>11.092116513730099</v>
      </c>
      <c r="J22">
        <v>11.2702040322048</v>
      </c>
      <c r="K22">
        <v>11.451150803392601</v>
      </c>
      <c r="L22">
        <v>11.6350027335208</v>
      </c>
      <c r="M22">
        <v>11.821806465855699</v>
      </c>
      <c r="N22">
        <v>12.0116093925367</v>
      </c>
      <c r="O22">
        <v>12.204459666599</v>
      </c>
      <c r="P22">
        <v>12.4004062141906</v>
      </c>
      <c r="Q22">
        <v>12.5994987469844</v>
      </c>
      <c r="R22">
        <v>12.801787774790601</v>
      </c>
      <c r="S22">
        <v>13.0073246183705</v>
      </c>
      <c r="T22">
        <v>13.2161614224568</v>
      </c>
      <c r="U22">
        <v>13.4283511689828</v>
      </c>
      <c r="V22">
        <v>13.643947690524101</v>
      </c>
      <c r="W22">
        <v>13.8630056839554</v>
      </c>
      <c r="X22">
        <v>14.085580724327601</v>
      </c>
      <c r="Y22">
        <v>14.3117292789668</v>
      </c>
      <c r="Z22">
        <v>14.5415087218006</v>
      </c>
      <c r="AA22">
        <v>14.774977347913399</v>
      </c>
      <c r="AB22">
        <v>15.012194388336001</v>
      </c>
      <c r="AC22">
        <v>15.253220025072601</v>
      </c>
      <c r="AD22">
        <v>15.4981154063689</v>
      </c>
      <c r="AE22">
        <v>15.746942662225701</v>
      </c>
      <c r="AF22">
        <v>15.999764920160599</v>
      </c>
      <c r="AG22">
        <v>16.256646321224402</v>
      </c>
      <c r="AH22">
        <v>16.517652036272899</v>
      </c>
      <c r="AI22">
        <v>16.782848282501199</v>
      </c>
      <c r="AJ22">
        <v>17.0523023402429</v>
      </c>
      <c r="AK22">
        <v>17.326082570038899</v>
      </c>
      <c r="AL22">
        <v>17.604258429981101</v>
      </c>
      <c r="AM22">
        <v>17.886900493333201</v>
      </c>
      <c r="AN22">
        <v>18.174080466435498</v>
      </c>
      <c r="AO22">
        <v>18.465871206897098</v>
      </c>
      <c r="AP22">
        <v>18.762346742079099</v>
      </c>
      <c r="AQ22">
        <v>19.063582287876201</v>
      </c>
      <c r="AR22">
        <v>19.369654267798399</v>
      </c>
      <c r="AS22">
        <v>19.680640332360099</v>
      </c>
      <c r="AT22">
        <v>19.996619378779599</v>
      </c>
      <c r="AU22" s="64">
        <f>'calibrage bloc PL'!D22-B22</f>
        <v>-0.17494898385150037</v>
      </c>
    </row>
    <row r="23" spans="1:47">
      <c r="A23" t="s">
        <v>363</v>
      </c>
      <c r="B23" s="59">
        <v>5.1382420000000003E-3</v>
      </c>
      <c r="C23" s="59">
        <v>5.2207381373214597E-3</v>
      </c>
      <c r="D23" s="59">
        <v>5.3045587768117599E-3</v>
      </c>
      <c r="E23" s="59">
        <v>5.3897251837816199E-3</v>
      </c>
      <c r="F23" s="59">
        <v>5.4762589649632399E-3</v>
      </c>
      <c r="G23" s="59">
        <v>5.5641820739918803E-3</v>
      </c>
      <c r="H23" s="59">
        <v>5.6535168169755097E-3</v>
      </c>
      <c r="I23" s="59">
        <v>5.7442858581538796E-3</v>
      </c>
      <c r="J23" s="59">
        <v>5.8365122256484403E-3</v>
      </c>
      <c r="K23" s="59">
        <v>5.9302193173045997E-3</v>
      </c>
      <c r="L23" s="59">
        <v>6.0254309066277104E-3</v>
      </c>
      <c r="M23" s="59">
        <v>6.1221711488144703E-3</v>
      </c>
      <c r="N23" s="59">
        <v>6.2204645868810596E-3</v>
      </c>
      <c r="O23" s="59">
        <v>6.3203361578897102E-3</v>
      </c>
      <c r="P23" s="59">
        <v>6.4218111992752902E-3</v>
      </c>
      <c r="Q23" s="59">
        <v>6.5249154552733399E-3</v>
      </c>
      <c r="R23" s="59">
        <v>6.62967508345146E-3</v>
      </c>
      <c r="S23" s="59">
        <v>6.7361166613454397E-3</v>
      </c>
      <c r="T23" s="59">
        <v>6.8442671932020102E-3</v>
      </c>
      <c r="U23" s="59">
        <v>6.9541541168298198E-3</v>
      </c>
      <c r="V23" s="59">
        <v>7.0658053105604E-3</v>
      </c>
      <c r="W23" s="59">
        <v>7.1792491003209403E-3</v>
      </c>
      <c r="X23" s="59">
        <v>7.2945142668205103E-3</v>
      </c>
      <c r="Y23" s="59">
        <v>7.4116300528518104E-3</v>
      </c>
      <c r="Z23" s="59">
        <v>7.5306261707100098E-3</v>
      </c>
      <c r="AA23" s="59">
        <v>7.6515328097308101E-3</v>
      </c>
      <c r="AB23" s="59">
        <v>7.7743806439494502E-3</v>
      </c>
      <c r="AC23" s="59">
        <v>7.8992008398827297E-3</v>
      </c>
      <c r="AD23" s="59">
        <v>8.0260250644359592E-3</v>
      </c>
      <c r="AE23" s="59">
        <v>8.1548854929368395E-3</v>
      </c>
      <c r="AF23" s="59">
        <v>8.2858148172983894E-3</v>
      </c>
      <c r="AG23" s="59">
        <v>8.4188462543128596E-3</v>
      </c>
      <c r="AH23" s="59">
        <v>8.5540135540788306E-3</v>
      </c>
      <c r="AI23" s="59">
        <v>8.6913510085636497E-3</v>
      </c>
      <c r="AJ23" s="59">
        <v>8.8308934603032792E-3</v>
      </c>
      <c r="AK23" s="59">
        <v>8.9726763112418697E-3</v>
      </c>
      <c r="AL23" s="59">
        <v>9.1167355317132506E-3</v>
      </c>
      <c r="AM23" s="59">
        <v>9.2631076695665702E-3</v>
      </c>
      <c r="AN23" s="59">
        <v>9.4118298594385308E-3</v>
      </c>
      <c r="AO23" s="59">
        <v>9.5629398321744399E-3</v>
      </c>
      <c r="AP23" s="59">
        <v>9.7164759244005305E-3</v>
      </c>
      <c r="AQ23" s="59">
        <v>9.8724770882499709E-3</v>
      </c>
      <c r="AR23">
        <v>1.0030982901245E-2</v>
      </c>
      <c r="AS23">
        <v>1.01920335763378E-2</v>
      </c>
      <c r="AT23">
        <v>1.03556699721126E-2</v>
      </c>
      <c r="AU23" s="64">
        <f>'calibrage bloc PL'!D23-B23</f>
        <v>2.9746337424502167E-10</v>
      </c>
    </row>
    <row r="24" spans="1:47">
      <c r="A24" t="s">
        <v>364</v>
      </c>
      <c r="B24">
        <v>1.3709017E-2</v>
      </c>
      <c r="C24">
        <v>1.39291197022421E-2</v>
      </c>
      <c r="D24">
        <v>1.41527562245631E-2</v>
      </c>
      <c r="E24">
        <v>1.4379983303587101E-2</v>
      </c>
      <c r="F24">
        <v>1.46108585868636E-2</v>
      </c>
      <c r="G24">
        <v>1.4845440647491799E-2</v>
      </c>
      <c r="H24">
        <v>1.5083788998981201E-2</v>
      </c>
      <c r="I24">
        <v>1.53259641103496E-2</v>
      </c>
      <c r="J24">
        <v>1.5572027421464799E-2</v>
      </c>
      <c r="K24">
        <v>1.5822041358631401E-2</v>
      </c>
      <c r="L24">
        <v>1.6076069350428501E-2</v>
      </c>
      <c r="M24">
        <v>1.6334175843801601E-2</v>
      </c>
      <c r="N24">
        <v>1.6596426320412701E-2</v>
      </c>
      <c r="O24">
        <v>1.6862887313253201E-2</v>
      </c>
      <c r="P24">
        <v>1.71336264235229E-2</v>
      </c>
      <c r="Q24">
        <v>1.7408712337781101E-2</v>
      </c>
      <c r="R24">
        <v>1.76882148453717E-2</v>
      </c>
      <c r="S24">
        <v>1.7972204856129301E-2</v>
      </c>
      <c r="T24">
        <v>1.8260754418368899E-2</v>
      </c>
      <c r="U24">
        <v>1.8553936737164101E-2</v>
      </c>
      <c r="V24">
        <v>1.8851826192920199E-2</v>
      </c>
      <c r="W24">
        <v>1.9154498360243501E-2</v>
      </c>
      <c r="X24">
        <v>1.9462030027115201E-2</v>
      </c>
      <c r="Y24">
        <v>1.97744992143726E-2</v>
      </c>
      <c r="Z24">
        <v>2.0091985195502302E-2</v>
      </c>
      <c r="AA24">
        <v>2.0414568516752898E-2</v>
      </c>
      <c r="AB24">
        <v>2.0742331017568599E-2</v>
      </c>
      <c r="AC24">
        <v>2.1075355851352801E-2</v>
      </c>
      <c r="AD24">
        <v>2.1413727506563202E-2</v>
      </c>
      <c r="AE24">
        <v>2.1757531828147499E-2</v>
      </c>
      <c r="AF24">
        <v>2.2106856039321499E-2</v>
      </c>
      <c r="AG24">
        <v>2.2461788763698001E-2</v>
      </c>
      <c r="AH24">
        <v>2.2822420047770599E-2</v>
      </c>
      <c r="AI24">
        <v>2.3188841383758499E-2</v>
      </c>
      <c r="AJ24">
        <v>2.3561145732817999E-2</v>
      </c>
      <c r="AK24">
        <v>2.39394275486269E-2</v>
      </c>
      <c r="AL24">
        <v>2.43237828013474E-2</v>
      </c>
      <c r="AM24">
        <v>2.4714309001973502E-2</v>
      </c>
      <c r="AN24">
        <v>2.5111105227069899E-2</v>
      </c>
      <c r="AO24">
        <v>2.5514272143907699E-2</v>
      </c>
      <c r="AP24">
        <v>2.5923912036003301E-2</v>
      </c>
      <c r="AQ24">
        <v>2.63401288290682E-2</v>
      </c>
      <c r="AR24">
        <v>2.6763028117375E-2</v>
      </c>
      <c r="AS24">
        <v>2.7192717190546199E-2</v>
      </c>
      <c r="AT24">
        <v>2.7629305060774E-2</v>
      </c>
      <c r="AU24" s="64">
        <f>'calibrage bloc PL'!D24-B24</f>
        <v>-4.5612164045749637E-10</v>
      </c>
    </row>
    <row r="25" spans="1:47">
      <c r="A25" t="s">
        <v>365</v>
      </c>
      <c r="B25">
        <v>3679.7355595561098</v>
      </c>
      <c r="C25">
        <v>3738.8149042089699</v>
      </c>
      <c r="D25">
        <v>3798.8427868499998</v>
      </c>
      <c r="E25">
        <v>3859.8344365633902</v>
      </c>
      <c r="F25">
        <v>3921.8053269412399</v>
      </c>
      <c r="G25">
        <v>3984.7711800091502</v>
      </c>
      <c r="H25">
        <v>4048.7479702149599</v>
      </c>
      <c r="I25">
        <v>4113.7519284813998</v>
      </c>
      <c r="J25">
        <v>4179.7995463239304</v>
      </c>
      <c r="K25">
        <v>4246.90758003463</v>
      </c>
      <c r="L25">
        <v>4315.0930549332697</v>
      </c>
      <c r="M25">
        <v>4384.37326968662</v>
      </c>
      <c r="N25">
        <v>4454.7658006971496</v>
      </c>
      <c r="O25">
        <v>4526.2885065621704</v>
      </c>
      <c r="P25">
        <v>4598.9595326045301</v>
      </c>
      <c r="Q25">
        <v>4672.7973154761103</v>
      </c>
      <c r="R25">
        <v>4747.8205878351901</v>
      </c>
      <c r="S25">
        <v>4824.0483830989697</v>
      </c>
      <c r="T25">
        <v>4901.5000402722799</v>
      </c>
      <c r="U25">
        <v>4980.1952088539701</v>
      </c>
      <c r="V25">
        <v>5060.1538538219002</v>
      </c>
      <c r="W25">
        <v>5141.3962606981504</v>
      </c>
      <c r="X25">
        <v>5223.9430406953998</v>
      </c>
      <c r="Y25">
        <v>5307.8151359460198</v>
      </c>
      <c r="Z25">
        <v>5393.0338248150802</v>
      </c>
      <c r="AA25">
        <v>5479.6207272987103</v>
      </c>
      <c r="AB25">
        <v>5567.5978105090298</v>
      </c>
      <c r="AC25">
        <v>5656.9873942472896</v>
      </c>
      <c r="AD25">
        <v>5747.8121566663503</v>
      </c>
      <c r="AE25">
        <v>5840.0951400241502</v>
      </c>
      <c r="AF25">
        <v>5933.8597565295404</v>
      </c>
      <c r="AG25">
        <v>6029.1297942819401</v>
      </c>
      <c r="AH25">
        <v>6125.9294233064202</v>
      </c>
      <c r="AI25">
        <v>6224.28320168562</v>
      </c>
      <c r="AJ25">
        <v>6324.2160817901304</v>
      </c>
      <c r="AK25">
        <v>6425.7534166089299</v>
      </c>
      <c r="AL25">
        <v>6528.9209661814202</v>
      </c>
      <c r="AM25">
        <v>6633.74490413279</v>
      </c>
      <c r="AN25">
        <v>6740.2518243142204</v>
      </c>
      <c r="AO25">
        <v>6848.4687475498204</v>
      </c>
      <c r="AP25">
        <v>6958.4231284917096</v>
      </c>
      <c r="AQ25">
        <v>7070.1428625853796</v>
      </c>
      <c r="AR25">
        <v>7183.6562931466897</v>
      </c>
      <c r="AS25">
        <v>7298.9922185526302</v>
      </c>
      <c r="AT25">
        <v>7416.1798995474201</v>
      </c>
      <c r="AU25" s="64">
        <f>'calibrage bloc PL'!D25-B25</f>
        <v>373.13202800100771</v>
      </c>
    </row>
    <row r="26" spans="1:47">
      <c r="A26" t="s">
        <v>366</v>
      </c>
      <c r="B26">
        <v>1.67272824842343</v>
      </c>
      <c r="C26">
        <v>1.6995844415111501</v>
      </c>
      <c r="D26">
        <v>1.7268718194657799</v>
      </c>
      <c r="E26">
        <v>1.75459730509982</v>
      </c>
      <c r="F26">
        <v>1.78276793237378</v>
      </c>
      <c r="G26">
        <v>1.81139084818066</v>
      </c>
      <c r="H26">
        <v>1.84047331415918</v>
      </c>
      <c r="I26">
        <v>1.87002270853596</v>
      </c>
      <c r="J26">
        <v>1.9000465279974901</v>
      </c>
      <c r="K26">
        <v>1.9305523895919601</v>
      </c>
      <c r="L26">
        <v>1.9615480326617201</v>
      </c>
      <c r="M26">
        <v>1.9930413208067901</v>
      </c>
      <c r="N26">
        <v>2.0250402438798201</v>
      </c>
      <c r="O26">
        <v>2.0575529200131402</v>
      </c>
      <c r="P26">
        <v>2.0905875976782999</v>
      </c>
      <c r="Q26">
        <v>2.1241526577787502</v>
      </c>
      <c r="R26">
        <v>2.1582566157760299</v>
      </c>
      <c r="S26">
        <v>2.1929081238502</v>
      </c>
      <c r="T26">
        <v>2.2281159730948401</v>
      </c>
      <c r="U26">
        <v>2.2638890957474098</v>
      </c>
      <c r="V26">
        <v>2.3002365674553098</v>
      </c>
      <c r="W26">
        <v>2.33716760957841</v>
      </c>
      <c r="X26">
        <v>2.3746915915284701</v>
      </c>
      <c r="Y26">
        <v>2.4128180331462201</v>
      </c>
      <c r="Z26">
        <v>2.45155660711649</v>
      </c>
      <c r="AA26">
        <v>2.4909171414222002</v>
      </c>
      <c r="AB26">
        <v>2.5309096218377101</v>
      </c>
      <c r="AC26">
        <v>2.5715441944622301</v>
      </c>
      <c r="AD26">
        <v>2.6128311682938499</v>
      </c>
      <c r="AE26">
        <v>2.654781017845</v>
      </c>
      <c r="AF26">
        <v>2.6974043857997501</v>
      </c>
      <c r="AG26">
        <v>2.7407120857139402</v>
      </c>
      <c r="AH26">
        <v>2.7847151047585199</v>
      </c>
      <c r="AI26">
        <v>2.8294246065070401</v>
      </c>
      <c r="AJ26">
        <v>2.8748519337678302</v>
      </c>
      <c r="AK26">
        <v>2.92100861146168</v>
      </c>
      <c r="AL26">
        <v>2.9679063495457001</v>
      </c>
      <c r="AM26">
        <v>3.0155570459841701</v>
      </c>
      <c r="AN26">
        <v>3.0639727897670102</v>
      </c>
      <c r="AO26">
        <v>3.1131658639767998</v>
      </c>
      <c r="AP26">
        <v>3.1631487489049701</v>
      </c>
      <c r="AQ26">
        <v>3.2139341252181</v>
      </c>
      <c r="AR26">
        <v>3.26553487717492</v>
      </c>
      <c r="AS26">
        <v>3.31796409589515</v>
      </c>
      <c r="AT26">
        <v>3.3712350826806401</v>
      </c>
      <c r="AU26" s="64">
        <f>'calibrage bloc PL'!D26-B26</f>
        <v>3.2719077328653774</v>
      </c>
    </row>
    <row r="27" spans="1:47">
      <c r="A27" t="s">
        <v>367</v>
      </c>
      <c r="B27">
        <v>33.511440247020303</v>
      </c>
      <c r="C27">
        <v>34.0494772597687</v>
      </c>
      <c r="D27">
        <v>34.596152630789803</v>
      </c>
      <c r="E27">
        <v>35.151605051719699</v>
      </c>
      <c r="F27">
        <v>35.715975440933903</v>
      </c>
      <c r="G27">
        <v>36.289406979297702</v>
      </c>
      <c r="H27">
        <v>36.872045146491601</v>
      </c>
      <c r="I27">
        <v>37.464037757919499</v>
      </c>
      <c r="J27">
        <v>38.065535002209202</v>
      </c>
      <c r="K27">
        <v>38.676689479315897</v>
      </c>
      <c r="L27">
        <v>39.297656239235998</v>
      </c>
      <c r="M27">
        <v>39.928592821343997</v>
      </c>
      <c r="N27">
        <v>40.569659294359901</v>
      </c>
      <c r="O27">
        <v>41.221018296959002</v>
      </c>
      <c r="P27">
        <v>41.882835079032802</v>
      </c>
      <c r="Q27">
        <v>42.555277543613599</v>
      </c>
      <c r="R27">
        <v>43.238516289470802</v>
      </c>
      <c r="S27">
        <v>43.932724654392601</v>
      </c>
      <c r="T27">
        <v>44.638078759161303</v>
      </c>
      <c r="U27">
        <v>45.354757552235398</v>
      </c>
      <c r="V27">
        <v>46.082942855148502</v>
      </c>
      <c r="W27">
        <v>46.822819408638097</v>
      </c>
      <c r="X27">
        <v>47.5745749195139</v>
      </c>
      <c r="Y27">
        <v>48.338400108278897</v>
      </c>
      <c r="Z27">
        <v>49.1144887575159</v>
      </c>
      <c r="AA27">
        <v>49.903037761049298</v>
      </c>
      <c r="AB27">
        <v>50.704247173897897</v>
      </c>
      <c r="AC27">
        <v>51.518320263028301</v>
      </c>
      <c r="AD27">
        <v>52.345463558924102</v>
      </c>
      <c r="AE27">
        <v>53.1858869079825</v>
      </c>
      <c r="AF27">
        <v>54.039803525752703</v>
      </c>
      <c r="AG27">
        <v>54.907430051028399</v>
      </c>
      <c r="AH27">
        <v>55.788986600809203</v>
      </c>
      <c r="AI27">
        <v>56.684696826144197</v>
      </c>
      <c r="AJ27">
        <v>57.594787968872602</v>
      </c>
      <c r="AK27">
        <v>58.519490919274901</v>
      </c>
      <c r="AL27">
        <v>59.459040274649503</v>
      </c>
      <c r="AM27">
        <v>60.413674398830501</v>
      </c>
      <c r="AN27">
        <v>61.383635482660402</v>
      </c>
      <c r="AO27">
        <v>62.369169605434003</v>
      </c>
      <c r="AP27">
        <v>63.3705267973288</v>
      </c>
      <c r="AQ27">
        <v>64.387961102837593</v>
      </c>
      <c r="AR27">
        <v>65.421730645219796</v>
      </c>
      <c r="AS27">
        <v>66.472097691987102</v>
      </c>
      <c r="AT27">
        <v>67.539328721441194</v>
      </c>
      <c r="AU27" s="64">
        <f>'calibrage bloc PL'!D27-B27</f>
        <v>-8.2938005746768795E-5</v>
      </c>
    </row>
    <row r="28" spans="1:47">
      <c r="A28" t="s">
        <v>368</v>
      </c>
      <c r="B28">
        <v>91.601444544488302</v>
      </c>
      <c r="C28">
        <v>91.601444544488302</v>
      </c>
      <c r="D28">
        <v>91.601444544488302</v>
      </c>
      <c r="E28">
        <v>91.601444544488302</v>
      </c>
      <c r="F28">
        <v>91.601444544488302</v>
      </c>
      <c r="G28">
        <v>91.601444544488302</v>
      </c>
      <c r="H28">
        <v>91.601444544488302</v>
      </c>
      <c r="I28">
        <v>91.601444544488302</v>
      </c>
      <c r="J28">
        <v>91.601444544488302</v>
      </c>
      <c r="K28">
        <v>91.601444544488302</v>
      </c>
      <c r="L28">
        <v>91.601444544488302</v>
      </c>
      <c r="M28">
        <v>91.601444544488302</v>
      </c>
      <c r="N28">
        <v>91.601444544488302</v>
      </c>
      <c r="O28">
        <v>91.601444544488302</v>
      </c>
      <c r="P28">
        <v>91.601444544488302</v>
      </c>
      <c r="Q28">
        <v>95.386475355406702</v>
      </c>
      <c r="R28">
        <v>98.381</v>
      </c>
      <c r="S28">
        <v>97.0008380624312</v>
      </c>
      <c r="T28">
        <v>97.0008380624312</v>
      </c>
      <c r="U28">
        <v>97.0008380624312</v>
      </c>
      <c r="V28">
        <v>97.0008380624312</v>
      </c>
      <c r="W28">
        <v>98.600838062431194</v>
      </c>
      <c r="X28">
        <v>98.600838062431194</v>
      </c>
      <c r="Y28">
        <v>98.600838062431194</v>
      </c>
      <c r="Z28">
        <v>98.600838062431194</v>
      </c>
      <c r="AA28">
        <v>98.600838062431194</v>
      </c>
      <c r="AB28">
        <v>98.600838062431194</v>
      </c>
      <c r="AC28">
        <v>98.600838062431194</v>
      </c>
      <c r="AD28">
        <v>98.600838062431194</v>
      </c>
      <c r="AE28">
        <v>98.600838062431194</v>
      </c>
      <c r="AF28">
        <v>98.600838062431194</v>
      </c>
      <c r="AG28">
        <v>98.600838062431194</v>
      </c>
      <c r="AH28">
        <v>98.600838062431194</v>
      </c>
      <c r="AI28">
        <v>98.600838062431194</v>
      </c>
      <c r="AJ28">
        <v>98.600838062431194</v>
      </c>
      <c r="AK28">
        <v>98.600838062431194</v>
      </c>
      <c r="AL28">
        <v>98.600838062431194</v>
      </c>
      <c r="AM28">
        <v>98.600838062431194</v>
      </c>
      <c r="AN28">
        <v>98.600838062431194</v>
      </c>
      <c r="AO28">
        <v>98.600838062431194</v>
      </c>
      <c r="AP28">
        <v>98.600838062431194</v>
      </c>
      <c r="AQ28">
        <v>98.600838062431194</v>
      </c>
      <c r="AR28">
        <v>98.600838062431194</v>
      </c>
      <c r="AS28">
        <v>98.600838062431194</v>
      </c>
      <c r="AT28">
        <v>98.600838062431194</v>
      </c>
      <c r="AU28" s="64">
        <f>'calibrage bloc PL'!D28-B28</f>
        <v>-19.474322855914835</v>
      </c>
    </row>
    <row r="29" spans="1:47">
      <c r="A29" t="s">
        <v>369</v>
      </c>
      <c r="B29">
        <v>351.63249600466401</v>
      </c>
      <c r="C29">
        <v>351.63249600466401</v>
      </c>
      <c r="D29">
        <v>351.63249600466401</v>
      </c>
      <c r="E29">
        <v>351.63249600466401</v>
      </c>
      <c r="F29">
        <v>351.63249600466401</v>
      </c>
      <c r="G29">
        <v>351.63249600466401</v>
      </c>
      <c r="H29">
        <v>351.63249600466401</v>
      </c>
      <c r="I29">
        <v>351.63249600466401</v>
      </c>
      <c r="J29">
        <v>351.63249600466401</v>
      </c>
      <c r="K29">
        <v>351.63249600466401</v>
      </c>
      <c r="L29">
        <v>351.63249600466401</v>
      </c>
      <c r="M29">
        <v>351.63249600466401</v>
      </c>
      <c r="N29">
        <v>351.63249600466401</v>
      </c>
      <c r="O29">
        <v>351.63249600466401</v>
      </c>
      <c r="P29">
        <v>351.63249600466401</v>
      </c>
      <c r="Q29">
        <v>340.13056414031797</v>
      </c>
      <c r="R29">
        <v>375.68906946610502</v>
      </c>
      <c r="S29">
        <v>377.21933186951702</v>
      </c>
      <c r="T29">
        <v>333.98757985938198</v>
      </c>
      <c r="U29">
        <v>308.33540008158099</v>
      </c>
      <c r="V29">
        <v>250.712042136523</v>
      </c>
      <c r="W29">
        <v>230.76389246798101</v>
      </c>
      <c r="X29">
        <v>215.07141416622201</v>
      </c>
      <c r="Y29">
        <v>203.74189306402101</v>
      </c>
      <c r="Z29">
        <v>193.78324649173601</v>
      </c>
      <c r="AA29">
        <v>186.10123272316901</v>
      </c>
      <c r="AB29">
        <v>179.87353802112099</v>
      </c>
      <c r="AC29">
        <v>175.13592432985101</v>
      </c>
      <c r="AD29">
        <v>170.326786750064</v>
      </c>
      <c r="AE29">
        <v>165.44612528176</v>
      </c>
      <c r="AF29">
        <v>164.06059783233701</v>
      </c>
      <c r="AG29">
        <v>162.655997345976</v>
      </c>
      <c r="AH29">
        <v>161.23232382267699</v>
      </c>
      <c r="AI29">
        <v>159.78957726243999</v>
      </c>
      <c r="AJ29">
        <v>158.32775766526501</v>
      </c>
      <c r="AK29">
        <v>158.54828965486101</v>
      </c>
      <c r="AL29">
        <v>158.76882164445601</v>
      </c>
      <c r="AM29">
        <v>158.98935363405101</v>
      </c>
      <c r="AN29">
        <v>159.20988562364599</v>
      </c>
      <c r="AO29">
        <v>159.43041761324099</v>
      </c>
      <c r="AP29">
        <v>159.65094960283699</v>
      </c>
      <c r="AQ29">
        <v>159.87148159243199</v>
      </c>
      <c r="AR29">
        <v>160.09201358202699</v>
      </c>
      <c r="AS29">
        <v>160.312545571622</v>
      </c>
      <c r="AT29">
        <v>160.533077561217</v>
      </c>
      <c r="AU29" s="64">
        <f>'calibrage bloc PL'!D29-B29</f>
        <v>-74.756514898629348</v>
      </c>
    </row>
    <row r="30" spans="1:47">
      <c r="A30" t="s">
        <v>370</v>
      </c>
      <c r="B30">
        <v>112.74660148664</v>
      </c>
      <c r="C30">
        <v>112.74660148664</v>
      </c>
      <c r="D30">
        <v>112.74660148664</v>
      </c>
      <c r="E30">
        <v>112.74660148664</v>
      </c>
      <c r="F30">
        <v>112.74660148664</v>
      </c>
      <c r="G30">
        <v>112.74660148664</v>
      </c>
      <c r="H30">
        <v>112.74660148664</v>
      </c>
      <c r="I30">
        <v>112.74660148664</v>
      </c>
      <c r="J30">
        <v>112.74660148664</v>
      </c>
      <c r="K30">
        <v>112.74660148664</v>
      </c>
      <c r="L30">
        <v>112.74660148664</v>
      </c>
      <c r="M30">
        <v>112.74660148664</v>
      </c>
      <c r="N30">
        <v>112.74660148664</v>
      </c>
      <c r="O30">
        <v>112.74660148664</v>
      </c>
      <c r="P30">
        <v>112.74660148664</v>
      </c>
      <c r="Q30">
        <v>112.74660148664</v>
      </c>
      <c r="R30">
        <v>112.74660148664</v>
      </c>
      <c r="S30">
        <v>111.67282432962401</v>
      </c>
      <c r="T30">
        <v>110.599047172609</v>
      </c>
      <c r="U30">
        <v>109.52527001559299</v>
      </c>
      <c r="V30">
        <v>108.451492858577</v>
      </c>
      <c r="W30">
        <v>107.377715701562</v>
      </c>
      <c r="X30">
        <v>106.303938544546</v>
      </c>
      <c r="Y30">
        <v>105.230161387531</v>
      </c>
      <c r="Z30">
        <v>104.156384230515</v>
      </c>
      <c r="AA30">
        <v>104.156384230515</v>
      </c>
      <c r="AB30">
        <v>104.156384230515</v>
      </c>
      <c r="AC30">
        <v>104.156384230515</v>
      </c>
      <c r="AD30">
        <v>104.156384230515</v>
      </c>
      <c r="AE30">
        <v>104.156384230515</v>
      </c>
      <c r="AF30">
        <v>104.156384230515</v>
      </c>
      <c r="AG30">
        <v>104.156384230515</v>
      </c>
      <c r="AH30">
        <v>104.156384230515</v>
      </c>
      <c r="AI30">
        <v>104.156384230515</v>
      </c>
      <c r="AJ30">
        <v>104.156384230515</v>
      </c>
      <c r="AK30">
        <v>104.156384230515</v>
      </c>
      <c r="AL30">
        <v>104.156384230515</v>
      </c>
      <c r="AM30">
        <v>104.156384230515</v>
      </c>
      <c r="AN30">
        <v>104.156384230515</v>
      </c>
      <c r="AO30">
        <v>104.156384230515</v>
      </c>
      <c r="AP30">
        <v>104.156384230515</v>
      </c>
      <c r="AQ30">
        <v>104.156384230515</v>
      </c>
      <c r="AR30">
        <v>104.156384230515</v>
      </c>
      <c r="AS30">
        <v>104.156384230515</v>
      </c>
      <c r="AT30">
        <v>104.156384230515</v>
      </c>
      <c r="AU30" s="64">
        <f>'calibrage bloc PL'!D30-B30</f>
        <v>-23.969749922356542</v>
      </c>
    </row>
    <row r="31" spans="1:47">
      <c r="A31" t="s">
        <v>371</v>
      </c>
      <c r="B31">
        <v>5.28086191461189</v>
      </c>
      <c r="C31">
        <v>5.3656478607941702</v>
      </c>
      <c r="D31">
        <v>5.4517950727672</v>
      </c>
      <c r="E31">
        <v>5.5393254060935604</v>
      </c>
      <c r="F31">
        <v>5.6282610672339599</v>
      </c>
      <c r="G31">
        <v>5.7186246191810302</v>
      </c>
      <c r="H31">
        <v>5.8104389871835203</v>
      </c>
      <c r="I31">
        <v>5.9037274645625004</v>
      </c>
      <c r="J31">
        <v>5.99851371862081</v>
      </c>
      <c r="K31">
        <v>6.0948217966474996</v>
      </c>
      <c r="L31">
        <v>6.1926761320186499</v>
      </c>
      <c r="M31">
        <v>6.29210155039606</v>
      </c>
      <c r="N31">
        <v>6.3931232760255803</v>
      </c>
      <c r="O31">
        <v>6.4957669381364802</v>
      </c>
      <c r="P31">
        <v>6.60005857744361</v>
      </c>
      <c r="Q31">
        <v>6.7060246527539098</v>
      </c>
      <c r="R31">
        <v>6.8136920476790097</v>
      </c>
      <c r="S31">
        <v>6.9230880774556303</v>
      </c>
      <c r="T31">
        <v>7.0342404958754701</v>
      </c>
      <c r="U31">
        <v>7.1471775023263104</v>
      </c>
      <c r="V31">
        <v>7.2619277489462197</v>
      </c>
      <c r="W31">
        <v>7.37852034789264</v>
      </c>
      <c r="X31">
        <v>7.4969848787280897</v>
      </c>
      <c r="Y31">
        <v>7.6173513959245396</v>
      </c>
      <c r="Z31">
        <v>7.7396504364882297</v>
      </c>
      <c r="AA31">
        <v>7.8639130277069098</v>
      </c>
      <c r="AB31">
        <v>7.9901706950214901</v>
      </c>
      <c r="AC31">
        <v>8.1184554700239993</v>
      </c>
      <c r="AD31">
        <v>8.2487998985840605</v>
      </c>
      <c r="AE31">
        <v>8.3812370491057493</v>
      </c>
      <c r="AF31">
        <v>8.5158005209170806</v>
      </c>
      <c r="AG31">
        <v>8.6525244527941307</v>
      </c>
      <c r="AH31">
        <v>8.7914435316220807</v>
      </c>
      <c r="AI31">
        <v>8.9325930011952508</v>
      </c>
      <c r="AJ31">
        <v>9.0760086711585206</v>
      </c>
      <c r="AK31">
        <v>9.2217269260921508</v>
      </c>
      <c r="AL31">
        <v>9.3697847347426499</v>
      </c>
      <c r="AM31">
        <v>9.5202196594016897</v>
      </c>
      <c r="AN31">
        <v>9.6730698654356893</v>
      </c>
      <c r="AO31">
        <v>9.8283741309683599</v>
      </c>
      <c r="AP31">
        <v>9.9861718567187392</v>
      </c>
      <c r="AQ31">
        <v>10.146503075997099</v>
      </c>
      <c r="AR31">
        <v>10.309408464861701</v>
      </c>
      <c r="AS31">
        <v>10.4749293524377</v>
      </c>
      <c r="AT31">
        <v>10.643107731402999</v>
      </c>
      <c r="AU31" s="64">
        <f>'calibrage bloc PL'!D31-B31</f>
        <v>-0.86762179195581535</v>
      </c>
    </row>
    <row r="32" spans="1:47">
      <c r="A32" t="s">
        <v>372</v>
      </c>
      <c r="B32">
        <v>1.8886727828924799E-2</v>
      </c>
      <c r="C32">
        <v>1.9189960353303399E-2</v>
      </c>
      <c r="D32">
        <v>1.9498061373944199E-2</v>
      </c>
      <c r="E32">
        <v>1.9811109056129501E-2</v>
      </c>
      <c r="F32">
        <v>2.0129182820110499E-2</v>
      </c>
      <c r="G32">
        <v>2.0452363361255999E-2</v>
      </c>
      <c r="H32">
        <v>2.0780732670525302E-2</v>
      </c>
      <c r="I32">
        <v>2.11143740552691E-2</v>
      </c>
      <c r="J32">
        <v>2.1453372160364199E-2</v>
      </c>
      <c r="K32">
        <v>2.1797812989688699E-2</v>
      </c>
      <c r="L32">
        <v>2.21477839279406E-2</v>
      </c>
      <c r="M32">
        <v>2.25033737628073E-2</v>
      </c>
      <c r="N32">
        <v>2.28646727074917E-2</v>
      </c>
      <c r="O32">
        <v>2.3231772423598401E-2</v>
      </c>
      <c r="P32">
        <v>2.3604766044388999E-2</v>
      </c>
      <c r="Q32">
        <v>2.39837481984096E-2</v>
      </c>
      <c r="R32">
        <v>2.4368815033498199E-2</v>
      </c>
      <c r="S32">
        <v>2.47600642411776E-2</v>
      </c>
      <c r="T32">
        <v>2.5157595081439402E-2</v>
      </c>
      <c r="U32">
        <v>2.5561508407926599E-2</v>
      </c>
      <c r="V32">
        <v>2.5971906693520001E-2</v>
      </c>
      <c r="W32">
        <v>2.63888940563357E-2</v>
      </c>
      <c r="X32">
        <v>2.6812576286139801E-2</v>
      </c>
      <c r="Y32">
        <v>2.7243060871187399E-2</v>
      </c>
      <c r="Z32">
        <v>2.7680457025491999E-2</v>
      </c>
      <c r="AA32">
        <v>2.8124875716533802E-2</v>
      </c>
      <c r="AB32">
        <v>2.8576429693411499E-2</v>
      </c>
      <c r="AC32">
        <v>2.90352335154473E-2</v>
      </c>
      <c r="AD32">
        <v>2.95014035812502E-2</v>
      </c>
      <c r="AE32">
        <v>2.9975058158246599E-2</v>
      </c>
      <c r="AF32">
        <v>3.0456317412684501E-2</v>
      </c>
      <c r="AG32">
        <v>3.0945303440120201E-2</v>
      </c>
      <c r="AH32">
        <v>3.1442140296393299E-2</v>
      </c>
      <c r="AI32">
        <v>3.1946954029100298E-2</v>
      </c>
      <c r="AJ32">
        <v>3.2459872709572603E-2</v>
      </c>
      <c r="AK32">
        <v>3.2981026465368102E-2</v>
      </c>
      <c r="AL32">
        <v>3.3510547513284902E-2</v>
      </c>
      <c r="AM32">
        <v>3.4048570192904401E-2</v>
      </c>
      <c r="AN32">
        <v>3.4595231000673597E-2</v>
      </c>
      <c r="AO32">
        <v>3.51506686245339E-2</v>
      </c>
      <c r="AP32">
        <v>3.5715023979106697E-2</v>
      </c>
      <c r="AQ32">
        <v>3.62884402414431E-2</v>
      </c>
      <c r="AR32">
        <v>3.6871062887348101E-2</v>
      </c>
      <c r="AS32">
        <v>3.7463039728287698E-2</v>
      </c>
      <c r="AT32">
        <v>3.8064520948888902E-2</v>
      </c>
      <c r="AU32" s="64">
        <f>'calibrage bloc PL'!D32-B32</f>
        <v>-1.8500263496608046E-2</v>
      </c>
    </row>
    <row r="33" spans="1:47">
      <c r="A33" t="s">
        <v>373</v>
      </c>
      <c r="B33">
        <v>8.5861645737783307E-3</v>
      </c>
      <c r="C33">
        <v>8.7240182232839608E-3</v>
      </c>
      <c r="D33">
        <v>8.8640851577224296E-3</v>
      </c>
      <c r="E33">
        <v>9.0064009120992498E-3</v>
      </c>
      <c r="F33">
        <v>9.15100159194592E-3</v>
      </c>
      <c r="G33">
        <v>9.2979238824799498E-3</v>
      </c>
      <c r="H33">
        <v>9.4472050579118595E-3</v>
      </c>
      <c r="I33">
        <v>9.5988829909016901E-3</v>
      </c>
      <c r="J33">
        <v>9.7529961621673003E-3</v>
      </c>
      <c r="K33">
        <v>9.9095836702468906E-3</v>
      </c>
      <c r="L33">
        <v>1.0068685241418299E-2</v>
      </c>
      <c r="M33">
        <v>1.02303412397778E-2</v>
      </c>
      <c r="N33">
        <v>1.0394592677480099E-2</v>
      </c>
      <c r="O33">
        <v>1.0561481225143299E-2</v>
      </c>
      <c r="P33">
        <v>1.0731049222420901E-2</v>
      </c>
      <c r="Q33">
        <v>1.09033396887431E-2</v>
      </c>
      <c r="R33">
        <v>1.1078396334231E-2</v>
      </c>
      <c r="S33">
        <v>1.12562635707859E-2</v>
      </c>
      <c r="T33">
        <v>1.14369865233565E-2</v>
      </c>
      <c r="U33">
        <v>1.16206110413871E-2</v>
      </c>
      <c r="V33">
        <v>1.18071837104497E-2</v>
      </c>
      <c r="W33">
        <v>1.19967518640627E-2</v>
      </c>
      <c r="X33">
        <v>1.2189363595699601E-2</v>
      </c>
      <c r="Y33">
        <v>1.23850677709899E-2</v>
      </c>
      <c r="Z33">
        <v>1.25839140401168E-2</v>
      </c>
      <c r="AA33">
        <v>1.27859528504132E-2</v>
      </c>
      <c r="AB33">
        <v>1.29912354591603E-2</v>
      </c>
      <c r="AC33">
        <v>1.31998139465913E-2</v>
      </c>
      <c r="AD33">
        <v>1.3411741229104599E-2</v>
      </c>
      <c r="AE33">
        <v>1.36270710726885E-2</v>
      </c>
      <c r="AF33">
        <v>1.38458581065615E-2</v>
      </c>
      <c r="AG33">
        <v>1.4068157837032099E-2</v>
      </c>
      <c r="AH33">
        <v>1.42940266615802E-2</v>
      </c>
      <c r="AI33">
        <v>1.45235218831658E-2</v>
      </c>
      <c r="AJ33">
        <v>1.47567017247663E-2</v>
      </c>
      <c r="AK33">
        <v>1.4993625344147801E-2</v>
      </c>
      <c r="AL33">
        <v>1.52343528488737E-2</v>
      </c>
      <c r="AM33">
        <v>1.54789453115534E-2</v>
      </c>
      <c r="AN33">
        <v>1.5727464785337101E-2</v>
      </c>
      <c r="AO33">
        <v>1.5979974319658301E-2</v>
      </c>
      <c r="AP33">
        <v>1.6236537976229599E-2</v>
      </c>
      <c r="AQ33">
        <v>1.64972208452949E-2</v>
      </c>
      <c r="AR33">
        <v>1.6762089062143399E-2</v>
      </c>
      <c r="AS33">
        <v>1.7031209823887498E-2</v>
      </c>
      <c r="AT33">
        <v>1.7304651406510899E-2</v>
      </c>
      <c r="AU33" s="64">
        <f>'calibrage bloc PL'!D33-B33</f>
        <v>-7.5808916519244053E-3</v>
      </c>
    </row>
    <row r="34" spans="1:47">
      <c r="A34" t="s">
        <v>374</v>
      </c>
      <c r="B34">
        <v>1958.5221502485899</v>
      </c>
      <c r="C34">
        <v>1989.96685687277</v>
      </c>
      <c r="D34">
        <v>2021.9164184328799</v>
      </c>
      <c r="E34">
        <v>2054.3789405382099</v>
      </c>
      <c r="F34">
        <v>2087.3626589362502</v>
      </c>
      <c r="G34">
        <v>2120.8759416020598</v>
      </c>
      <c r="H34">
        <v>2154.9272908612402</v>
      </c>
      <c r="I34">
        <v>2189.5253455470001</v>
      </c>
      <c r="J34">
        <v>2224.6788831918002</v>
      </c>
      <c r="K34">
        <v>2260.3968222542098</v>
      </c>
      <c r="L34">
        <v>2296.6882243815699</v>
      </c>
      <c r="M34">
        <v>2333.5622967088798</v>
      </c>
      <c r="N34">
        <v>2371.02839419465</v>
      </c>
      <c r="O34">
        <v>2409.0960219943099</v>
      </c>
      <c r="P34">
        <v>2447.7748378716101</v>
      </c>
      <c r="Q34">
        <v>2487.0746546488499</v>
      </c>
      <c r="R34">
        <v>2527.0054426963302</v>
      </c>
      <c r="S34">
        <v>2567.5773324618899</v>
      </c>
      <c r="T34">
        <v>2608.8006170409799</v>
      </c>
      <c r="U34">
        <v>2650.68575478804</v>
      </c>
      <c r="V34">
        <v>2693.2433719697701</v>
      </c>
      <c r="W34">
        <v>2736.4842654609902</v>
      </c>
      <c r="X34">
        <v>2780.4194054838799</v>
      </c>
      <c r="Y34">
        <v>2825.0599383910699</v>
      </c>
      <c r="Z34">
        <v>2870.4171894934698</v>
      </c>
      <c r="AA34">
        <v>2916.5026659335299</v>
      </c>
      <c r="AB34">
        <v>2963.3280596046102</v>
      </c>
      <c r="AC34">
        <v>3010.90525011718</v>
      </c>
      <c r="AD34">
        <v>3059.2463078127098</v>
      </c>
      <c r="AE34">
        <v>3108.3634968258998</v>
      </c>
      <c r="AF34">
        <v>3158.2692781961</v>
      </c>
      <c r="AG34">
        <v>3208.9763130286801</v>
      </c>
      <c r="AH34">
        <v>3260.4974657071598</v>
      </c>
      <c r="AI34">
        <v>3312.8458071568698</v>
      </c>
      <c r="AJ34">
        <v>3366.0346181611199</v>
      </c>
      <c r="AK34">
        <v>3420.0773927304399</v>
      </c>
      <c r="AL34">
        <v>3474.9878415261001</v>
      </c>
      <c r="AM34">
        <v>3530.7798953384699</v>
      </c>
      <c r="AN34">
        <v>3587.46770862125</v>
      </c>
      <c r="AO34">
        <v>3645.0656630824701</v>
      </c>
      <c r="AP34">
        <v>3703.58837133315</v>
      </c>
      <c r="AQ34">
        <v>3763.0506805945101</v>
      </c>
      <c r="AR34">
        <v>3823.4676764646902</v>
      </c>
      <c r="AS34">
        <v>3884.85468674599</v>
      </c>
      <c r="AT34">
        <v>3947.2272853335498</v>
      </c>
      <c r="AU34" s="64">
        <f>'calibrage bloc PL'!D34-B34</f>
        <v>-123.45003616793224</v>
      </c>
    </row>
    <row r="35" spans="1:47">
      <c r="A35" t="s">
        <v>375</v>
      </c>
      <c r="B35">
        <v>6.1484770782940101</v>
      </c>
      <c r="C35">
        <v>6.2471928665672802</v>
      </c>
      <c r="D35">
        <v>6.3474935687518004</v>
      </c>
      <c r="E35">
        <v>6.4494046311530804</v>
      </c>
      <c r="F35">
        <v>6.5529519086252801</v>
      </c>
      <c r="G35">
        <v>6.6581616711306202</v>
      </c>
      <c r="H35">
        <v>6.7650606104040296</v>
      </c>
      <c r="I35">
        <v>6.8736758467249199</v>
      </c>
      <c r="J35">
        <v>6.9840349357975402</v>
      </c>
      <c r="K35">
        <v>7.09616587574188</v>
      </c>
      <c r="L35">
        <v>7.2100971141968104</v>
      </c>
      <c r="M35">
        <v>7.3258575555372296</v>
      </c>
      <c r="N35">
        <v>7.4434765682071404</v>
      </c>
      <c r="O35">
        <v>7.5629839921704196</v>
      </c>
      <c r="P35">
        <v>7.68441014648121</v>
      </c>
      <c r="Q35">
        <v>7.8077858369758504</v>
      </c>
      <c r="R35">
        <v>7.93314236408838</v>
      </c>
      <c r="S35">
        <v>8.0605115307914303</v>
      </c>
      <c r="T35">
        <v>8.1899256506646196</v>
      </c>
      <c r="U35">
        <v>8.3214175560925501</v>
      </c>
      <c r="V35">
        <v>8.45502060659439</v>
      </c>
      <c r="W35">
        <v>8.5907686972871602</v>
      </c>
      <c r="X35">
        <v>8.7286962674849793</v>
      </c>
      <c r="Y35">
        <v>8.8688383094362599</v>
      </c>
      <c r="Z35">
        <v>9.0112303772012901</v>
      </c>
      <c r="AA35">
        <v>9.1559085956723099</v>
      </c>
      <c r="AB35">
        <v>9.30290966973838</v>
      </c>
      <c r="AC35">
        <v>9.4522708935974205</v>
      </c>
      <c r="AD35">
        <v>9.6040301602177802</v>
      </c>
      <c r="AE35">
        <v>9.7582259709516492</v>
      </c>
      <c r="AF35">
        <v>9.9148974453029002</v>
      </c>
      <c r="AG35">
        <v>10.074084330851599</v>
      </c>
      <c r="AH35">
        <v>10.235827013338399</v>
      </c>
      <c r="AI35">
        <v>10.400166526909601</v>
      </c>
      <c r="AJ35">
        <v>10.5671445645283</v>
      </c>
      <c r="AK35">
        <v>10.736803488551599</v>
      </c>
      <c r="AL35">
        <v>10.9091863414777</v>
      </c>
      <c r="AM35">
        <v>11.0843368568665</v>
      </c>
      <c r="AN35">
        <v>11.262299470433801</v>
      </c>
      <c r="AO35">
        <v>11.443119331325599</v>
      </c>
      <c r="AP35">
        <v>11.626842313571901</v>
      </c>
      <c r="AQ35">
        <v>11.813515027725</v>
      </c>
      <c r="AR35">
        <v>12.0031848326848</v>
      </c>
      <c r="AS35">
        <v>12.195899847713701</v>
      </c>
      <c r="AT35">
        <v>12.3917089646443</v>
      </c>
      <c r="AU35" s="64">
        <f>'calibrage bloc PL'!D35-B35</f>
        <v>-5.7765745224333118</v>
      </c>
    </row>
    <row r="36" spans="1:47">
      <c r="A36" t="s">
        <v>376</v>
      </c>
      <c r="B36">
        <v>20.988721588517599</v>
      </c>
      <c r="C36">
        <v>21.3257023026156</v>
      </c>
      <c r="D36">
        <v>21.668093351077999</v>
      </c>
      <c r="E36">
        <v>22.0159815985729</v>
      </c>
      <c r="F36">
        <v>22.369455304409001</v>
      </c>
      <c r="G36">
        <v>22.728604144926599</v>
      </c>
      <c r="H36">
        <v>23.093519236248799</v>
      </c>
      <c r="I36">
        <v>23.464293157397201</v>
      </c>
      <c r="J36">
        <v>23.8410199737799</v>
      </c>
      <c r="K36">
        <v>24.223795261055301</v>
      </c>
      <c r="L36">
        <v>24.6127161293801</v>
      </c>
      <c r="M36">
        <v>25.007881248045901</v>
      </c>
      <c r="N36">
        <v>25.4093908705117</v>
      </c>
      <c r="O36">
        <v>25.8173468598381</v>
      </c>
      <c r="P36">
        <v>26.231852714530302</v>
      </c>
      <c r="Q36">
        <v>26.653013594795201</v>
      </c>
      <c r="R36">
        <v>27.080936349221201</v>
      </c>
      <c r="S36">
        <v>27.515729541885001</v>
      </c>
      <c r="T36">
        <v>27.9575034798949</v>
      </c>
      <c r="U36">
        <v>28.406370241375299</v>
      </c>
      <c r="V36">
        <v>28.862443703901398</v>
      </c>
      <c r="W36">
        <v>29.325839573389501</v>
      </c>
      <c r="X36">
        <v>29.796675413451801</v>
      </c>
      <c r="Y36">
        <v>30.275070675222501</v>
      </c>
      <c r="Z36">
        <v>30.7611467276623</v>
      </c>
      <c r="AA36">
        <v>31.2550268883498</v>
      </c>
      <c r="AB36">
        <v>31.7568364547671</v>
      </c>
      <c r="AC36">
        <v>32.266702736088199</v>
      </c>
      <c r="AD36">
        <v>32.784755085476803</v>
      </c>
      <c r="AE36">
        <v>33.311124932903702</v>
      </c>
      <c r="AF36">
        <v>33.845945818490101</v>
      </c>
      <c r="AG36">
        <v>34.389353426387302</v>
      </c>
      <c r="AH36">
        <v>34.941485619199497</v>
      </c>
      <c r="AI36">
        <v>35.5024824729595</v>
      </c>
      <c r="AJ36">
        <v>36.0724863126662</v>
      </c>
      <c r="AK36">
        <v>36.6516417483924</v>
      </c>
      <c r="AL36">
        <v>37.240095711972202</v>
      </c>
      <c r="AM36">
        <v>37.837997494278198</v>
      </c>
      <c r="AN36">
        <v>38.4454987830959</v>
      </c>
      <c r="AO36">
        <v>39.062753701607498</v>
      </c>
      <c r="AP36">
        <v>39.6899188474925</v>
      </c>
      <c r="AQ36">
        <v>40.327153332656998</v>
      </c>
      <c r="AR36">
        <v>40.974618823600103</v>
      </c>
      <c r="AS36">
        <v>41.632479582428999</v>
      </c>
      <c r="AT36">
        <v>42.300902508531998</v>
      </c>
      <c r="AU36" s="64">
        <f>'calibrage bloc PL'!D36-B36</f>
        <v>-18.531356396091226</v>
      </c>
    </row>
    <row r="37" spans="1:47">
      <c r="A37" t="s">
        <v>272</v>
      </c>
      <c r="B37">
        <v>25.1496587238811</v>
      </c>
      <c r="C37">
        <v>25.1496587238811</v>
      </c>
      <c r="D37">
        <v>25.1496587238811</v>
      </c>
      <c r="E37">
        <v>25.1496587238811</v>
      </c>
      <c r="F37">
        <v>25.1496587238811</v>
      </c>
      <c r="G37">
        <v>25.1496587238811</v>
      </c>
      <c r="H37">
        <v>25.1496587238811</v>
      </c>
      <c r="I37">
        <v>25.1496587238811</v>
      </c>
      <c r="J37">
        <v>25.1496587238811</v>
      </c>
      <c r="K37">
        <v>25.1496587238811</v>
      </c>
      <c r="L37">
        <v>25.1496587238811</v>
      </c>
      <c r="M37">
        <v>25.1496587238811</v>
      </c>
      <c r="N37">
        <v>25.1496587238811</v>
      </c>
      <c r="O37">
        <v>25.1496587238811</v>
      </c>
      <c r="P37">
        <v>25.1496587238811</v>
      </c>
      <c r="Q37">
        <v>25.1496587238811</v>
      </c>
      <c r="R37">
        <v>25.1496587238811</v>
      </c>
      <c r="S37">
        <v>25.1496587238811</v>
      </c>
      <c r="T37">
        <v>25.1496587238811</v>
      </c>
      <c r="U37">
        <v>25.1496587238811</v>
      </c>
      <c r="V37">
        <v>25.1496587238811</v>
      </c>
      <c r="W37">
        <v>25.1496587238811</v>
      </c>
      <c r="X37">
        <v>25.1496587238811</v>
      </c>
      <c r="Y37">
        <v>25.1496587238811</v>
      </c>
      <c r="Z37">
        <v>25.1496587238811</v>
      </c>
      <c r="AA37">
        <v>25.1496587238811</v>
      </c>
      <c r="AB37">
        <v>25.1496587238811</v>
      </c>
      <c r="AC37">
        <v>25.1496587238811</v>
      </c>
      <c r="AD37">
        <v>25.1496587238811</v>
      </c>
      <c r="AE37">
        <v>25.1496587238811</v>
      </c>
      <c r="AF37">
        <v>25.1496587238811</v>
      </c>
      <c r="AG37">
        <v>25.1496587238811</v>
      </c>
      <c r="AH37">
        <v>25.1496587238811</v>
      </c>
      <c r="AI37">
        <v>25.1496587238811</v>
      </c>
      <c r="AJ37">
        <v>25.1496587238811</v>
      </c>
      <c r="AK37">
        <v>25.1496587238811</v>
      </c>
      <c r="AL37">
        <v>25.1496587238811</v>
      </c>
      <c r="AM37">
        <v>25.1496587238811</v>
      </c>
      <c r="AN37">
        <v>25.1496587238811</v>
      </c>
      <c r="AO37">
        <v>25.1496587238811</v>
      </c>
      <c r="AP37">
        <v>25.1496587238811</v>
      </c>
      <c r="AQ37">
        <v>25.1496587238811</v>
      </c>
      <c r="AR37">
        <v>25.1496587238811</v>
      </c>
      <c r="AS37">
        <v>25.1496587238811</v>
      </c>
      <c r="AT37">
        <v>25.1496587238811</v>
      </c>
      <c r="AU37" s="64">
        <f>'calibrage bloc PL'!D37-B37</f>
        <v>7.815970093361102E-14</v>
      </c>
    </row>
    <row r="38" spans="1:47">
      <c r="A38" t="s">
        <v>273</v>
      </c>
      <c r="B38">
        <v>30.678899201992301</v>
      </c>
      <c r="C38">
        <v>30.678899201992301</v>
      </c>
      <c r="D38">
        <v>30.678899201992301</v>
      </c>
      <c r="E38">
        <v>30.678899201992301</v>
      </c>
      <c r="F38">
        <v>30.678899201992301</v>
      </c>
      <c r="G38">
        <v>30.678899201992301</v>
      </c>
      <c r="H38">
        <v>30.678899201992301</v>
      </c>
      <c r="I38">
        <v>30.678899201992301</v>
      </c>
      <c r="J38">
        <v>30.678899201992301</v>
      </c>
      <c r="K38">
        <v>30.678899201992301</v>
      </c>
      <c r="L38">
        <v>30.678899201992301</v>
      </c>
      <c r="M38">
        <v>30.678899201992301</v>
      </c>
      <c r="N38">
        <v>30.678899201992301</v>
      </c>
      <c r="O38">
        <v>30.678899201992301</v>
      </c>
      <c r="P38">
        <v>30.678899201992301</v>
      </c>
      <c r="Q38">
        <v>30.845801891234501</v>
      </c>
      <c r="R38">
        <v>31.8697093568348</v>
      </c>
      <c r="S38">
        <v>31.897856000000001</v>
      </c>
      <c r="T38">
        <v>31.141691314641701</v>
      </c>
      <c r="U38">
        <v>30.383714392523299</v>
      </c>
      <c r="V38">
        <v>29.846728971962602</v>
      </c>
      <c r="W38">
        <v>29.716154082140399</v>
      </c>
      <c r="X38">
        <v>29.552028044077399</v>
      </c>
      <c r="Y38">
        <v>29.3543508577736</v>
      </c>
      <c r="Z38">
        <v>29.1231225232291</v>
      </c>
      <c r="AA38">
        <v>28.714183527868201</v>
      </c>
      <c r="AB38">
        <v>28.305244532507199</v>
      </c>
      <c r="AC38">
        <v>28.077526600123399</v>
      </c>
      <c r="AD38">
        <v>27.849808667739499</v>
      </c>
      <c r="AE38">
        <v>27.622090735355599</v>
      </c>
      <c r="AF38">
        <v>27.547564866575499</v>
      </c>
      <c r="AG38">
        <v>27.4730389977953</v>
      </c>
      <c r="AH38">
        <v>27.3985131290151</v>
      </c>
      <c r="AI38">
        <v>27.323987260234901</v>
      </c>
      <c r="AJ38">
        <v>27.249461391454801</v>
      </c>
      <c r="AK38">
        <v>27.249461391454801</v>
      </c>
      <c r="AL38">
        <v>27.249461391454801</v>
      </c>
      <c r="AM38">
        <v>27.249461391454801</v>
      </c>
      <c r="AN38">
        <v>27.249461391454801</v>
      </c>
      <c r="AO38">
        <v>27.249461391454801</v>
      </c>
      <c r="AP38">
        <v>27.249461391454801</v>
      </c>
      <c r="AQ38">
        <v>27.249461391454801</v>
      </c>
      <c r="AR38">
        <v>27.249461391454801</v>
      </c>
      <c r="AS38">
        <v>27.249461391454801</v>
      </c>
      <c r="AT38">
        <v>27.249461391454801</v>
      </c>
      <c r="AU38" s="64">
        <f>'calibrage bloc PL'!D38-B38</f>
        <v>0</v>
      </c>
    </row>
    <row r="39" spans="1:47">
      <c r="A39" t="s">
        <v>274</v>
      </c>
      <c r="B39">
        <v>27.749947774553501</v>
      </c>
      <c r="C39">
        <v>27.749947774553501</v>
      </c>
      <c r="D39">
        <v>27.749947774553501</v>
      </c>
      <c r="E39">
        <v>27.749947774553501</v>
      </c>
      <c r="F39">
        <v>27.749947774553501</v>
      </c>
      <c r="G39">
        <v>27.749947774553501</v>
      </c>
      <c r="H39">
        <v>27.749947774553501</v>
      </c>
      <c r="I39">
        <v>27.749947774553501</v>
      </c>
      <c r="J39">
        <v>27.749947774553501</v>
      </c>
      <c r="K39">
        <v>27.749947774553501</v>
      </c>
      <c r="L39">
        <v>27.749947774553501</v>
      </c>
      <c r="M39">
        <v>27.749947774553501</v>
      </c>
      <c r="N39">
        <v>27.749947774553501</v>
      </c>
      <c r="O39">
        <v>27.749947774553501</v>
      </c>
      <c r="P39">
        <v>27.749947774553501</v>
      </c>
      <c r="Q39">
        <v>27.749947774553501</v>
      </c>
      <c r="R39">
        <v>27.749947774553501</v>
      </c>
      <c r="S39">
        <v>27.749947774553501</v>
      </c>
      <c r="T39">
        <v>27.749947774553501</v>
      </c>
      <c r="U39">
        <v>27.749947774553501</v>
      </c>
      <c r="V39">
        <v>27.749947774553501</v>
      </c>
      <c r="W39">
        <v>27.749947774553501</v>
      </c>
      <c r="X39">
        <v>27.749947774553501</v>
      </c>
      <c r="Y39">
        <v>27.749947774553501</v>
      </c>
      <c r="Z39">
        <v>27.749947774553501</v>
      </c>
      <c r="AA39">
        <v>27.749947774553501</v>
      </c>
      <c r="AB39">
        <v>27.749947774553501</v>
      </c>
      <c r="AC39">
        <v>27.749947774553501</v>
      </c>
      <c r="AD39">
        <v>27.749947774553501</v>
      </c>
      <c r="AE39">
        <v>27.749947774553501</v>
      </c>
      <c r="AF39">
        <v>27.749947774553501</v>
      </c>
      <c r="AG39">
        <v>27.749947774553501</v>
      </c>
      <c r="AH39">
        <v>27.749947774553501</v>
      </c>
      <c r="AI39">
        <v>27.749947774553501</v>
      </c>
      <c r="AJ39">
        <v>27.749947774553501</v>
      </c>
      <c r="AK39">
        <v>27.749947774553501</v>
      </c>
      <c r="AL39">
        <v>27.749947774553501</v>
      </c>
      <c r="AM39">
        <v>27.749947774553501</v>
      </c>
      <c r="AN39">
        <v>27.749947774553501</v>
      </c>
      <c r="AO39">
        <v>27.749947774553501</v>
      </c>
      <c r="AP39">
        <v>27.749947774553501</v>
      </c>
      <c r="AQ39">
        <v>27.749947774553501</v>
      </c>
      <c r="AR39">
        <v>27.749947774553501</v>
      </c>
      <c r="AS39">
        <v>27.749947774553501</v>
      </c>
      <c r="AT39">
        <v>27.749947774553501</v>
      </c>
      <c r="AU39" s="64">
        <f>'calibrage bloc PL'!D39-B39</f>
        <v>5.3290705182007514E-14</v>
      </c>
    </row>
    <row r="40" spans="1:47">
      <c r="A40" t="s">
        <v>377</v>
      </c>
      <c r="B40">
        <v>6991.8985512772697</v>
      </c>
      <c r="C40">
        <v>7104.1557441117002</v>
      </c>
      <c r="D40">
        <v>7218.2152624876899</v>
      </c>
      <c r="E40">
        <v>7334.1060433248103</v>
      </c>
      <c r="F40">
        <v>7451.8574881342101</v>
      </c>
      <c r="G40">
        <v>7571.4994704778001</v>
      </c>
      <c r="H40">
        <v>7693.0623435472198</v>
      </c>
      <c r="I40">
        <v>7816.5769478643897</v>
      </c>
      <c r="J40">
        <v>7942.0746191058097</v>
      </c>
      <c r="K40">
        <v>8069.58719605238</v>
      </c>
      <c r="L40">
        <v>8199.1470286669391</v>
      </c>
      <c r="M40">
        <v>8330.7869863014294</v>
      </c>
      <c r="N40">
        <v>8464.5404660359</v>
      </c>
      <c r="O40">
        <v>8600.4414011512999</v>
      </c>
      <c r="P40">
        <v>8738.5242697383801</v>
      </c>
      <c r="Q40">
        <v>8878.8241034447892</v>
      </c>
      <c r="R40">
        <v>9021.3764963626309</v>
      </c>
      <c r="S40">
        <v>9166.2176140586398</v>
      </c>
      <c r="T40">
        <v>9313.3842027494502</v>
      </c>
      <c r="U40">
        <v>9462.9135986240708</v>
      </c>
      <c r="V40">
        <v>9614.8437373161105</v>
      </c>
      <c r="W40">
        <v>9769.2131635280402</v>
      </c>
      <c r="X40">
        <v>9926.0610408100201</v>
      </c>
      <c r="Y40">
        <v>10085.4271614956</v>
      </c>
      <c r="Z40">
        <v>10247.3519567973</v>
      </c>
      <c r="AA40">
        <v>10411.8765070635</v>
      </c>
      <c r="AB40">
        <v>10579.042552201299</v>
      </c>
      <c r="AC40">
        <v>10748.8925022652</v>
      </c>
      <c r="AD40">
        <v>10921.4694482169</v>
      </c>
      <c r="AE40">
        <v>11096.8171728574</v>
      </c>
      <c r="AF40">
        <v>11274.9801619348</v>
      </c>
      <c r="AG40">
        <v>11456.0036154303</v>
      </c>
      <c r="AH40">
        <v>11639.9334590254</v>
      </c>
      <c r="AI40">
        <v>11826.816355753201</v>
      </c>
      <c r="AJ40">
        <v>12016.699717837</v>
      </c>
      <c r="AK40">
        <v>12209.6317187185</v>
      </c>
      <c r="AL40">
        <v>12405.6613052798</v>
      </c>
      <c r="AM40">
        <v>12604.838210260999</v>
      </c>
      <c r="AN40">
        <v>12807.212964877101</v>
      </c>
      <c r="AO40">
        <v>13012.8369116387</v>
      </c>
      <c r="AP40">
        <v>13221.762217376399</v>
      </c>
      <c r="AQ40">
        <v>13434.0418864765</v>
      </c>
      <c r="AR40">
        <v>13649.7297743279</v>
      </c>
      <c r="AS40">
        <v>13868.8806009849</v>
      </c>
      <c r="AT40">
        <v>14091.549965050201</v>
      </c>
      <c r="AU40" s="64">
        <f>'calibrage bloc PL'!D40-B40</f>
        <v>-6.5412772701165522E-3</v>
      </c>
    </row>
    <row r="41" spans="1:47">
      <c r="A41" t="s">
        <v>378</v>
      </c>
      <c r="B41">
        <v>6850</v>
      </c>
      <c r="C41">
        <v>6959.9789656952798</v>
      </c>
      <c r="D41">
        <v>7071.7236792584999</v>
      </c>
      <c r="E41">
        <v>7185.2624903428296</v>
      </c>
      <c r="F41">
        <v>7300.6242037642896</v>
      </c>
      <c r="G41">
        <v>7417.8380868095301</v>
      </c>
      <c r="H41">
        <v>7536.9338766609699</v>
      </c>
      <c r="I41">
        <v>7657.9417879411003</v>
      </c>
      <c r="J41">
        <v>7780.8925203779499</v>
      </c>
      <c r="K41">
        <v>7905.8172665936199</v>
      </c>
      <c r="L41">
        <v>8032.74772001783</v>
      </c>
      <c r="M41">
        <v>8161.7160829285904</v>
      </c>
      <c r="N41">
        <v>8292.7550746218694</v>
      </c>
      <c r="O41">
        <v>8425.8979397125604</v>
      </c>
      <c r="P41">
        <v>8561.1784565685502</v>
      </c>
      <c r="Q41">
        <v>8698.6309458804008</v>
      </c>
      <c r="R41">
        <v>8838.2902793684098</v>
      </c>
      <c r="S41">
        <v>8980.1918886296608</v>
      </c>
      <c r="T41">
        <v>9124.3717741269793</v>
      </c>
      <c r="U41">
        <v>9270.8665143222697</v>
      </c>
      <c r="V41">
        <v>9419.7132749564498</v>
      </c>
      <c r="W41">
        <v>9570.9498184784698</v>
      </c>
      <c r="X41">
        <v>9724.6145136255709</v>
      </c>
      <c r="Y41">
        <v>9880.7463451575204</v>
      </c>
      <c r="Z41">
        <v>10039.3849237469</v>
      </c>
      <c r="AA41">
        <v>10200.5704960288</v>
      </c>
      <c r="AB41">
        <v>10364.3439548105</v>
      </c>
      <c r="AC41">
        <v>10530.746849446999</v>
      </c>
      <c r="AD41">
        <v>10699.8213963815</v>
      </c>
      <c r="AE41">
        <v>10871.610489855701</v>
      </c>
      <c r="AF41">
        <v>11046.157712792399</v>
      </c>
      <c r="AG41">
        <v>11223.507347852201</v>
      </c>
      <c r="AH41">
        <v>11403.7043886683</v>
      </c>
      <c r="AI41">
        <v>11586.7945512611</v>
      </c>
      <c r="AJ41">
        <v>11772.8242856365</v>
      </c>
      <c r="AK41">
        <v>11961.8407875703</v>
      </c>
      <c r="AL41">
        <v>12153.8920105817</v>
      </c>
      <c r="AM41">
        <v>12349.026678099401</v>
      </c>
      <c r="AN41">
        <v>12547.294295822099</v>
      </c>
      <c r="AO41">
        <v>12748.7451642789</v>
      </c>
      <c r="AP41">
        <v>12953.4303915899</v>
      </c>
      <c r="AQ41">
        <v>13161.4019064326</v>
      </c>
      <c r="AR41">
        <v>13372.7124712165</v>
      </c>
      <c r="AS41">
        <v>13587.4156954682</v>
      </c>
      <c r="AT41">
        <v>13805.5660494331</v>
      </c>
      <c r="AU41" s="64">
        <f>'calibrage bloc PL'!D41-B41</f>
        <v>-5.9559999999692081E-3</v>
      </c>
    </row>
    <row r="42" spans="1:47">
      <c r="A42" t="s">
        <v>379</v>
      </c>
      <c r="B42">
        <v>80.1938102962269</v>
      </c>
      <c r="C42">
        <v>81.481347859955804</v>
      </c>
      <c r="D42">
        <v>82.789557255736099</v>
      </c>
      <c r="E42">
        <v>84.118770376518</v>
      </c>
      <c r="F42">
        <v>85.469324443900206</v>
      </c>
      <c r="G42">
        <v>86.841562093683393</v>
      </c>
      <c r="H42">
        <v>88.235831462796597</v>
      </c>
      <c r="I42">
        <v>89.652486277620199</v>
      </c>
      <c r="J42">
        <v>91.0918859437257</v>
      </c>
      <c r="K42">
        <v>92.554395637057596</v>
      </c>
      <c r="L42">
        <v>94.0403863965781</v>
      </c>
      <c r="M42">
        <v>95.550235218400005</v>
      </c>
      <c r="N42">
        <v>97.084325151430704</v>
      </c>
      <c r="O42">
        <v>98.643045394551706</v>
      </c>
      <c r="P42">
        <v>100.22679139535801</v>
      </c>
      <c r="Q42">
        <v>101.83596495048501</v>
      </c>
      <c r="R42">
        <v>103.470974307541</v>
      </c>
      <c r="S42">
        <v>105.13223426868301</v>
      </c>
      <c r="T42">
        <v>106.820166295852</v>
      </c>
      <c r="U42">
        <v>108.535198617693</v>
      </c>
      <c r="V42">
        <v>110.277766338205</v>
      </c>
      <c r="W42">
        <v>112.048311547119</v>
      </c>
      <c r="X42">
        <v>113.847283432062</v>
      </c>
      <c r="Y42">
        <v>115.675138392511</v>
      </c>
      <c r="Z42">
        <v>117.532340155586</v>
      </c>
      <c r="AA42">
        <v>119.41935989369701</v>
      </c>
      <c r="AB42">
        <v>121.336676344076</v>
      </c>
      <c r="AC42">
        <v>123.28477593024</v>
      </c>
      <c r="AD42">
        <v>125.264152885391</v>
      </c>
      <c r="AE42">
        <v>127.27530937780401</v>
      </c>
      <c r="AF42">
        <v>129.31875563822999</v>
      </c>
      <c r="AG42">
        <v>131.395010089339</v>
      </c>
      <c r="AH42">
        <v>133.504599477243</v>
      </c>
      <c r="AI42">
        <v>135.64805900513699</v>
      </c>
      <c r="AJ42">
        <v>137.825932469072</v>
      </c>
      <c r="AK42">
        <v>140.03877239592401</v>
      </c>
      <c r="AL42">
        <v>142.28714018356499</v>
      </c>
      <c r="AM42">
        <v>144.571606243292</v>
      </c>
      <c r="AN42">
        <v>146.89275014453901</v>
      </c>
      <c r="AO42">
        <v>149.251160761916</v>
      </c>
      <c r="AP42">
        <v>151.647436424604</v>
      </c>
      <c r="AQ42">
        <v>154.08218506815399</v>
      </c>
      <c r="AR42">
        <v>156.55602438871901</v>
      </c>
      <c r="AS42">
        <v>159.06958199976</v>
      </c>
      <c r="AT42">
        <v>161.623495591281</v>
      </c>
      <c r="AU42" s="64">
        <f>'calibrage bloc PL'!D42-B42</f>
        <v>-4.3392622690419103E-4</v>
      </c>
    </row>
    <row r="43" spans="1:47">
      <c r="A43" t="s">
        <v>380</v>
      </c>
      <c r="B43">
        <v>61.704740981048403</v>
      </c>
      <c r="C43">
        <v>62.695430556463101</v>
      </c>
      <c r="D43">
        <v>63.702025973458703</v>
      </c>
      <c r="E43">
        <v>64.7247826054667</v>
      </c>
      <c r="F43">
        <v>65.763959926021599</v>
      </c>
      <c r="G43">
        <v>66.819821574589497</v>
      </c>
      <c r="H43">
        <v>67.8926354234532</v>
      </c>
      <c r="I43">
        <v>68.982673645671895</v>
      </c>
      <c r="J43">
        <v>70.090212784131197</v>
      </c>
      <c r="K43">
        <v>71.215533821702095</v>
      </c>
      <c r="L43">
        <v>72.358922252526597</v>
      </c>
      <c r="M43">
        <v>73.520668154447506</v>
      </c>
      <c r="N43">
        <v>74.701066262601103</v>
      </c>
      <c r="O43">
        <v>75.900416044191601</v>
      </c>
      <c r="P43">
        <v>77.119021774466304</v>
      </c>
      <c r="Q43">
        <v>78.357192613909803</v>
      </c>
      <c r="R43">
        <v>79.615242686678201</v>
      </c>
      <c r="S43">
        <v>80.893491160292697</v>
      </c>
      <c r="T43">
        <v>82.192262326612294</v>
      </c>
      <c r="U43">
        <v>83.511885684106602</v>
      </c>
      <c r="V43">
        <v>84.852696021449702</v>
      </c>
      <c r="W43">
        <v>86.215033502456293</v>
      </c>
      <c r="X43">
        <v>87.599243752381</v>
      </c>
      <c r="Y43">
        <v>89.005677945603694</v>
      </c>
      <c r="Z43">
        <v>90.434692894722602</v>
      </c>
      <c r="AA43">
        <v>91.886651141077706</v>
      </c>
      <c r="AB43">
        <v>93.361921046727105</v>
      </c>
      <c r="AC43">
        <v>94.860876887901298</v>
      </c>
      <c r="AD43">
        <v>96.383898949956603</v>
      </c>
      <c r="AE43">
        <v>97.931373623853602</v>
      </c>
      <c r="AF43">
        <v>99.503693504184994</v>
      </c>
      <c r="AG43">
        <v>101.101257488776</v>
      </c>
      <c r="AH43">
        <v>102.724470879886</v>
      </c>
      <c r="AI43">
        <v>104.37374548703499</v>
      </c>
      <c r="AJ43">
        <v>106.049499731474</v>
      </c>
      <c r="AK43">
        <v>107.752158752345</v>
      </c>
      <c r="AL43">
        <v>109.482154514537</v>
      </c>
      <c r="AM43">
        <v>111.239925918274</v>
      </c>
      <c r="AN43">
        <v>113.025918910466</v>
      </c>
      <c r="AO43">
        <v>114.840586597843</v>
      </c>
      <c r="AP43">
        <v>116.684389361911</v>
      </c>
      <c r="AQ43">
        <v>118.557794975752</v>
      </c>
      <c r="AR43">
        <v>120.461278722693</v>
      </c>
      <c r="AS43">
        <v>122.39532351689</v>
      </c>
      <c r="AT43">
        <v>124.360420025843</v>
      </c>
      <c r="AU43" s="64">
        <f>'calibrage bloc PL'!D43-B43</f>
        <v>-1.506610484014459E-4</v>
      </c>
    </row>
    <row r="44" spans="1:47">
      <c r="A44" t="s">
        <v>381</v>
      </c>
      <c r="B44">
        <v>18.47</v>
      </c>
      <c r="C44">
        <v>18.766541824290702</v>
      </c>
      <c r="D44">
        <v>19.067844723489699</v>
      </c>
      <c r="E44">
        <v>19.373985138194399</v>
      </c>
      <c r="F44">
        <v>19.685040736281199</v>
      </c>
      <c r="G44">
        <v>20.001090432609001</v>
      </c>
      <c r="H44">
        <v>20.322214409040601</v>
      </c>
      <c r="I44">
        <v>20.648494134784201</v>
      </c>
      <c r="J44">
        <v>20.980012387062899</v>
      </c>
      <c r="K44">
        <v>21.3168532721144</v>
      </c>
      <c r="L44">
        <v>21.659102246529802</v>
      </c>
      <c r="M44">
        <v>22.006846138933</v>
      </c>
      <c r="N44">
        <v>22.360173172009599</v>
      </c>
      <c r="O44">
        <v>22.719172984889202</v>
      </c>
      <c r="P44">
        <v>23.083936655886301</v>
      </c>
      <c r="Q44">
        <v>23.4545567256074</v>
      </c>
      <c r="R44">
        <v>23.831127220428399</v>
      </c>
      <c r="S44">
        <v>24.213743676348798</v>
      </c>
      <c r="T44">
        <v>24.602503163229901</v>
      </c>
      <c r="U44">
        <v>24.997504309420702</v>
      </c>
      <c r="V44">
        <v>25.398847326780299</v>
      </c>
      <c r="W44">
        <v>25.806634036101801</v>
      </c>
      <c r="X44">
        <v>26.220967892943701</v>
      </c>
      <c r="Y44">
        <v>26.641954013877299</v>
      </c>
      <c r="Z44">
        <v>27.0696992031543</v>
      </c>
      <c r="AA44">
        <v>27.504311979803202</v>
      </c>
      <c r="AB44">
        <v>27.9459026051607</v>
      </c>
      <c r="AC44">
        <v>28.394583110844898</v>
      </c>
      <c r="AD44">
        <v>28.8504673271777</v>
      </c>
      <c r="AE44">
        <v>29.3136709120636</v>
      </c>
      <c r="AF44">
        <v>29.784311380332301</v>
      </c>
      <c r="AG44">
        <v>30.262508133552</v>
      </c>
      <c r="AH44">
        <v>30.748382490321799</v>
      </c>
      <c r="AI44">
        <v>31.242057717049999</v>
      </c>
      <c r="AJ44">
        <v>31.743659059227099</v>
      </c>
      <c r="AK44">
        <v>32.253313773200503</v>
      </c>
      <c r="AL44">
        <v>32.771151158459197</v>
      </c>
      <c r="AM44">
        <v>33.297302590437397</v>
      </c>
      <c r="AN44">
        <v>33.831901553844602</v>
      </c>
      <c r="AO44">
        <v>34.375083676530203</v>
      </c>
      <c r="AP44">
        <v>34.9269867638927</v>
      </c>
      <c r="AQ44">
        <v>35.487750833840998</v>
      </c>
      <c r="AR44">
        <v>36.057518152316597</v>
      </c>
      <c r="AS44">
        <v>36.6364332693867</v>
      </c>
      <c r="AT44">
        <v>37.2246430559168</v>
      </c>
      <c r="AU44" s="64">
        <f>'calibrage bloc PL'!D44-B44</f>
        <v>-1.9961686322986623</v>
      </c>
    </row>
    <row r="45" spans="1:47">
      <c r="A45" t="s">
        <v>382</v>
      </c>
      <c r="B45">
        <v>0.24633720665175099</v>
      </c>
      <c r="C45">
        <v>0.25029223018457197</v>
      </c>
      <c r="D45">
        <v>0.254310752899501</v>
      </c>
      <c r="E45">
        <v>0.25839379429644599</v>
      </c>
      <c r="F45">
        <v>0.26254239024371601</v>
      </c>
      <c r="G45">
        <v>0.26675759324082099</v>
      </c>
      <c r="H45">
        <v>0.27104047268549097</v>
      </c>
      <c r="I45">
        <v>0.27539211514498202</v>
      </c>
      <c r="J45">
        <v>0.27981362463173798</v>
      </c>
      <c r="K45">
        <v>0.284306122883482</v>
      </c>
      <c r="L45">
        <v>0.28887074964779702</v>
      </c>
      <c r="M45">
        <v>0.29350866297128397</v>
      </c>
      <c r="N45">
        <v>0.29822103949335499</v>
      </c>
      <c r="O45">
        <v>0.30300907474474997</v>
      </c>
      <c r="P45">
        <v>0.30787398345083899</v>
      </c>
      <c r="Q45">
        <v>0.31281699983980399</v>
      </c>
      <c r="R45">
        <v>0.31783937795575701</v>
      </c>
      <c r="S45">
        <v>0.322942391976897</v>
      </c>
      <c r="T45">
        <v>0.32812733653876203</v>
      </c>
      <c r="U45">
        <v>0.33339552706268599</v>
      </c>
      <c r="V45">
        <v>0.33874830008951601</v>
      </c>
      <c r="W45">
        <v>0.34418701361869602</v>
      </c>
      <c r="X45">
        <v>0.34971304745278797</v>
      </c>
      <c r="Y45">
        <v>0.35532780354753302</v>
      </c>
      <c r="Z45">
        <v>0.36103270636752299</v>
      </c>
      <c r="AA45">
        <v>0.366829203247591</v>
      </c>
      <c r="AB45">
        <v>0.37271876475999899</v>
      </c>
      <c r="AC45">
        <v>0.37870288508752198</v>
      </c>
      <c r="AD45">
        <v>0.38478308240252102</v>
      </c>
      <c r="AE45">
        <v>0.39096089925210797</v>
      </c>
      <c r="AF45">
        <v>0.39723790294948602</v>
      </c>
      <c r="AG45">
        <v>0.40361568597158098</v>
      </c>
      <c r="AH45">
        <v>0.41009586636304701</v>
      </c>
      <c r="AI45">
        <v>0.41668008814677199</v>
      </c>
      <c r="AJ45">
        <v>0.423370021740962</v>
      </c>
      <c r="AK45">
        <v>0.43016736438292702</v>
      </c>
      <c r="AL45">
        <v>0.43707384055967102</v>
      </c>
      <c r="AM45">
        <v>0.44409120244539602</v>
      </c>
      <c r="AN45">
        <v>0.45122123034602701</v>
      </c>
      <c r="AO45">
        <v>0.45846573315087402</v>
      </c>
      <c r="AP45">
        <v>0.465826548791555</v>
      </c>
      <c r="AQ45">
        <v>0.47330554470827002</v>
      </c>
      <c r="AR45">
        <v>0.480904618323577</v>
      </c>
      <c r="AS45">
        <v>0.488625697523769</v>
      </c>
      <c r="AT45">
        <v>0.49647074114797302</v>
      </c>
      <c r="AU45" s="64">
        <f>'calibrage bloc PL'!D45-B45</f>
        <v>-0.16300387331841765</v>
      </c>
    </row>
    <row r="46" spans="1:47">
      <c r="A46" t="s">
        <v>383</v>
      </c>
      <c r="B46">
        <v>2.5242464568946799E-2</v>
      </c>
      <c r="C46">
        <v>2.5647740502507701E-2</v>
      </c>
      <c r="D46">
        <v>2.6059523272272199E-2</v>
      </c>
      <c r="E46">
        <v>2.6477917347600199E-2</v>
      </c>
      <c r="F46">
        <v>2.69030288751409E-2</v>
      </c>
      <c r="G46">
        <v>2.73349657057626E-2</v>
      </c>
      <c r="H46">
        <v>2.7773837421913802E-2</v>
      </c>
      <c r="I46">
        <v>2.8219755365424901E-2</v>
      </c>
      <c r="J46">
        <v>2.86728326657553E-2</v>
      </c>
      <c r="K46">
        <v>2.91331842686945E-2</v>
      </c>
      <c r="L46">
        <v>2.9600926965523799E-2</v>
      </c>
      <c r="M46">
        <v>3.0076179422646399E-2</v>
      </c>
      <c r="N46">
        <v>3.0559062211692901E-2</v>
      </c>
      <c r="O46">
        <v>3.1049697840110399E-2</v>
      </c>
      <c r="P46">
        <v>3.1548210782242701E-2</v>
      </c>
      <c r="Q46">
        <v>3.20547275109095E-2</v>
      </c>
      <c r="R46">
        <v>3.2569376529492503E-2</v>
      </c>
      <c r="S46">
        <v>3.3092288404536901E-2</v>
      </c>
      <c r="T46">
        <v>3.3623595798875701E-2</v>
      </c>
      <c r="U46">
        <v>3.4163433505286903E-2</v>
      </c>
      <c r="V46">
        <v>3.4711938480689902E-2</v>
      </c>
      <c r="W46">
        <v>3.5269249880892001E-2</v>
      </c>
      <c r="X46">
        <v>3.58355090958919E-2</v>
      </c>
      <c r="Y46">
        <v>3.6410859785750302E-2</v>
      </c>
      <c r="Z46">
        <v>3.6995447917036801E-2</v>
      </c>
      <c r="AA46">
        <v>3.7589421799861501E-2</v>
      </c>
      <c r="AB46">
        <v>3.8192932125501303E-2</v>
      </c>
      <c r="AC46">
        <v>3.8806132004630102E-2</v>
      </c>
      <c r="AD46">
        <v>3.9429177006163503E-2</v>
      </c>
      <c r="AE46">
        <v>4.0062225196726101E-2</v>
      </c>
      <c r="AF46">
        <v>4.07054371807535E-2</v>
      </c>
      <c r="AG46">
        <v>4.1358976141237201E-2</v>
      </c>
      <c r="AH46">
        <v>4.2023007881124598E-2</v>
      </c>
      <c r="AI46">
        <v>4.2697700865383097E-2</v>
      </c>
      <c r="AJ46">
        <v>4.3383226263739499E-2</v>
      </c>
      <c r="AK46">
        <v>4.4079757994106003E-2</v>
      </c>
      <c r="AL46">
        <v>4.4787472766703099E-2</v>
      </c>
      <c r="AM46">
        <v>4.5506550128891002E-2</v>
      </c>
      <c r="AN46">
        <v>4.6237172510721097E-2</v>
      </c>
      <c r="AO46">
        <v>4.6979525271217903E-2</v>
      </c>
      <c r="AP46">
        <v>4.7733796745405302E-2</v>
      </c>
      <c r="AQ46">
        <v>4.8500178292086901E-2</v>
      </c>
      <c r="AR46">
        <v>4.9278864342393501E-2</v>
      </c>
      <c r="AS46">
        <v>5.0070052449110898E-2</v>
      </c>
      <c r="AT46">
        <v>5.0873943336798802E-2</v>
      </c>
      <c r="AU46" s="64">
        <f>'calibrage bloc PL'!D46-B46</f>
        <v>0</v>
      </c>
    </row>
    <row r="47" spans="1:47">
      <c r="A47" t="s">
        <v>384</v>
      </c>
      <c r="B47">
        <v>0.99071068628068104</v>
      </c>
      <c r="C47">
        <v>0.99071068628068204</v>
      </c>
      <c r="D47">
        <v>0.99071068628068204</v>
      </c>
      <c r="E47">
        <v>0.99071068628068204</v>
      </c>
      <c r="F47">
        <v>0.99071068628068104</v>
      </c>
      <c r="G47">
        <v>0.99071068628068104</v>
      </c>
      <c r="H47">
        <v>0.99071068628068204</v>
      </c>
      <c r="I47">
        <v>0.99071068628068204</v>
      </c>
      <c r="J47">
        <v>0.99071068628068104</v>
      </c>
      <c r="K47">
        <v>0.99071068628068204</v>
      </c>
      <c r="L47">
        <v>0.99071068628068204</v>
      </c>
      <c r="M47">
        <v>0.99071068628068104</v>
      </c>
      <c r="N47">
        <v>0.99071068628068104</v>
      </c>
      <c r="O47">
        <v>0.99071068628068104</v>
      </c>
      <c r="P47">
        <v>0.99071068628068104</v>
      </c>
      <c r="Q47">
        <v>0.99071068628068204</v>
      </c>
      <c r="R47">
        <v>0.99071068628068204</v>
      </c>
      <c r="S47">
        <v>0.99071068628068104</v>
      </c>
      <c r="T47">
        <v>0.97184030699972501</v>
      </c>
      <c r="U47">
        <v>0.95296992771876898</v>
      </c>
      <c r="V47">
        <v>0.93409954843781295</v>
      </c>
      <c r="W47">
        <v>0.91522916915685604</v>
      </c>
      <c r="X47">
        <v>0.89635878987590001</v>
      </c>
      <c r="Y47">
        <v>0.87748841059494398</v>
      </c>
      <c r="Z47">
        <v>0.85861803131398795</v>
      </c>
      <c r="AA47">
        <v>0.816187129748289</v>
      </c>
      <c r="AB47">
        <v>0.77375622818258905</v>
      </c>
      <c r="AC47">
        <v>0.73132532661688998</v>
      </c>
      <c r="AD47">
        <v>0.68889442505119003</v>
      </c>
      <c r="AE47">
        <v>0.64646352348549097</v>
      </c>
      <c r="AF47">
        <v>0.60403262191979201</v>
      </c>
      <c r="AG47">
        <v>0.56160172035409195</v>
      </c>
      <c r="AH47">
        <v>0.519170818788393</v>
      </c>
      <c r="AI47">
        <v>0.47673991722269399</v>
      </c>
      <c r="AJ47">
        <v>0.43430901565699398</v>
      </c>
      <c r="AK47">
        <v>0.39187811409129503</v>
      </c>
      <c r="AL47">
        <v>0.34944721252559502</v>
      </c>
      <c r="AM47">
        <v>0.30701631095989601</v>
      </c>
      <c r="AN47">
        <v>0.264585409394196</v>
      </c>
      <c r="AO47">
        <v>0.22215450782849699</v>
      </c>
      <c r="AP47">
        <v>0.17972360626279801</v>
      </c>
      <c r="AQ47">
        <v>0.13729270469709801</v>
      </c>
      <c r="AR47">
        <v>9.4861803131399206E-2</v>
      </c>
      <c r="AS47">
        <v>5.2430901565699801E-2</v>
      </c>
      <c r="AT47">
        <v>0.01</v>
      </c>
      <c r="AU47" s="64">
        <f>'calibrage bloc PL'!D47-B47</f>
        <v>8.8986135501440966E-3</v>
      </c>
    </row>
    <row r="48" spans="1:47">
      <c r="A48" t="s">
        <v>385</v>
      </c>
      <c r="B48">
        <v>7.9073450333065707E-3</v>
      </c>
      <c r="C48">
        <v>7.9073450333065707E-3</v>
      </c>
      <c r="D48">
        <v>7.9073450333065707E-3</v>
      </c>
      <c r="E48">
        <v>7.9073450333065707E-3</v>
      </c>
      <c r="F48">
        <v>7.9073450333065707E-3</v>
      </c>
      <c r="G48">
        <v>7.9073450333065707E-3</v>
      </c>
      <c r="H48">
        <v>7.9073450333065707E-3</v>
      </c>
      <c r="I48">
        <v>7.9073450333065707E-3</v>
      </c>
      <c r="J48">
        <v>7.9073450333065707E-3</v>
      </c>
      <c r="K48">
        <v>7.9073450333065707E-3</v>
      </c>
      <c r="L48">
        <v>7.9073450333065707E-3</v>
      </c>
      <c r="M48">
        <v>7.9073450333065707E-3</v>
      </c>
      <c r="N48">
        <v>7.9073450333065707E-3</v>
      </c>
      <c r="O48">
        <v>7.9073450333065707E-3</v>
      </c>
      <c r="P48">
        <v>7.9073450333065707E-3</v>
      </c>
      <c r="Q48">
        <v>7.9073450333065707E-3</v>
      </c>
      <c r="R48">
        <v>7.9073450333065707E-3</v>
      </c>
      <c r="S48">
        <v>7.9073450333065707E-3</v>
      </c>
      <c r="T48">
        <v>2.6777724314262698E-2</v>
      </c>
      <c r="U48">
        <v>4.5648103595218897E-2</v>
      </c>
      <c r="V48">
        <v>6.4518482876175107E-2</v>
      </c>
      <c r="W48">
        <v>8.3388862157131399E-2</v>
      </c>
      <c r="X48">
        <v>0.102259241438087</v>
      </c>
      <c r="Y48">
        <v>0.121129620719043</v>
      </c>
      <c r="Z48">
        <v>0.14000000000000001</v>
      </c>
      <c r="AA48">
        <v>0.18160000000000001</v>
      </c>
      <c r="AB48">
        <v>0.22320000000000001</v>
      </c>
      <c r="AC48">
        <v>0.26479999999999998</v>
      </c>
      <c r="AD48">
        <v>0.30640000000000001</v>
      </c>
      <c r="AE48">
        <v>0.34799999999999998</v>
      </c>
      <c r="AF48">
        <v>0.3896</v>
      </c>
      <c r="AG48">
        <v>0.43120000000000003</v>
      </c>
      <c r="AH48">
        <v>0.4728</v>
      </c>
      <c r="AI48">
        <v>0.51439999999999997</v>
      </c>
      <c r="AJ48">
        <v>0.55600000000000005</v>
      </c>
      <c r="AK48">
        <v>0.59760000000000002</v>
      </c>
      <c r="AL48">
        <v>0.63919999999999999</v>
      </c>
      <c r="AM48">
        <v>0.68079999999999996</v>
      </c>
      <c r="AN48">
        <v>0.72240000000000004</v>
      </c>
      <c r="AO48">
        <v>0.76400000000000001</v>
      </c>
      <c r="AP48">
        <v>0.80559999999999998</v>
      </c>
      <c r="AQ48">
        <v>0.84719999999999995</v>
      </c>
      <c r="AR48">
        <v>0.88879999999999904</v>
      </c>
      <c r="AS48">
        <v>0.93039999999999901</v>
      </c>
      <c r="AT48">
        <v>0.97199999999999998</v>
      </c>
      <c r="AU48" s="64">
        <f>'calibrage bloc PL'!D48-B48</f>
        <v>-7.7119949487191664E-3</v>
      </c>
    </row>
    <row r="49" spans="1:47">
      <c r="A49" t="s">
        <v>386</v>
      </c>
      <c r="B49">
        <v>1.38196868601145E-3</v>
      </c>
      <c r="C49">
        <v>1.38196868601145E-3</v>
      </c>
      <c r="D49">
        <v>1.38196868601145E-3</v>
      </c>
      <c r="E49">
        <v>1.38196868601145E-3</v>
      </c>
      <c r="F49">
        <v>1.38196868601145E-3</v>
      </c>
      <c r="G49">
        <v>1.38196868601145E-3</v>
      </c>
      <c r="H49">
        <v>1.38196868601145E-3</v>
      </c>
      <c r="I49">
        <v>1.38196868601145E-3</v>
      </c>
      <c r="J49">
        <v>1.38196868601145E-3</v>
      </c>
      <c r="K49">
        <v>1.38196868601145E-3</v>
      </c>
      <c r="L49">
        <v>1.38196868601145E-3</v>
      </c>
      <c r="M49">
        <v>1.38196868601145E-3</v>
      </c>
      <c r="N49">
        <v>1.38196868601145E-3</v>
      </c>
      <c r="O49">
        <v>1.38196868601145E-3</v>
      </c>
      <c r="P49">
        <v>1.38196868601145E-3</v>
      </c>
      <c r="Q49">
        <v>1.38196868601145E-3</v>
      </c>
      <c r="R49">
        <v>1.38196868601145E-3</v>
      </c>
      <c r="S49">
        <v>1.38196868601145E-3</v>
      </c>
      <c r="T49">
        <v>1.38196868601145E-3</v>
      </c>
      <c r="U49">
        <v>1.38196868601145E-3</v>
      </c>
      <c r="V49">
        <v>1.38196868601145E-3</v>
      </c>
      <c r="W49">
        <v>1.38196868601145E-3</v>
      </c>
      <c r="X49">
        <v>1.38196868601145E-3</v>
      </c>
      <c r="Y49">
        <v>1.38196868601145E-3</v>
      </c>
      <c r="Z49">
        <v>1.38196868601145E-3</v>
      </c>
      <c r="AA49">
        <v>2.2128702517108701E-3</v>
      </c>
      <c r="AB49">
        <v>3.0437718174102899E-3</v>
      </c>
      <c r="AC49">
        <v>3.8746733831097101E-3</v>
      </c>
      <c r="AD49">
        <v>4.7055749488091403E-3</v>
      </c>
      <c r="AE49">
        <v>5.5364765145085601E-3</v>
      </c>
      <c r="AF49">
        <v>6.3673780802079799E-3</v>
      </c>
      <c r="AG49">
        <v>7.1982796459073997E-3</v>
      </c>
      <c r="AH49">
        <v>8.0291812116068308E-3</v>
      </c>
      <c r="AI49">
        <v>8.8600827773062506E-3</v>
      </c>
      <c r="AJ49">
        <v>9.6909843430056705E-3</v>
      </c>
      <c r="AK49">
        <v>1.0521885908705101E-2</v>
      </c>
      <c r="AL49">
        <v>1.13527874744045E-2</v>
      </c>
      <c r="AM49">
        <v>1.21836890401039E-2</v>
      </c>
      <c r="AN49">
        <v>1.3014590605803299E-2</v>
      </c>
      <c r="AO49">
        <v>1.38454921715027E-2</v>
      </c>
      <c r="AP49">
        <v>1.46763937372022E-2</v>
      </c>
      <c r="AQ49">
        <v>1.55072953029016E-2</v>
      </c>
      <c r="AR49">
        <v>1.6338196868600999E-2</v>
      </c>
      <c r="AS49">
        <v>1.7169098434300398E-2</v>
      </c>
      <c r="AT49">
        <v>1.7999999999999901E-2</v>
      </c>
      <c r="AU49" s="64">
        <f>'calibrage bloc PL'!D49-B49</f>
        <v>-1.1866186014240459E-3</v>
      </c>
    </row>
    <row r="50" spans="1:47">
      <c r="A50" t="s">
        <v>387</v>
      </c>
      <c r="B50">
        <v>0.99650609661393197</v>
      </c>
      <c r="C50">
        <v>0.99650609661393197</v>
      </c>
      <c r="D50">
        <v>0.99650609661393197</v>
      </c>
      <c r="E50">
        <v>0.99650609661393197</v>
      </c>
      <c r="F50">
        <v>0.99650609661393197</v>
      </c>
      <c r="G50">
        <v>0.99650609661393197</v>
      </c>
      <c r="H50">
        <v>0.99650609661393197</v>
      </c>
      <c r="I50">
        <v>0.99650609661393297</v>
      </c>
      <c r="J50">
        <v>0.99650609661393297</v>
      </c>
      <c r="K50">
        <v>0.99650609661393197</v>
      </c>
      <c r="L50">
        <v>0.99650609661393197</v>
      </c>
      <c r="M50">
        <v>0.99650609661393197</v>
      </c>
      <c r="N50">
        <v>0.99650609661393197</v>
      </c>
      <c r="O50">
        <v>0.99650609661393297</v>
      </c>
      <c r="P50">
        <v>0.99650609661393297</v>
      </c>
      <c r="Q50">
        <v>0.99650609661393297</v>
      </c>
      <c r="R50">
        <v>0.99650609661393197</v>
      </c>
      <c r="S50">
        <v>0.99650609661393297</v>
      </c>
      <c r="T50">
        <v>0.98102888397859001</v>
      </c>
      <c r="U50">
        <v>0.96555167134324704</v>
      </c>
      <c r="V50">
        <v>0.95007445870790397</v>
      </c>
      <c r="W50">
        <v>0.934597246072562</v>
      </c>
      <c r="X50">
        <v>0.91912003343721904</v>
      </c>
      <c r="Y50">
        <v>0.90364282080187597</v>
      </c>
      <c r="Z50">
        <v>0.888165608166533</v>
      </c>
      <c r="AA50">
        <v>0.849892327758207</v>
      </c>
      <c r="AB50">
        <v>0.81161904734988</v>
      </c>
      <c r="AC50">
        <v>0.77334576694155299</v>
      </c>
      <c r="AD50">
        <v>0.73507248653322699</v>
      </c>
      <c r="AE50">
        <v>0.69679920612489998</v>
      </c>
      <c r="AF50">
        <v>0.65852592571657298</v>
      </c>
      <c r="AG50">
        <v>0.62025264530824697</v>
      </c>
      <c r="AH50">
        <v>0.58197936489991997</v>
      </c>
      <c r="AI50">
        <v>0.54370608449159297</v>
      </c>
      <c r="AJ50">
        <v>0.50543280408326696</v>
      </c>
      <c r="AK50">
        <v>0.46715952367494001</v>
      </c>
      <c r="AL50">
        <v>0.42888624326661301</v>
      </c>
      <c r="AM50">
        <v>0.39061296285828701</v>
      </c>
      <c r="AN50">
        <v>0.35233968244996</v>
      </c>
      <c r="AO50">
        <v>0.314066402041633</v>
      </c>
      <c r="AP50">
        <v>0.27579312163330699</v>
      </c>
      <c r="AQ50">
        <v>0.23751984122497999</v>
      </c>
      <c r="AR50">
        <v>0.19924656081665301</v>
      </c>
      <c r="AS50">
        <v>0.16097328040832701</v>
      </c>
      <c r="AT50">
        <v>0.1227</v>
      </c>
      <c r="AU50" s="64">
        <f>'calibrage bloc PL'!D50-B50</f>
        <v>4.2692526728838054E-5</v>
      </c>
    </row>
    <row r="51" spans="1:47">
      <c r="A51" t="s">
        <v>388</v>
      </c>
      <c r="B51" s="59">
        <v>1.7469516930335501E-3</v>
      </c>
      <c r="C51" s="59">
        <v>1.7469516930335501E-3</v>
      </c>
      <c r="D51" s="59">
        <v>1.7469516930335501E-3</v>
      </c>
      <c r="E51" s="59">
        <v>1.7469516930335501E-3</v>
      </c>
      <c r="F51" s="59">
        <v>1.7469516930335501E-3</v>
      </c>
      <c r="G51" s="59">
        <v>1.7469516930335501E-3</v>
      </c>
      <c r="H51" s="59">
        <v>1.7469516930335501E-3</v>
      </c>
      <c r="I51" s="59">
        <v>1.7469516930335501E-3</v>
      </c>
      <c r="J51" s="59">
        <v>1.7469516930335501E-3</v>
      </c>
      <c r="K51" s="59">
        <v>1.7469516930335501E-3</v>
      </c>
      <c r="L51" s="59">
        <v>1.7469516930335501E-3</v>
      </c>
      <c r="M51" s="59">
        <v>1.7469516930335501E-3</v>
      </c>
      <c r="N51" s="59">
        <v>1.7469516930335501E-3</v>
      </c>
      <c r="O51" s="59">
        <v>1.7469516930335501E-3</v>
      </c>
      <c r="P51" s="59">
        <v>1.7469516930335501E-3</v>
      </c>
      <c r="Q51" s="59">
        <v>1.7469516930335501E-3</v>
      </c>
      <c r="R51" s="59">
        <v>1.7469516930335501E-3</v>
      </c>
      <c r="S51" s="59">
        <v>1.7469516930335501E-3</v>
      </c>
      <c r="T51" s="59">
        <v>1.12120117529331E-2</v>
      </c>
      <c r="U51" s="59">
        <v>2.0677071812832602E-2</v>
      </c>
      <c r="V51" s="59">
        <v>3.0142131872732202E-2</v>
      </c>
      <c r="W51" s="59">
        <v>3.9607191932631798E-2</v>
      </c>
      <c r="X51" s="59">
        <v>4.9072251992531297E-2</v>
      </c>
      <c r="Y51" s="59">
        <v>5.8537312052430901E-2</v>
      </c>
      <c r="Z51" s="59">
        <v>6.8002372112330498E-2</v>
      </c>
      <c r="AA51" s="59">
        <v>0.100802253506714</v>
      </c>
      <c r="AB51" s="59">
        <v>0.13360213490109701</v>
      </c>
      <c r="AC51" s="59">
        <v>0.16640201629547999</v>
      </c>
      <c r="AD51" s="59">
        <v>0.19920189768986399</v>
      </c>
      <c r="AE51" s="59">
        <v>0.23200177908424699</v>
      </c>
      <c r="AF51" s="59">
        <v>0.26480166047863102</v>
      </c>
      <c r="AG51" s="59">
        <v>0.29760154187301402</v>
      </c>
      <c r="AH51" s="59">
        <v>0.33040142326739802</v>
      </c>
      <c r="AI51" s="59">
        <v>0.36320130466178102</v>
      </c>
      <c r="AJ51" s="59">
        <v>0.39600118605616502</v>
      </c>
      <c r="AK51" s="59">
        <v>0.42880106745054802</v>
      </c>
      <c r="AL51" s="59">
        <v>0.46160094884493202</v>
      </c>
      <c r="AM51" s="59">
        <v>0.49440083023931503</v>
      </c>
      <c r="AN51" s="59">
        <v>0.52720071163369897</v>
      </c>
      <c r="AO51" s="59">
        <v>0.56000059302808203</v>
      </c>
      <c r="AP51" s="59">
        <v>0.59280047442246597</v>
      </c>
      <c r="AQ51" s="59">
        <v>0.62560035581684903</v>
      </c>
      <c r="AR51" s="59">
        <v>0.65840023721123297</v>
      </c>
      <c r="AS51" s="59">
        <v>0.69120011860561603</v>
      </c>
      <c r="AT51" s="59">
        <v>0.72399999999999998</v>
      </c>
      <c r="AU51" s="64">
        <f>'calibrage bloc PL'!D51-B51</f>
        <v>-2.1346263363960193E-5</v>
      </c>
    </row>
    <row r="52" spans="1:47">
      <c r="A52" t="s">
        <v>389</v>
      </c>
      <c r="B52">
        <v>1.7469516930335501E-3</v>
      </c>
      <c r="C52">
        <v>1.7469516930335501E-3</v>
      </c>
      <c r="D52">
        <v>1.7469516930335501E-3</v>
      </c>
      <c r="E52">
        <v>1.7469516930335501E-3</v>
      </c>
      <c r="F52">
        <v>1.7469516930335501E-3</v>
      </c>
      <c r="G52">
        <v>1.7469516930335501E-3</v>
      </c>
      <c r="H52">
        <v>1.7469516930335501E-3</v>
      </c>
      <c r="I52">
        <v>1.7469516930335501E-3</v>
      </c>
      <c r="J52">
        <v>1.7469516930335501E-3</v>
      </c>
      <c r="K52">
        <v>1.7469516930335501E-3</v>
      </c>
      <c r="L52">
        <v>1.7469516930335501E-3</v>
      </c>
      <c r="M52">
        <v>1.7469516930335501E-3</v>
      </c>
      <c r="N52">
        <v>1.7469516930335501E-3</v>
      </c>
      <c r="O52">
        <v>1.7469516930335501E-3</v>
      </c>
      <c r="P52">
        <v>1.7469516930335501E-3</v>
      </c>
      <c r="Q52">
        <v>1.7469516930335501E-3</v>
      </c>
      <c r="R52">
        <v>1.7469516930335501E-3</v>
      </c>
      <c r="S52">
        <v>1.7469516930335501E-3</v>
      </c>
      <c r="T52">
        <v>7.7591042684767002E-3</v>
      </c>
      <c r="U52">
        <v>1.3771256843919799E-2</v>
      </c>
      <c r="V52">
        <v>1.9783409419363001E-2</v>
      </c>
      <c r="W52">
        <v>2.57955619948061E-2</v>
      </c>
      <c r="X52">
        <v>3.18077145702493E-2</v>
      </c>
      <c r="Y52">
        <v>3.7819867145692403E-2</v>
      </c>
      <c r="Z52">
        <v>4.3832019721135602E-2</v>
      </c>
      <c r="AA52">
        <v>4.93054187350788E-2</v>
      </c>
      <c r="AB52">
        <v>5.4778817749021998E-2</v>
      </c>
      <c r="AC52">
        <v>6.0252216762965202E-2</v>
      </c>
      <c r="AD52">
        <v>6.5725615776908497E-2</v>
      </c>
      <c r="AE52">
        <v>7.1199014790851695E-2</v>
      </c>
      <c r="AF52">
        <v>7.6672413804794906E-2</v>
      </c>
      <c r="AG52">
        <v>8.2145812818738104E-2</v>
      </c>
      <c r="AH52">
        <v>8.7619211832681398E-2</v>
      </c>
      <c r="AI52">
        <v>9.3092610846624596E-2</v>
      </c>
      <c r="AJ52">
        <v>9.8566009860567794E-2</v>
      </c>
      <c r="AK52">
        <v>0.10403940887451101</v>
      </c>
      <c r="AL52">
        <v>0.10951280788845399</v>
      </c>
      <c r="AM52">
        <v>0.114986206902397</v>
      </c>
      <c r="AN52">
        <v>0.12045960591634</v>
      </c>
      <c r="AO52">
        <v>0.125933004930284</v>
      </c>
      <c r="AP52">
        <v>0.13140640394422701</v>
      </c>
      <c r="AQ52">
        <v>0.13687980295817001</v>
      </c>
      <c r="AR52">
        <v>0.14235320197211301</v>
      </c>
      <c r="AS52">
        <v>0.14782660098605599</v>
      </c>
      <c r="AT52">
        <v>0.15329999999999999</v>
      </c>
      <c r="AU52" s="64">
        <f>'calibrage bloc PL'!D52-B52</f>
        <v>-2.1346263363960193E-5</v>
      </c>
    </row>
    <row r="53" spans="1:47">
      <c r="A53" t="s">
        <v>289</v>
      </c>
      <c r="B53">
        <v>50908.350825641901</v>
      </c>
      <c r="C53">
        <v>51725.700864920203</v>
      </c>
      <c r="D53">
        <v>52556.173723458502</v>
      </c>
      <c r="E53">
        <v>53399.980092364698</v>
      </c>
      <c r="F53">
        <v>54257.3340454606</v>
      </c>
      <c r="G53">
        <v>55128.453093592398</v>
      </c>
      <c r="H53">
        <v>56013.558239813399</v>
      </c>
      <c r="I53">
        <v>56912.874035452398</v>
      </c>
      <c r="J53">
        <v>57826.6286370823</v>
      </c>
      <c r="K53">
        <v>58755.053864403701</v>
      </c>
      <c r="L53">
        <v>59698.385259057402</v>
      </c>
      <c r="M53">
        <v>60656.862144381397</v>
      </c>
      <c r="N53">
        <v>61630.7276861274</v>
      </c>
      <c r="O53">
        <v>62620.228954151899</v>
      </c>
      <c r="P53">
        <v>63625.616985097702</v>
      </c>
      <c r="Q53">
        <v>64647.146846082403</v>
      </c>
      <c r="R53">
        <v>65685.077699408401</v>
      </c>
      <c r="S53">
        <v>66739.672868312802</v>
      </c>
      <c r="T53">
        <v>67811.199903772402</v>
      </c>
      <c r="U53">
        <v>68899.930652381605</v>
      </c>
      <c r="V53">
        <v>70006.141325319593</v>
      </c>
      <c r="W53">
        <v>71130.112568425597</v>
      </c>
      <c r="X53">
        <v>72272.129533398504</v>
      </c>
      <c r="Y53">
        <v>73432.481950139903</v>
      </c>
      <c r="Z53">
        <v>74611.464200258706</v>
      </c>
      <c r="AA53">
        <v>75809.375391755704</v>
      </c>
      <c r="AB53">
        <v>77026.519434907605</v>
      </c>
      <c r="AC53">
        <v>78263.205119368693</v>
      </c>
      <c r="AD53">
        <v>79519.7461925112</v>
      </c>
      <c r="AE53">
        <v>80796.461439022605</v>
      </c>
      <c r="AF53">
        <v>82093.674761782095</v>
      </c>
      <c r="AG53">
        <v>83411.715264034006</v>
      </c>
      <c r="AH53">
        <v>84750.9173328818</v>
      </c>
      <c r="AI53">
        <v>86111.6207241222</v>
      </c>
      <c r="AJ53">
        <v>87494.170648440893</v>
      </c>
      <c r="AK53">
        <v>88898.917858992994</v>
      </c>
      <c r="AL53">
        <v>90326.218740388897</v>
      </c>
      <c r="AM53">
        <v>91776.435399109105</v>
      </c>
      <c r="AN53">
        <v>93249.935755370898</v>
      </c>
      <c r="AO53">
        <v>94747.093636469799</v>
      </c>
      <c r="AP53">
        <v>96268.288871619094</v>
      </c>
      <c r="AQ53">
        <v>97813.907388313295</v>
      </c>
      <c r="AR53">
        <v>99384.341310237403</v>
      </c>
      <c r="AS53">
        <v>100979.98905674899</v>
      </c>
      <c r="AT53">
        <v>102601.255443958</v>
      </c>
      <c r="AU53" s="64">
        <f>'calibrage bloc PL'!D53-B53</f>
        <v>9339.0123561656583</v>
      </c>
    </row>
    <row r="54" spans="1:47">
      <c r="A54" t="s">
        <v>301</v>
      </c>
      <c r="B54">
        <v>4849.3894658979798</v>
      </c>
      <c r="C54">
        <v>4927.24798235244</v>
      </c>
      <c r="D54">
        <v>5006.3565424726303</v>
      </c>
      <c r="E54">
        <v>5086.7352161139297</v>
      </c>
      <c r="F54">
        <v>5168.4043953597702</v>
      </c>
      <c r="G54">
        <v>5251.3847996950399</v>
      </c>
      <c r="H54">
        <v>5335.6974812626904</v>
      </c>
      <c r="I54">
        <v>5421.3638302046102</v>
      </c>
      <c r="J54">
        <v>5508.4055800883598</v>
      </c>
      <c r="K54">
        <v>5596.8448134209502</v>
      </c>
      <c r="L54">
        <v>5686.7039672511701</v>
      </c>
      <c r="M54">
        <v>5778.00583886191</v>
      </c>
      <c r="N54">
        <v>5870.7735915537796</v>
      </c>
      <c r="O54">
        <v>5965.0307605217004</v>
      </c>
      <c r="P54">
        <v>6060.8012588257398</v>
      </c>
      <c r="Q54">
        <v>6158.1093834578996</v>
      </c>
      <c r="R54">
        <v>6256.9798215062401</v>
      </c>
      <c r="S54">
        <v>6357.4376564179902</v>
      </c>
      <c r="T54">
        <v>6459.5083743632604</v>
      </c>
      <c r="U54">
        <v>6563.2178707008397</v>
      </c>
      <c r="V54">
        <v>6668.5924565479199</v>
      </c>
      <c r="W54">
        <v>6775.6588654551397</v>
      </c>
      <c r="X54">
        <v>6884.4442601889796</v>
      </c>
      <c r="Y54">
        <v>6994.9762396229098</v>
      </c>
      <c r="Z54">
        <v>7107.2828457392297</v>
      </c>
      <c r="AA54">
        <v>7221.39257074334</v>
      </c>
      <c r="AB54">
        <v>7337.33436429224</v>
      </c>
      <c r="AC54">
        <v>7455.1376408389997</v>
      </c>
      <c r="AD54">
        <v>7574.8322870952597</v>
      </c>
      <c r="AE54">
        <v>7696.4486696135</v>
      </c>
      <c r="AF54">
        <v>7820.0176424910096</v>
      </c>
      <c r="AG54">
        <v>7945.5705551975798</v>
      </c>
      <c r="AH54">
        <v>8073.1392605288902</v>
      </c>
      <c r="AI54">
        <v>8202.7561226875696</v>
      </c>
      <c r="AJ54">
        <v>8334.4540254939602</v>
      </c>
      <c r="AK54">
        <v>8468.26638072881</v>
      </c>
      <c r="AL54">
        <v>8604.2271366097793</v>
      </c>
      <c r="AM54">
        <v>8742.3707864041698</v>
      </c>
      <c r="AN54">
        <v>8882.7323771798492</v>
      </c>
      <c r="AO54">
        <v>9025.3475186966698</v>
      </c>
      <c r="AP54">
        <v>9170.2523924407105</v>
      </c>
      <c r="AQ54">
        <v>9317.4837608035305</v>
      </c>
      <c r="AR54">
        <v>9467.0789764087494</v>
      </c>
      <c r="AS54">
        <v>9619.0759915884501</v>
      </c>
      <c r="AT54">
        <v>9773.5133680116905</v>
      </c>
      <c r="AU54" s="64">
        <f>'calibrage bloc PL'!D57-B54</f>
        <v>3.5205181020201053</v>
      </c>
    </row>
    <row r="55" spans="1:47">
      <c r="A55" t="s">
        <v>302</v>
      </c>
      <c r="B55">
        <v>1601.1542222912899</v>
      </c>
      <c r="C55">
        <v>1626.8612712381801</v>
      </c>
      <c r="D55">
        <v>1652.9810551711</v>
      </c>
      <c r="E55">
        <v>1679.5202006837401</v>
      </c>
      <c r="F55">
        <v>1706.48544076192</v>
      </c>
      <c r="G55">
        <v>1733.88361649171</v>
      </c>
      <c r="H55">
        <v>1761.7216787950299</v>
      </c>
      <c r="I55">
        <v>1790.00669019311</v>
      </c>
      <c r="J55">
        <v>1818.74582659823</v>
      </c>
      <c r="K55">
        <v>1847.94637913427</v>
      </c>
      <c r="L55">
        <v>1877.61575598646</v>
      </c>
      <c r="M55">
        <v>1907.76148428085</v>
      </c>
      <c r="N55">
        <v>1938.39121199391</v>
      </c>
      <c r="O55">
        <v>1969.5127098928799</v>
      </c>
      <c r="P55">
        <v>2001.1338735071499</v>
      </c>
      <c r="Q55">
        <v>2033.2627251314</v>
      </c>
      <c r="R55">
        <v>2065.90741586084</v>
      </c>
      <c r="S55">
        <v>2099.0762276591799</v>
      </c>
      <c r="T55">
        <v>2132.7775754596901</v>
      </c>
      <c r="U55">
        <v>2167.0200093001499</v>
      </c>
      <c r="V55">
        <v>2201.81221649194</v>
      </c>
      <c r="W55">
        <v>2237.16302382406</v>
      </c>
      <c r="X55">
        <v>2273.08139980244</v>
      </c>
      <c r="Y55">
        <v>2309.5764569252801</v>
      </c>
      <c r="Z55">
        <v>2346.6574539948901</v>
      </c>
      <c r="AA55">
        <v>2384.33379846664</v>
      </c>
      <c r="AB55">
        <v>2422.6150488356402</v>
      </c>
      <c r="AC55">
        <v>2461.5109170617402</v>
      </c>
      <c r="AD55">
        <v>2501.0312710334301</v>
      </c>
      <c r="AE55">
        <v>2541.18613707136</v>
      </c>
      <c r="AF55">
        <v>2581.9857024719799</v>
      </c>
      <c r="AG55">
        <v>2623.4403180921099</v>
      </c>
      <c r="AH55">
        <v>2665.5605009748901</v>
      </c>
      <c r="AI55">
        <v>2708.3569370180198</v>
      </c>
      <c r="AJ55">
        <v>2751.8404836847199</v>
      </c>
      <c r="AK55">
        <v>2796.0221727582998</v>
      </c>
      <c r="AL55">
        <v>2840.9132131409301</v>
      </c>
      <c r="AM55">
        <v>2886.52499369732</v>
      </c>
      <c r="AN55">
        <v>2932.8690861441</v>
      </c>
      <c r="AO55">
        <v>2979.9572479855301</v>
      </c>
      <c r="AP55">
        <v>3027.8014254964201</v>
      </c>
      <c r="AQ55">
        <v>3076.4137567528801</v>
      </c>
      <c r="AR55">
        <v>3125.8065747117798</v>
      </c>
      <c r="AS55">
        <v>3175.9924103395601</v>
      </c>
      <c r="AT55">
        <v>3226.9839957914101</v>
      </c>
      <c r="AU55" s="64">
        <f>'calibrage bloc PL'!D58-B55</f>
        <v>0</v>
      </c>
    </row>
    <row r="56" spans="1:47">
      <c r="A56" t="s">
        <v>297</v>
      </c>
      <c r="B56">
        <v>51998.142604884997</v>
      </c>
      <c r="C56">
        <v>52832.989603682203</v>
      </c>
      <c r="D56">
        <v>53681.240341083998</v>
      </c>
      <c r="E56">
        <v>54543.110018449297</v>
      </c>
      <c r="F56">
        <v>55418.817292264299</v>
      </c>
      <c r="G56">
        <v>56308.584329616002</v>
      </c>
      <c r="H56">
        <v>57212.636864555599</v>
      </c>
      <c r="I56">
        <v>58131.204255367797</v>
      </c>
      <c r="J56">
        <v>59064.519542758499</v>
      </c>
      <c r="K56">
        <v>60012.8195089777</v>
      </c>
      <c r="L56">
        <v>60976.344737890802</v>
      </c>
      <c r="M56">
        <v>61955.339676015203</v>
      </c>
      <c r="N56">
        <v>62950.052694536003</v>
      </c>
      <c r="O56">
        <v>63960.736152318299</v>
      </c>
      <c r="P56">
        <v>64987.646459930103</v>
      </c>
      <c r="Q56">
        <v>66031.044144694097</v>
      </c>
      <c r="R56">
        <v>67091.193916783595</v>
      </c>
      <c r="S56">
        <v>68168.364736379095</v>
      </c>
      <c r="T56">
        <v>69262.829881904006</v>
      </c>
      <c r="U56">
        <v>70374.867019355093</v>
      </c>
      <c r="V56">
        <v>71504.758272746505</v>
      </c>
      <c r="W56">
        <v>72652.790295684899</v>
      </c>
      <c r="X56">
        <v>73819.254344093002</v>
      </c>
      <c r="Y56">
        <v>75004.446350101804</v>
      </c>
      <c r="Z56">
        <v>76208.666997128195</v>
      </c>
      <c r="AA56">
        <v>77432.221796158905</v>
      </c>
      <c r="AB56">
        <v>78675.421163257997</v>
      </c>
      <c r="AC56">
        <v>79938.580498320196</v>
      </c>
      <c r="AD56">
        <v>81222.020265087194</v>
      </c>
      <c r="AE56">
        <v>82526.066072450005</v>
      </c>
      <c r="AF56">
        <v>83851.0487570556</v>
      </c>
      <c r="AG56">
        <v>85197.304467240407</v>
      </c>
      <c r="AH56">
        <v>86565.174748310907</v>
      </c>
      <c r="AI56">
        <v>87955.006629194104</v>
      </c>
      <c r="AJ56">
        <v>89367.152710478898</v>
      </c>
      <c r="AK56">
        <v>90801.971253870201</v>
      </c>
      <c r="AL56">
        <v>92259.826273080893</v>
      </c>
      <c r="AM56">
        <v>93741.087626181499</v>
      </c>
      <c r="AN56">
        <v>95246.131109433802</v>
      </c>
      <c r="AO56">
        <v>96775.338552629793</v>
      </c>
      <c r="AP56">
        <v>98329.097915962499</v>
      </c>
      <c r="AQ56">
        <v>99907.803388451197</v>
      </c>
      <c r="AR56">
        <v>101511.855487947</v>
      </c>
      <c r="AS56">
        <v>103141.66116274599</v>
      </c>
      <c r="AT56">
        <v>104797.63389482901</v>
      </c>
      <c r="AU56" s="64">
        <f>'calibrage bloc PL'!D63-B56</f>
        <v>-0.30175488499662606</v>
      </c>
    </row>
    <row r="57" spans="1:47">
      <c r="A57" s="13" t="s">
        <v>391</v>
      </c>
      <c r="B57">
        <v>6179909.8650000002</v>
      </c>
      <c r="C57">
        <v>6331031.0559999999</v>
      </c>
      <c r="D57">
        <v>6143988.3269999996</v>
      </c>
      <c r="E57">
        <v>5693324.1859999998</v>
      </c>
      <c r="F57">
        <v>5863984.7649999997</v>
      </c>
      <c r="G57">
        <v>5935939.9910000004</v>
      </c>
      <c r="H57">
        <v>5776568.3770000003</v>
      </c>
      <c r="I57">
        <v>5742488.3569999998</v>
      </c>
      <c r="J57">
        <v>5814967.8959999997</v>
      </c>
      <c r="K57">
        <v>5649900.5949999997</v>
      </c>
      <c r="L57">
        <v>5804360.7419999996</v>
      </c>
      <c r="M57">
        <v>5929921.3679999998</v>
      </c>
      <c r="N57">
        <v>6015250.96</v>
      </c>
      <c r="O57">
        <v>6136624.6380000003</v>
      </c>
      <c r="P57">
        <v>6247079.8940000003</v>
      </c>
      <c r="Q57">
        <v>6262669.2419999996</v>
      </c>
      <c r="R57">
        <v>6255560.9620000003</v>
      </c>
      <c r="S57">
        <v>6243886.5640000002</v>
      </c>
      <c r="T57">
        <v>6189310.0820000004</v>
      </c>
      <c r="U57">
        <v>6122216.835</v>
      </c>
      <c r="V57">
        <v>6060812.5930000003</v>
      </c>
      <c r="W57">
        <v>6032687.0410000002</v>
      </c>
      <c r="X57">
        <v>6034711.5769999996</v>
      </c>
      <c r="Y57">
        <v>6064657.1100000003</v>
      </c>
      <c r="Z57">
        <v>6119515.6969999997</v>
      </c>
      <c r="AA57">
        <v>6196719.125</v>
      </c>
      <c r="AB57">
        <v>6288843.9119999995</v>
      </c>
      <c r="AC57">
        <v>6391271.6619999995</v>
      </c>
      <c r="AD57">
        <v>6499535.0080000004</v>
      </c>
      <c r="AE57">
        <v>6610695.9239999996</v>
      </c>
      <c r="AF57">
        <v>6723036.2549999999</v>
      </c>
      <c r="AG57">
        <v>6836627.8849999998</v>
      </c>
      <c r="AH57">
        <v>6952350.3770000003</v>
      </c>
      <c r="AI57">
        <v>7070050.7340000002</v>
      </c>
      <c r="AJ57">
        <v>7190280.0999999996</v>
      </c>
      <c r="AK57">
        <v>7309616.0939999996</v>
      </c>
      <c r="AL57">
        <v>7430927.8799999999</v>
      </c>
      <c r="AM57">
        <v>7555087.3099999996</v>
      </c>
      <c r="AN57">
        <v>7682995.6909999996</v>
      </c>
      <c r="AO57">
        <v>7812404.5350000001</v>
      </c>
      <c r="AP57">
        <v>7939452.9939999999</v>
      </c>
      <c r="AQ57">
        <v>8067572.0820000004</v>
      </c>
      <c r="AR57">
        <v>8194286.9479999999</v>
      </c>
      <c r="AS57">
        <v>8318433.9330000002</v>
      </c>
      <c r="AT57">
        <v>8443509.1950000003</v>
      </c>
      <c r="AU57" s="60">
        <f>B57-B2</f>
        <v>-495.88308000005782</v>
      </c>
    </row>
    <row r="58" spans="1:47">
      <c r="A58" s="13" t="s">
        <v>392</v>
      </c>
      <c r="B58">
        <v>582617.5919</v>
      </c>
      <c r="C58">
        <v>596864.70330000005</v>
      </c>
      <c r="D58">
        <v>579231.05059999996</v>
      </c>
      <c r="E58">
        <v>536744.20819999999</v>
      </c>
      <c r="F58">
        <v>552833.41619999998</v>
      </c>
      <c r="G58">
        <v>559617.07180000003</v>
      </c>
      <c r="H58">
        <v>544592.14300000004</v>
      </c>
      <c r="I58">
        <v>541379.21279999998</v>
      </c>
      <c r="J58">
        <v>548212.29859999998</v>
      </c>
      <c r="K58">
        <v>532650.40280000004</v>
      </c>
      <c r="L58">
        <v>547212.29790000001</v>
      </c>
      <c r="M58">
        <v>559049.65980000002</v>
      </c>
      <c r="N58">
        <v>567094.19810000004</v>
      </c>
      <c r="O58">
        <v>578536.83100000001</v>
      </c>
      <c r="P58">
        <v>588950.11800000002</v>
      </c>
      <c r="Q58">
        <v>590419.82039999997</v>
      </c>
      <c r="R58">
        <v>589749.67969999998</v>
      </c>
      <c r="S58">
        <v>588649.06339999998</v>
      </c>
      <c r="T58">
        <v>583503.80729999999</v>
      </c>
      <c r="U58">
        <v>577178.52</v>
      </c>
      <c r="V58">
        <v>571389.56960000005</v>
      </c>
      <c r="W58">
        <v>568738.00320000004</v>
      </c>
      <c r="X58">
        <v>568928.86849999998</v>
      </c>
      <c r="Y58">
        <v>571752.01549999998</v>
      </c>
      <c r="Z58">
        <v>576923.86730000004</v>
      </c>
      <c r="AA58">
        <v>584202.30279999995</v>
      </c>
      <c r="AB58">
        <v>592887.46530000004</v>
      </c>
      <c r="AC58">
        <v>602543.95059999998</v>
      </c>
      <c r="AD58">
        <v>612750.59310000006</v>
      </c>
      <c r="AE58">
        <v>623230.40689999994</v>
      </c>
      <c r="AF58">
        <v>633821.41139999998</v>
      </c>
      <c r="AG58">
        <v>644530.38340000005</v>
      </c>
      <c r="AH58">
        <v>655440.24479999999</v>
      </c>
      <c r="AI58">
        <v>666536.57140000002</v>
      </c>
      <c r="AJ58">
        <v>677871.32310000004</v>
      </c>
      <c r="AK58">
        <v>689121.85120000003</v>
      </c>
      <c r="AL58">
        <v>700558.64910000004</v>
      </c>
      <c r="AM58">
        <v>712263.91170000006</v>
      </c>
      <c r="AN58">
        <v>724322.61080000002</v>
      </c>
      <c r="AO58">
        <v>736522.76749999996</v>
      </c>
      <c r="AP58">
        <v>748500.39639999997</v>
      </c>
      <c r="AQ58">
        <v>760578.96010000003</v>
      </c>
      <c r="AR58">
        <v>772525.13919999998</v>
      </c>
      <c r="AS58">
        <v>784229.22860000003</v>
      </c>
      <c r="AT58">
        <v>796020.83230000001</v>
      </c>
      <c r="AU58" s="60">
        <f t="shared" ref="AU58:AU73" si="0">B58-B3</f>
        <v>-46.749870000057854</v>
      </c>
    </row>
    <row r="59" spans="1:47">
      <c r="A59" s="13" t="s">
        <v>393</v>
      </c>
      <c r="B59">
        <v>6122502.7429999998</v>
      </c>
      <c r="C59">
        <v>6272220.1220000004</v>
      </c>
      <c r="D59">
        <v>6086914.892</v>
      </c>
      <c r="E59">
        <v>5640437.1119999997</v>
      </c>
      <c r="F59">
        <v>5809512.3700000001</v>
      </c>
      <c r="G59">
        <v>5880799.182</v>
      </c>
      <c r="H59">
        <v>5722908.0209999997</v>
      </c>
      <c r="I59">
        <v>5689144.5810000002</v>
      </c>
      <c r="J59">
        <v>5760950.835</v>
      </c>
      <c r="K59">
        <v>5597416.8949999996</v>
      </c>
      <c r="L59">
        <v>5750442.2139999997</v>
      </c>
      <c r="M59">
        <v>5874836.4680000003</v>
      </c>
      <c r="N59">
        <v>5959373.4069999997</v>
      </c>
      <c r="O59">
        <v>6079619.6069999998</v>
      </c>
      <c r="P59">
        <v>6189048.8090000004</v>
      </c>
      <c r="Q59">
        <v>6204493.3430000003</v>
      </c>
      <c r="R59">
        <v>6197451.0939999996</v>
      </c>
      <c r="S59">
        <v>6185885.1430000002</v>
      </c>
      <c r="T59">
        <v>6131815.6390000004</v>
      </c>
      <c r="U59">
        <v>6065345.642</v>
      </c>
      <c r="V59">
        <v>6004511.8039999995</v>
      </c>
      <c r="W59">
        <v>5976647.5190000003</v>
      </c>
      <c r="X59">
        <v>5978653.2479999997</v>
      </c>
      <c r="Y59">
        <v>6008320.608</v>
      </c>
      <c r="Z59">
        <v>6062669.5959999999</v>
      </c>
      <c r="AA59">
        <v>6139155.8569999998</v>
      </c>
      <c r="AB59">
        <v>6230424.8679999998</v>
      </c>
      <c r="AC59">
        <v>6331901.1339999996</v>
      </c>
      <c r="AD59">
        <v>6439158.7889999999</v>
      </c>
      <c r="AE59">
        <v>6549287.0959999999</v>
      </c>
      <c r="AF59">
        <v>6660583.8619999997</v>
      </c>
      <c r="AG59">
        <v>6773120.3039999995</v>
      </c>
      <c r="AH59">
        <v>6887767.8130000001</v>
      </c>
      <c r="AI59">
        <v>7004374.8150000004</v>
      </c>
      <c r="AJ59">
        <v>7123487.3320000004</v>
      </c>
      <c r="AK59">
        <v>7241714.7769999998</v>
      </c>
      <c r="AL59">
        <v>7361899.659</v>
      </c>
      <c r="AM59">
        <v>7484905.733</v>
      </c>
      <c r="AN59">
        <v>7611625.9340000004</v>
      </c>
      <c r="AO59">
        <v>7739832.6579999998</v>
      </c>
      <c r="AP59">
        <v>7865700.9239999996</v>
      </c>
      <c r="AQ59">
        <v>7992629.8739999998</v>
      </c>
      <c r="AR59">
        <v>8118167.6449999996</v>
      </c>
      <c r="AS59">
        <v>8241161.3899999997</v>
      </c>
      <c r="AT59">
        <v>8365074.7889999999</v>
      </c>
      <c r="AU59" s="60">
        <f>B59-B4</f>
        <v>-491.27717000059783</v>
      </c>
    </row>
    <row r="60" spans="1:47">
      <c r="A60" s="13" t="s">
        <v>394</v>
      </c>
      <c r="B60">
        <v>48866.679580000004</v>
      </c>
      <c r="C60">
        <v>50061.646979999998</v>
      </c>
      <c r="D60">
        <v>48582.635589999998</v>
      </c>
      <c r="E60">
        <v>45019.078730000001</v>
      </c>
      <c r="F60">
        <v>46368.550810000001</v>
      </c>
      <c r="G60">
        <v>46937.525609999997</v>
      </c>
      <c r="H60">
        <v>45677.31927</v>
      </c>
      <c r="I60">
        <v>45407.836790000001</v>
      </c>
      <c r="J60">
        <v>45980.957520000004</v>
      </c>
      <c r="K60">
        <v>44675.713409999997</v>
      </c>
      <c r="L60">
        <v>45897.08309</v>
      </c>
      <c r="M60">
        <v>46889.934280000001</v>
      </c>
      <c r="N60">
        <v>47564.664810000002</v>
      </c>
      <c r="O60">
        <v>48524.408360000001</v>
      </c>
      <c r="P60">
        <v>49397.816180000002</v>
      </c>
      <c r="Q60">
        <v>49521.08653</v>
      </c>
      <c r="R60">
        <v>49464.878909999999</v>
      </c>
      <c r="S60">
        <v>49372.565410000003</v>
      </c>
      <c r="T60">
        <v>48941.010340000001</v>
      </c>
      <c r="U60">
        <v>48410.480889999999</v>
      </c>
      <c r="V60">
        <v>47924.93636</v>
      </c>
      <c r="W60">
        <v>47702.537920000002</v>
      </c>
      <c r="X60">
        <v>47718.546620000001</v>
      </c>
      <c r="Y60">
        <v>47955.336289999999</v>
      </c>
      <c r="Z60">
        <v>48389.122060000002</v>
      </c>
      <c r="AA60">
        <v>48999.5962</v>
      </c>
      <c r="AB60">
        <v>49728.058669999999</v>
      </c>
      <c r="AC60">
        <v>50537.990239999999</v>
      </c>
      <c r="AD60">
        <v>51394.065869999999</v>
      </c>
      <c r="AE60">
        <v>52273.053590000003</v>
      </c>
      <c r="AF60">
        <v>53161.367339999997</v>
      </c>
      <c r="AG60">
        <v>54059.575550000001</v>
      </c>
      <c r="AH60">
        <v>54974.633229999999</v>
      </c>
      <c r="AI60">
        <v>55905.330560000002</v>
      </c>
      <c r="AJ60">
        <v>56856.02564</v>
      </c>
      <c r="AK60">
        <v>57799.656519999997</v>
      </c>
      <c r="AL60">
        <v>58758.910669999997</v>
      </c>
      <c r="AM60">
        <v>59740.682119999998</v>
      </c>
      <c r="AN60">
        <v>60752.097820000003</v>
      </c>
      <c r="AO60">
        <v>61775.378199999999</v>
      </c>
      <c r="AP60">
        <v>62779.994200000001</v>
      </c>
      <c r="AQ60">
        <v>63793.07604</v>
      </c>
      <c r="AR60">
        <v>64795.054199999999</v>
      </c>
      <c r="AS60">
        <v>65776.727249999996</v>
      </c>
      <c r="AT60">
        <v>66765.7405</v>
      </c>
      <c r="AU60" s="60">
        <f t="shared" si="0"/>
        <v>-3.921119999999064</v>
      </c>
    </row>
    <row r="61" spans="1:47">
      <c r="A61" s="13" t="s">
        <v>395</v>
      </c>
      <c r="B61">
        <v>8540.4419149999994</v>
      </c>
      <c r="C61">
        <v>8749.2866689999901</v>
      </c>
      <c r="D61">
        <v>8490.7994749999998</v>
      </c>
      <c r="E61">
        <v>7867.9957439999998</v>
      </c>
      <c r="F61">
        <v>8103.8433189999996</v>
      </c>
      <c r="G61">
        <v>8203.2831889999998</v>
      </c>
      <c r="H61">
        <v>7983.0366089999998</v>
      </c>
      <c r="I61">
        <v>7935.9390880000001</v>
      </c>
      <c r="J61">
        <v>8036.1035419999998</v>
      </c>
      <c r="K61">
        <v>7807.9857000000002</v>
      </c>
      <c r="L61">
        <v>8021.4447870000004</v>
      </c>
      <c r="M61">
        <v>8194.9656410000007</v>
      </c>
      <c r="N61">
        <v>8312.888465</v>
      </c>
      <c r="O61">
        <v>8480.6230869999999</v>
      </c>
      <c r="P61">
        <v>8633.2687920000008</v>
      </c>
      <c r="Q61">
        <v>8654.8127829999994</v>
      </c>
      <c r="R61">
        <v>8644.9893630000006</v>
      </c>
      <c r="S61">
        <v>8628.8557099999998</v>
      </c>
      <c r="T61">
        <v>8553.4327209999901</v>
      </c>
      <c r="U61">
        <v>8460.7119550000007</v>
      </c>
      <c r="V61">
        <v>8375.8532149999901</v>
      </c>
      <c r="W61">
        <v>8336.9845829999995</v>
      </c>
      <c r="X61">
        <v>8339.7824280000004</v>
      </c>
      <c r="Y61">
        <v>8381.166217</v>
      </c>
      <c r="Z61">
        <v>8456.9790670000002</v>
      </c>
      <c r="AA61">
        <v>8563.6717860000008</v>
      </c>
      <c r="AB61">
        <v>8690.9853559999901</v>
      </c>
      <c r="AC61">
        <v>8832.5373</v>
      </c>
      <c r="AD61">
        <v>8982.1538550000005</v>
      </c>
      <c r="AE61">
        <v>9135.7747589999999</v>
      </c>
      <c r="AF61">
        <v>9291.0255789999901</v>
      </c>
      <c r="AG61">
        <v>9448.0056540000005</v>
      </c>
      <c r="AH61">
        <v>9607.930515</v>
      </c>
      <c r="AI61">
        <v>9770.5887220000004</v>
      </c>
      <c r="AJ61">
        <v>9936.7419410000002</v>
      </c>
      <c r="AK61">
        <v>10101.660550000001</v>
      </c>
      <c r="AL61">
        <v>10269.309639999999</v>
      </c>
      <c r="AM61">
        <v>10440.89408</v>
      </c>
      <c r="AN61">
        <v>10617.659460000001</v>
      </c>
      <c r="AO61">
        <v>10796.49843</v>
      </c>
      <c r="AP61">
        <v>10972.075419999999</v>
      </c>
      <c r="AQ61">
        <v>11149.13199</v>
      </c>
      <c r="AR61">
        <v>11324.247960000001</v>
      </c>
      <c r="AS61">
        <v>11495.815210000001</v>
      </c>
      <c r="AT61">
        <v>11668.66531</v>
      </c>
      <c r="AU61" s="60">
        <f t="shared" si="0"/>
        <v>-0.6852950000011333</v>
      </c>
    </row>
    <row r="62" spans="1:47">
      <c r="A62" s="13" t="s">
        <v>396</v>
      </c>
      <c r="B62">
        <v>580617.75230000005</v>
      </c>
      <c r="C62">
        <v>594815.96039999998</v>
      </c>
      <c r="D62">
        <v>577242.83539999998</v>
      </c>
      <c r="E62">
        <v>534901.82940000005</v>
      </c>
      <c r="F62">
        <v>550935.81099999999</v>
      </c>
      <c r="G62">
        <v>557696.18180000002</v>
      </c>
      <c r="H62">
        <v>542722.82620000001</v>
      </c>
      <c r="I62">
        <v>539520.92429999996</v>
      </c>
      <c r="J62">
        <v>546330.55559999996</v>
      </c>
      <c r="K62">
        <v>530822.076</v>
      </c>
      <c r="L62">
        <v>545333.98730000004</v>
      </c>
      <c r="M62">
        <v>557130.71739999996</v>
      </c>
      <c r="N62">
        <v>565147.64269999997</v>
      </c>
      <c r="O62">
        <v>576550.9987</v>
      </c>
      <c r="P62">
        <v>586928.54200000002</v>
      </c>
      <c r="Q62">
        <v>588393.1997</v>
      </c>
      <c r="R62">
        <v>587725.35930000001</v>
      </c>
      <c r="S62">
        <v>586628.52080000006</v>
      </c>
      <c r="T62">
        <v>581500.92590000003</v>
      </c>
      <c r="U62">
        <v>575197.35010000004</v>
      </c>
      <c r="V62">
        <v>569428.27029999997</v>
      </c>
      <c r="W62">
        <v>566785.80539999995</v>
      </c>
      <c r="X62">
        <v>566976.01560000004</v>
      </c>
      <c r="Y62">
        <v>569789.47219999996</v>
      </c>
      <c r="Z62">
        <v>574943.57160000002</v>
      </c>
      <c r="AA62">
        <v>582197.02370000002</v>
      </c>
      <c r="AB62">
        <v>590852.37430000002</v>
      </c>
      <c r="AC62">
        <v>600475.71369999996</v>
      </c>
      <c r="AD62">
        <v>610647.32180000003</v>
      </c>
      <c r="AE62">
        <v>621091.16359999997</v>
      </c>
      <c r="AF62">
        <v>631645.81429999997</v>
      </c>
      <c r="AG62">
        <v>642318.02769999998</v>
      </c>
      <c r="AH62">
        <v>653190.44090000005</v>
      </c>
      <c r="AI62">
        <v>664248.67929999996</v>
      </c>
      <c r="AJ62">
        <v>675544.52439999999</v>
      </c>
      <c r="AK62">
        <v>686756.43489999999</v>
      </c>
      <c r="AL62">
        <v>698153.97600000002</v>
      </c>
      <c r="AM62">
        <v>709819.06019999995</v>
      </c>
      <c r="AN62">
        <v>721836.3676</v>
      </c>
      <c r="AO62">
        <v>733994.64729999995</v>
      </c>
      <c r="AP62">
        <v>745931.1629</v>
      </c>
      <c r="AQ62">
        <v>757968.26670000004</v>
      </c>
      <c r="AR62">
        <v>769873.44050000003</v>
      </c>
      <c r="AS62">
        <v>781537.35549999995</v>
      </c>
      <c r="AT62">
        <v>793288.48439999996</v>
      </c>
      <c r="AU62" s="60">
        <f t="shared" si="0"/>
        <v>-46.589470000006258</v>
      </c>
    </row>
    <row r="63" spans="1:47">
      <c r="A63" s="13" t="s">
        <v>397</v>
      </c>
      <c r="B63">
        <v>999.91976529999999</v>
      </c>
      <c r="C63">
        <v>1024.371427</v>
      </c>
      <c r="D63">
        <v>994.10760040000002</v>
      </c>
      <c r="E63">
        <v>921.18938760000003</v>
      </c>
      <c r="F63">
        <v>948.80255499999998</v>
      </c>
      <c r="G63">
        <v>960.44503110000005</v>
      </c>
      <c r="H63">
        <v>934.65843710000001</v>
      </c>
      <c r="I63">
        <v>929.14423269999998</v>
      </c>
      <c r="J63">
        <v>940.8715436</v>
      </c>
      <c r="K63">
        <v>914.16337780000003</v>
      </c>
      <c r="L63">
        <v>939.15528830000005</v>
      </c>
      <c r="M63">
        <v>959.47120789999997</v>
      </c>
      <c r="N63">
        <v>973.27767879999999</v>
      </c>
      <c r="O63">
        <v>992.9161431</v>
      </c>
      <c r="P63">
        <v>1010.787988</v>
      </c>
      <c r="Q63">
        <v>1013.310371</v>
      </c>
      <c r="R63">
        <v>1012.16024</v>
      </c>
      <c r="S63">
        <v>1010.271302</v>
      </c>
      <c r="T63">
        <v>1001.440736</v>
      </c>
      <c r="U63">
        <v>990.58493650000003</v>
      </c>
      <c r="V63">
        <v>980.64962730000002</v>
      </c>
      <c r="W63">
        <v>976.0988658</v>
      </c>
      <c r="X63">
        <v>976.4264392</v>
      </c>
      <c r="Y63">
        <v>981.27167659999998</v>
      </c>
      <c r="Z63">
        <v>990.14788780000003</v>
      </c>
      <c r="AA63">
        <v>1002.639532</v>
      </c>
      <c r="AB63">
        <v>1017.545476</v>
      </c>
      <c r="AC63">
        <v>1034.1184579999999</v>
      </c>
      <c r="AD63">
        <v>1051.6356490000001</v>
      </c>
      <c r="AE63">
        <v>1069.6216710000001</v>
      </c>
      <c r="AF63">
        <v>1087.7985249999999</v>
      </c>
      <c r="AG63">
        <v>1106.1778409999999</v>
      </c>
      <c r="AH63">
        <v>1124.901934</v>
      </c>
      <c r="AI63">
        <v>1143.9460489999999</v>
      </c>
      <c r="AJ63">
        <v>1163.399361</v>
      </c>
      <c r="AK63">
        <v>1182.7081250000001</v>
      </c>
      <c r="AL63">
        <v>1202.336575</v>
      </c>
      <c r="AM63">
        <v>1222.4257789999999</v>
      </c>
      <c r="AN63">
        <v>1243.1215689999999</v>
      </c>
      <c r="AO63">
        <v>1264.0601369999999</v>
      </c>
      <c r="AP63">
        <v>1284.61679</v>
      </c>
      <c r="AQ63">
        <v>1305.346673</v>
      </c>
      <c r="AR63">
        <v>1325.8493510000001</v>
      </c>
      <c r="AS63">
        <v>1345.936541</v>
      </c>
      <c r="AT63">
        <v>1366.1739279999999</v>
      </c>
      <c r="AU63" s="60">
        <f t="shared" si="0"/>
        <v>-8.0234700000005432E-2</v>
      </c>
    </row>
    <row r="64" spans="1:47">
      <c r="A64" s="13" t="s">
        <v>398</v>
      </c>
      <c r="B64">
        <v>999.91976529999999</v>
      </c>
      <c r="C64">
        <v>1024.371427</v>
      </c>
      <c r="D64">
        <v>994.10760040000002</v>
      </c>
      <c r="E64">
        <v>921.18938760000003</v>
      </c>
      <c r="F64">
        <v>948.80255499999998</v>
      </c>
      <c r="G64">
        <v>960.44503110000005</v>
      </c>
      <c r="H64">
        <v>934.65843710000001</v>
      </c>
      <c r="I64">
        <v>929.14423269999998</v>
      </c>
      <c r="J64">
        <v>940.8715436</v>
      </c>
      <c r="K64">
        <v>914.16337780000003</v>
      </c>
      <c r="L64">
        <v>939.15528830000005</v>
      </c>
      <c r="M64">
        <v>959.47120789999997</v>
      </c>
      <c r="N64">
        <v>973.27767879999999</v>
      </c>
      <c r="O64">
        <v>992.9161431</v>
      </c>
      <c r="P64">
        <v>1010.787988</v>
      </c>
      <c r="Q64">
        <v>1013.310371</v>
      </c>
      <c r="R64">
        <v>1012.16024</v>
      </c>
      <c r="S64">
        <v>1010.271302</v>
      </c>
      <c r="T64">
        <v>1001.440736</v>
      </c>
      <c r="U64">
        <v>990.58493650000003</v>
      </c>
      <c r="V64">
        <v>980.64962730000002</v>
      </c>
      <c r="W64">
        <v>976.0988658</v>
      </c>
      <c r="X64">
        <v>976.4264392</v>
      </c>
      <c r="Y64">
        <v>981.27167659999998</v>
      </c>
      <c r="Z64">
        <v>990.14788780000003</v>
      </c>
      <c r="AA64">
        <v>1002.639532</v>
      </c>
      <c r="AB64">
        <v>1017.545476</v>
      </c>
      <c r="AC64">
        <v>1034.1184579999999</v>
      </c>
      <c r="AD64">
        <v>1051.6356490000001</v>
      </c>
      <c r="AE64">
        <v>1069.6216710000001</v>
      </c>
      <c r="AF64">
        <v>1087.7985249999999</v>
      </c>
      <c r="AG64">
        <v>1106.1778409999999</v>
      </c>
      <c r="AH64">
        <v>1124.901934</v>
      </c>
      <c r="AI64">
        <v>1143.9460489999999</v>
      </c>
      <c r="AJ64">
        <v>1163.399361</v>
      </c>
      <c r="AK64">
        <v>1182.7081250000001</v>
      </c>
      <c r="AL64">
        <v>1202.336575</v>
      </c>
      <c r="AM64">
        <v>1222.4257789999999</v>
      </c>
      <c r="AN64">
        <v>1243.1215689999999</v>
      </c>
      <c r="AO64">
        <v>1264.0601369999999</v>
      </c>
      <c r="AP64">
        <v>1284.61679</v>
      </c>
      <c r="AQ64">
        <v>1305.346673</v>
      </c>
      <c r="AR64">
        <v>1325.8493510000001</v>
      </c>
      <c r="AS64">
        <v>1345.936541</v>
      </c>
      <c r="AT64">
        <v>1366.1739279999999</v>
      </c>
      <c r="AU64" s="60">
        <f t="shared" si="0"/>
        <v>-8.0234700000005432E-2</v>
      </c>
    </row>
    <row r="65" spans="1:47">
      <c r="A65" s="13" t="s">
        <v>350</v>
      </c>
      <c r="B65">
        <v>17.087077000000001</v>
      </c>
      <c r="C65">
        <v>17.087077000000001</v>
      </c>
      <c r="D65">
        <v>17.087077000000001</v>
      </c>
      <c r="E65">
        <v>17.087077000000001</v>
      </c>
      <c r="F65">
        <v>17.087077000000001</v>
      </c>
      <c r="G65">
        <v>17.087077000000001</v>
      </c>
      <c r="H65">
        <v>17.087077000000001</v>
      </c>
      <c r="I65">
        <v>17.087077000000001</v>
      </c>
      <c r="J65">
        <v>17.087077000000001</v>
      </c>
      <c r="K65">
        <v>17.087077000000001</v>
      </c>
      <c r="L65">
        <v>17.087077000000001</v>
      </c>
      <c r="M65">
        <v>17.087077000000001</v>
      </c>
      <c r="N65">
        <v>17.087077000000001</v>
      </c>
      <c r="O65">
        <v>17.087077000000001</v>
      </c>
      <c r="P65">
        <v>17.087077000000001</v>
      </c>
      <c r="Q65">
        <v>17.087077000000001</v>
      </c>
      <c r="R65">
        <v>17.087077000000001</v>
      </c>
      <c r="S65">
        <v>17.087077000000001</v>
      </c>
      <c r="T65">
        <v>17.087077000000001</v>
      </c>
      <c r="U65">
        <v>17.087077000000001</v>
      </c>
      <c r="V65">
        <v>17.087077000000001</v>
      </c>
      <c r="W65">
        <v>17.087077000000001</v>
      </c>
      <c r="X65">
        <v>17.087077000000001</v>
      </c>
      <c r="Y65">
        <v>17.087077000000001</v>
      </c>
      <c r="Z65">
        <v>17.087077000000001</v>
      </c>
      <c r="AA65">
        <v>17.087077000000001</v>
      </c>
      <c r="AB65">
        <v>17.087077000000001</v>
      </c>
      <c r="AC65">
        <v>17.087077000000001</v>
      </c>
      <c r="AD65">
        <v>17.087077000000001</v>
      </c>
      <c r="AE65">
        <v>17.087077000000001</v>
      </c>
      <c r="AF65">
        <v>17.087077000000001</v>
      </c>
      <c r="AG65">
        <v>17.087077000000001</v>
      </c>
      <c r="AH65">
        <v>17.087077000000001</v>
      </c>
      <c r="AI65">
        <v>17.087077000000001</v>
      </c>
      <c r="AJ65">
        <v>17.087077000000001</v>
      </c>
      <c r="AK65">
        <v>17.087077000000001</v>
      </c>
      <c r="AL65">
        <v>17.087077000000001</v>
      </c>
      <c r="AM65">
        <v>17.087077000000001</v>
      </c>
      <c r="AN65">
        <v>17.087077000000001</v>
      </c>
      <c r="AO65">
        <v>17.087077000000001</v>
      </c>
      <c r="AP65">
        <v>17.087077000000001</v>
      </c>
      <c r="AQ65">
        <v>17.087077000000001</v>
      </c>
      <c r="AR65">
        <v>17.087077000000001</v>
      </c>
      <c r="AS65">
        <v>17.087077000000001</v>
      </c>
      <c r="AT65">
        <v>17.087077000000001</v>
      </c>
      <c r="AU65" s="60">
        <f t="shared" si="0"/>
        <v>0</v>
      </c>
    </row>
    <row r="66" spans="1:47">
      <c r="A66" s="13" t="s">
        <v>351</v>
      </c>
      <c r="B66">
        <v>5.138242</v>
      </c>
      <c r="C66">
        <v>5.138242</v>
      </c>
      <c r="D66">
        <v>5.138242</v>
      </c>
      <c r="E66">
        <v>5.138242</v>
      </c>
      <c r="F66">
        <v>5.138242</v>
      </c>
      <c r="G66">
        <v>5.138242</v>
      </c>
      <c r="H66">
        <v>5.138242</v>
      </c>
      <c r="I66">
        <v>5.138242</v>
      </c>
      <c r="J66">
        <v>5.138242</v>
      </c>
      <c r="K66">
        <v>5.138242</v>
      </c>
      <c r="L66">
        <v>5.138242</v>
      </c>
      <c r="M66">
        <v>5.138242</v>
      </c>
      <c r="N66">
        <v>5.138242</v>
      </c>
      <c r="O66">
        <v>5.138242</v>
      </c>
      <c r="P66">
        <v>5.138242</v>
      </c>
      <c r="Q66">
        <v>5.138242</v>
      </c>
      <c r="R66">
        <v>5.138242</v>
      </c>
      <c r="S66">
        <v>5.138242</v>
      </c>
      <c r="T66">
        <v>5.138242</v>
      </c>
      <c r="U66">
        <v>5.138242</v>
      </c>
      <c r="V66">
        <v>5.138242</v>
      </c>
      <c r="W66">
        <v>5.138242</v>
      </c>
      <c r="X66">
        <v>5.138242</v>
      </c>
      <c r="Y66">
        <v>5.138242</v>
      </c>
      <c r="Z66">
        <v>5.138242</v>
      </c>
      <c r="AA66">
        <v>5.138242</v>
      </c>
      <c r="AB66">
        <v>5.138242</v>
      </c>
      <c r="AC66">
        <v>5.138242</v>
      </c>
      <c r="AD66">
        <v>5.138242</v>
      </c>
      <c r="AE66">
        <v>5.138242</v>
      </c>
      <c r="AF66">
        <v>5.138242</v>
      </c>
      <c r="AG66">
        <v>5.138242</v>
      </c>
      <c r="AH66">
        <v>5.138242</v>
      </c>
      <c r="AI66">
        <v>5.138242</v>
      </c>
      <c r="AJ66">
        <v>5.138242</v>
      </c>
      <c r="AK66">
        <v>5.138242</v>
      </c>
      <c r="AL66">
        <v>5.138242</v>
      </c>
      <c r="AM66">
        <v>5.138242</v>
      </c>
      <c r="AN66">
        <v>5.138242</v>
      </c>
      <c r="AO66">
        <v>5.138242</v>
      </c>
      <c r="AP66">
        <v>5.138242</v>
      </c>
      <c r="AQ66">
        <v>5.138242</v>
      </c>
      <c r="AR66">
        <v>5.138242</v>
      </c>
      <c r="AS66">
        <v>5.138242</v>
      </c>
      <c r="AT66">
        <v>5.138242</v>
      </c>
      <c r="AU66" s="60">
        <f t="shared" si="0"/>
        <v>0</v>
      </c>
    </row>
    <row r="67" spans="1:47">
      <c r="A67" s="13" t="s">
        <v>352</v>
      </c>
      <c r="B67">
        <v>13.709016999999999</v>
      </c>
      <c r="C67">
        <v>13.709016999999999</v>
      </c>
      <c r="D67">
        <v>13.709016999999999</v>
      </c>
      <c r="E67">
        <v>13.709016999999999</v>
      </c>
      <c r="F67">
        <v>13.709016999999999</v>
      </c>
      <c r="G67">
        <v>13.709016999999999</v>
      </c>
      <c r="H67">
        <v>13.709016999999999</v>
      </c>
      <c r="I67">
        <v>13.709016999999999</v>
      </c>
      <c r="J67">
        <v>13.709016999999999</v>
      </c>
      <c r="K67">
        <v>13.709016999999999</v>
      </c>
      <c r="L67">
        <v>13.709016999999999</v>
      </c>
      <c r="M67">
        <v>13.709016999999999</v>
      </c>
      <c r="N67">
        <v>13.709016999999999</v>
      </c>
      <c r="O67">
        <v>13.709016999999999</v>
      </c>
      <c r="P67">
        <v>13.709016999999999</v>
      </c>
      <c r="Q67">
        <v>13.709016999999999</v>
      </c>
      <c r="R67">
        <v>13.709016999999999</v>
      </c>
      <c r="S67">
        <v>13.709016999999999</v>
      </c>
      <c r="T67">
        <v>13.709016999999999</v>
      </c>
      <c r="U67">
        <v>13.709016999999999</v>
      </c>
      <c r="V67">
        <v>13.709016999999999</v>
      </c>
      <c r="W67">
        <v>13.709016999999999</v>
      </c>
      <c r="X67">
        <v>13.709016999999999</v>
      </c>
      <c r="Y67">
        <v>13.709016999999999</v>
      </c>
      <c r="Z67">
        <v>13.709016999999999</v>
      </c>
      <c r="AA67">
        <v>13.709016999999999</v>
      </c>
      <c r="AB67">
        <v>13.709016999999999</v>
      </c>
      <c r="AC67">
        <v>13.709016999999999</v>
      </c>
      <c r="AD67">
        <v>13.709016999999999</v>
      </c>
      <c r="AE67">
        <v>13.709016999999999</v>
      </c>
      <c r="AF67">
        <v>13.709016999999999</v>
      </c>
      <c r="AG67">
        <v>13.709016999999999</v>
      </c>
      <c r="AH67">
        <v>13.709016999999999</v>
      </c>
      <c r="AI67">
        <v>13.709016999999999</v>
      </c>
      <c r="AJ67">
        <v>13.709016999999999</v>
      </c>
      <c r="AK67">
        <v>13.709016999999999</v>
      </c>
      <c r="AL67">
        <v>13.709016999999999</v>
      </c>
      <c r="AM67">
        <v>13.709016999999999</v>
      </c>
      <c r="AN67">
        <v>13.709016999999999</v>
      </c>
      <c r="AO67">
        <v>13.709016999999999</v>
      </c>
      <c r="AP67">
        <v>13.709016999999999</v>
      </c>
      <c r="AQ67">
        <v>13.709016999999999</v>
      </c>
      <c r="AR67">
        <v>13.709016999999999</v>
      </c>
      <c r="AS67">
        <v>13.709016999999999</v>
      </c>
      <c r="AT67">
        <v>13.709016999999999</v>
      </c>
      <c r="AU67" s="60">
        <f t="shared" si="0"/>
        <v>0</v>
      </c>
    </row>
    <row r="68" spans="1:47">
      <c r="A68" s="13" t="s">
        <v>353</v>
      </c>
      <c r="B68">
        <v>0.86246400000000001</v>
      </c>
      <c r="C68">
        <v>0.86246400000000001</v>
      </c>
      <c r="D68">
        <v>0.86246400000000001</v>
      </c>
      <c r="E68">
        <v>0.86246400000000001</v>
      </c>
      <c r="F68">
        <v>0.86246400000000001</v>
      </c>
      <c r="G68">
        <v>0.86246400000000001</v>
      </c>
      <c r="H68">
        <v>0.86246400000000001</v>
      </c>
      <c r="I68">
        <v>0.86246400000000001</v>
      </c>
      <c r="J68">
        <v>0.86246400000000001</v>
      </c>
      <c r="K68">
        <v>0.86246400000000001</v>
      </c>
      <c r="L68">
        <v>0.86246400000000001</v>
      </c>
      <c r="M68">
        <v>0.86246400000000001</v>
      </c>
      <c r="N68">
        <v>0.86246400000000001</v>
      </c>
      <c r="O68">
        <v>0.86246400000000001</v>
      </c>
      <c r="P68">
        <v>0.86246400000000001</v>
      </c>
      <c r="Q68">
        <v>0.86246400000000001</v>
      </c>
      <c r="R68">
        <v>0.86246400000000001</v>
      </c>
      <c r="S68">
        <v>0.86246400000000001</v>
      </c>
      <c r="T68">
        <v>0.86246400000000001</v>
      </c>
      <c r="U68">
        <v>0.86246400000000001</v>
      </c>
      <c r="V68">
        <v>0.86246400000000001</v>
      </c>
      <c r="W68">
        <v>0.86246400000000001</v>
      </c>
      <c r="X68">
        <v>0.86246400000000001</v>
      </c>
      <c r="Y68">
        <v>0.86246400000000001</v>
      </c>
      <c r="Z68">
        <v>0.86246400000000001</v>
      </c>
      <c r="AA68">
        <v>0.86246400000000001</v>
      </c>
      <c r="AB68">
        <v>0.86246400000000001</v>
      </c>
      <c r="AC68">
        <v>0.86246400000000001</v>
      </c>
      <c r="AD68">
        <v>0.86246400000000001</v>
      </c>
      <c r="AE68">
        <v>0.86246400000000001</v>
      </c>
      <c r="AF68">
        <v>0.86246400000000001</v>
      </c>
      <c r="AG68">
        <v>0.86246400000000001</v>
      </c>
      <c r="AH68">
        <v>0.86246400000000001</v>
      </c>
      <c r="AI68">
        <v>0.86246400000000001</v>
      </c>
      <c r="AJ68">
        <v>0.86246400000000001</v>
      </c>
      <c r="AK68">
        <v>0.86246400000000001</v>
      </c>
      <c r="AL68">
        <v>0.86246400000000001</v>
      </c>
      <c r="AM68">
        <v>0.86246400000000001</v>
      </c>
      <c r="AN68">
        <v>0.86246400000000001</v>
      </c>
      <c r="AO68">
        <v>0.86246400000000001</v>
      </c>
      <c r="AP68">
        <v>0.86246400000000001</v>
      </c>
      <c r="AQ68">
        <v>0.86246400000000001</v>
      </c>
      <c r="AR68">
        <v>0.86246400000000001</v>
      </c>
      <c r="AS68">
        <v>0.86246400000000001</v>
      </c>
      <c r="AT68">
        <v>0.86246400000000001</v>
      </c>
      <c r="AU68" s="60">
        <f t="shared" si="0"/>
        <v>0</v>
      </c>
    </row>
    <row r="69" spans="1:47">
      <c r="A69" s="13" t="s">
        <v>354</v>
      </c>
      <c r="B69">
        <v>0.38646399999999997</v>
      </c>
      <c r="C69">
        <v>0.38646399999999997</v>
      </c>
      <c r="D69">
        <v>0.38646399999999997</v>
      </c>
      <c r="E69">
        <v>0.38646399999999997</v>
      </c>
      <c r="F69">
        <v>0.38646399999999997</v>
      </c>
      <c r="G69">
        <v>0.38646399999999997</v>
      </c>
      <c r="H69">
        <v>0.38646399999999997</v>
      </c>
      <c r="I69">
        <v>0.38646399999999997</v>
      </c>
      <c r="J69">
        <v>0.38646399999999997</v>
      </c>
      <c r="K69">
        <v>0.38646399999999997</v>
      </c>
      <c r="L69">
        <v>0.38646399999999997</v>
      </c>
      <c r="M69">
        <v>0.38646399999999997</v>
      </c>
      <c r="N69">
        <v>0.38646399999999997</v>
      </c>
      <c r="O69">
        <v>0.38646399999999997</v>
      </c>
      <c r="P69">
        <v>0.38646399999999997</v>
      </c>
      <c r="Q69">
        <v>0.38646399999999997</v>
      </c>
      <c r="R69">
        <v>0.38646399999999997</v>
      </c>
      <c r="S69">
        <v>0.38646399999999997</v>
      </c>
      <c r="T69">
        <v>0.38646399999999997</v>
      </c>
      <c r="U69">
        <v>0.38646399999999997</v>
      </c>
      <c r="V69">
        <v>0.38646399999999997</v>
      </c>
      <c r="W69">
        <v>0.38646399999999997</v>
      </c>
      <c r="X69">
        <v>0.38646399999999997</v>
      </c>
      <c r="Y69">
        <v>0.38646399999999997</v>
      </c>
      <c r="Z69">
        <v>0.38646399999999997</v>
      </c>
      <c r="AA69">
        <v>0.38646399999999997</v>
      </c>
      <c r="AB69">
        <v>0.38646399999999997</v>
      </c>
      <c r="AC69">
        <v>0.38646399999999997</v>
      </c>
      <c r="AD69">
        <v>0.38646399999999997</v>
      </c>
      <c r="AE69">
        <v>0.38646399999999997</v>
      </c>
      <c r="AF69">
        <v>0.38646399999999997</v>
      </c>
      <c r="AG69">
        <v>0.38646399999999997</v>
      </c>
      <c r="AH69">
        <v>0.38646399999999997</v>
      </c>
      <c r="AI69">
        <v>0.38646399999999997</v>
      </c>
      <c r="AJ69">
        <v>0.38646399999999997</v>
      </c>
      <c r="AK69">
        <v>0.38646399999999997</v>
      </c>
      <c r="AL69">
        <v>0.38646399999999997</v>
      </c>
      <c r="AM69">
        <v>0.38646399999999997</v>
      </c>
      <c r="AN69">
        <v>0.38646399999999997</v>
      </c>
      <c r="AO69">
        <v>0.38646399999999997</v>
      </c>
      <c r="AP69">
        <v>0.38646399999999997</v>
      </c>
      <c r="AQ69">
        <v>0.38646399999999997</v>
      </c>
      <c r="AR69">
        <v>0.38646399999999997</v>
      </c>
      <c r="AS69">
        <v>0.38646399999999997</v>
      </c>
      <c r="AT69">
        <v>0.38646399999999997</v>
      </c>
      <c r="AU69" s="60">
        <f t="shared" si="0"/>
        <v>0</v>
      </c>
    </row>
    <row r="70" spans="1:47">
      <c r="A70" s="13" t="s">
        <v>355</v>
      </c>
      <c r="B70">
        <v>1.0052730000000001</v>
      </c>
      <c r="C70">
        <v>1.0052730000000001</v>
      </c>
      <c r="D70">
        <v>1.0052730000000001</v>
      </c>
      <c r="E70">
        <v>1.0052730000000001</v>
      </c>
      <c r="F70">
        <v>1.0052730000000001</v>
      </c>
      <c r="G70">
        <v>1.0052730000000001</v>
      </c>
      <c r="H70">
        <v>1.0052730000000001</v>
      </c>
      <c r="I70">
        <v>1.0052730000000001</v>
      </c>
      <c r="J70">
        <v>1.0052730000000001</v>
      </c>
      <c r="K70">
        <v>1.0052730000000001</v>
      </c>
      <c r="L70">
        <v>1.0052730000000001</v>
      </c>
      <c r="M70">
        <v>1.0052730000000001</v>
      </c>
      <c r="N70">
        <v>1.0052730000000001</v>
      </c>
      <c r="O70">
        <v>1.0052730000000001</v>
      </c>
      <c r="P70">
        <v>1.0052730000000001</v>
      </c>
      <c r="Q70">
        <v>1.0052730000000001</v>
      </c>
      <c r="R70">
        <v>1.0052730000000001</v>
      </c>
      <c r="S70">
        <v>1.0052730000000001</v>
      </c>
      <c r="T70">
        <v>1.0052730000000001</v>
      </c>
      <c r="U70">
        <v>1.0052730000000001</v>
      </c>
      <c r="V70">
        <v>1.0052730000000001</v>
      </c>
      <c r="W70">
        <v>1.0052730000000001</v>
      </c>
      <c r="X70">
        <v>1.0052730000000001</v>
      </c>
      <c r="Y70">
        <v>1.0052730000000001</v>
      </c>
      <c r="Z70">
        <v>1.0052730000000001</v>
      </c>
      <c r="AA70">
        <v>1.0052730000000001</v>
      </c>
      <c r="AB70">
        <v>1.0052730000000001</v>
      </c>
      <c r="AC70">
        <v>1.0052730000000001</v>
      </c>
      <c r="AD70">
        <v>1.0052730000000001</v>
      </c>
      <c r="AE70">
        <v>1.0052730000000001</v>
      </c>
      <c r="AF70">
        <v>1.0052730000000001</v>
      </c>
      <c r="AG70">
        <v>1.0052730000000001</v>
      </c>
      <c r="AH70">
        <v>1.0052730000000001</v>
      </c>
      <c r="AI70">
        <v>1.0052730000000001</v>
      </c>
      <c r="AJ70">
        <v>1.0052730000000001</v>
      </c>
      <c r="AK70">
        <v>1.0052730000000001</v>
      </c>
      <c r="AL70">
        <v>1.0052730000000001</v>
      </c>
      <c r="AM70">
        <v>1.0052730000000001</v>
      </c>
      <c r="AN70">
        <v>1.0052730000000001</v>
      </c>
      <c r="AO70">
        <v>1.0052730000000001</v>
      </c>
      <c r="AP70">
        <v>1.0052730000000001</v>
      </c>
      <c r="AQ70">
        <v>1.0052730000000001</v>
      </c>
      <c r="AR70">
        <v>1.0052730000000001</v>
      </c>
      <c r="AS70">
        <v>1.0052730000000001</v>
      </c>
      <c r="AT70">
        <v>1.0052730000000001</v>
      </c>
      <c r="AU70" s="60">
        <f t="shared" si="0"/>
        <v>0</v>
      </c>
    </row>
    <row r="71" spans="1:47">
      <c r="A71" s="13" t="s">
        <v>399</v>
      </c>
      <c r="B71">
        <v>1211.645066</v>
      </c>
      <c r="C71">
        <v>1241.274179</v>
      </c>
      <c r="D71">
        <v>1204.60222</v>
      </c>
      <c r="E71">
        <v>1116.244138</v>
      </c>
      <c r="F71">
        <v>1149.7041810000001</v>
      </c>
      <c r="G71">
        <v>1163.811862</v>
      </c>
      <c r="H71">
        <v>1132.565155</v>
      </c>
      <c r="I71">
        <v>1125.88336</v>
      </c>
      <c r="J71">
        <v>1140.0938389999999</v>
      </c>
      <c r="K71">
        <v>1107.730425</v>
      </c>
      <c r="L71">
        <v>1138.0141799999999</v>
      </c>
      <c r="M71">
        <v>1162.6318389999999</v>
      </c>
      <c r="N71">
        <v>1179.361723</v>
      </c>
      <c r="O71">
        <v>1203.1584809999999</v>
      </c>
      <c r="P71">
        <v>1224.814552</v>
      </c>
      <c r="Q71">
        <v>1227.87103</v>
      </c>
      <c r="R71">
        <v>1226.477367</v>
      </c>
      <c r="S71">
        <v>1224.1884620000001</v>
      </c>
      <c r="T71">
        <v>1213.4880909999999</v>
      </c>
      <c r="U71">
        <v>1200.33366</v>
      </c>
      <c r="V71">
        <v>1188.294625</v>
      </c>
      <c r="W71">
        <v>1182.7802750000001</v>
      </c>
      <c r="X71">
        <v>1183.1772100000001</v>
      </c>
      <c r="Y71">
        <v>1189.048389</v>
      </c>
      <c r="Z71">
        <v>1199.804069</v>
      </c>
      <c r="AA71">
        <v>1214.9407220000001</v>
      </c>
      <c r="AB71">
        <v>1233.002886</v>
      </c>
      <c r="AC71">
        <v>1253.085069</v>
      </c>
      <c r="AD71">
        <v>1274.311389</v>
      </c>
      <c r="AE71">
        <v>1296.1058129999999</v>
      </c>
      <c r="AF71">
        <v>1318.131476</v>
      </c>
      <c r="AG71">
        <v>1340.40247</v>
      </c>
      <c r="AH71">
        <v>1363.0912450000001</v>
      </c>
      <c r="AI71">
        <v>1386.167805</v>
      </c>
      <c r="AJ71">
        <v>1409.7402070000001</v>
      </c>
      <c r="AK71">
        <v>1433.1374519999999</v>
      </c>
      <c r="AL71">
        <v>1456.9220749999999</v>
      </c>
      <c r="AM71">
        <v>1481.265013</v>
      </c>
      <c r="AN71">
        <v>1506.342977</v>
      </c>
      <c r="AO71">
        <v>1531.7151249999999</v>
      </c>
      <c r="AP71">
        <v>1556.624491</v>
      </c>
      <c r="AQ71">
        <v>1581.7437669999999</v>
      </c>
      <c r="AR71">
        <v>1606.5877290000001</v>
      </c>
      <c r="AS71">
        <v>1630.928226</v>
      </c>
      <c r="AT71">
        <v>1655.450724</v>
      </c>
      <c r="AU71" s="60">
        <f t="shared" si="0"/>
        <v>-9.7224195289982163E-2</v>
      </c>
    </row>
    <row r="72" spans="1:47">
      <c r="A72" s="13" t="s">
        <v>400</v>
      </c>
      <c r="B72">
        <v>72.366798169999996</v>
      </c>
      <c r="C72">
        <v>74.136428629999997</v>
      </c>
      <c r="D72">
        <v>71.94615666</v>
      </c>
      <c r="E72">
        <v>66.668875650000004</v>
      </c>
      <c r="F72">
        <v>68.667312499999994</v>
      </c>
      <c r="G72">
        <v>69.509908830000001</v>
      </c>
      <c r="H72">
        <v>67.643665850000005</v>
      </c>
      <c r="I72">
        <v>67.24458851</v>
      </c>
      <c r="J72">
        <v>68.093324550000006</v>
      </c>
      <c r="K72">
        <v>66.160385020000007</v>
      </c>
      <c r="L72">
        <v>67.969114689999998</v>
      </c>
      <c r="M72">
        <v>69.439430709999996</v>
      </c>
      <c r="N72">
        <v>70.438640969999994</v>
      </c>
      <c r="O72">
        <v>71.85992779</v>
      </c>
      <c r="P72">
        <v>73.153359800000004</v>
      </c>
      <c r="Q72">
        <v>73.335911199999998</v>
      </c>
      <c r="R72">
        <v>73.252673180000002</v>
      </c>
      <c r="S72">
        <v>73.115965869999997</v>
      </c>
      <c r="T72">
        <v>72.476874800000004</v>
      </c>
      <c r="U72">
        <v>71.691212289999996</v>
      </c>
      <c r="V72">
        <v>70.972168089999997</v>
      </c>
      <c r="W72">
        <v>70.642817629999996</v>
      </c>
      <c r="X72">
        <v>70.666524969999998</v>
      </c>
      <c r="Y72">
        <v>71.017187419999999</v>
      </c>
      <c r="Z72">
        <v>71.659581950000003</v>
      </c>
      <c r="AA72">
        <v>72.563634759999999</v>
      </c>
      <c r="AB72">
        <v>73.64241681</v>
      </c>
      <c r="AC72">
        <v>74.841846649999894</v>
      </c>
      <c r="AD72">
        <v>76.109611380000004</v>
      </c>
      <c r="AE72">
        <v>77.411306659999994</v>
      </c>
      <c r="AF72">
        <v>78.72681292</v>
      </c>
      <c r="AG72">
        <v>80.05697189</v>
      </c>
      <c r="AH72">
        <v>81.412083280000004</v>
      </c>
      <c r="AI72">
        <v>82.790355480000002</v>
      </c>
      <c r="AJ72">
        <v>84.198242399999998</v>
      </c>
      <c r="AK72">
        <v>85.595667930000005</v>
      </c>
      <c r="AL72">
        <v>87.016229989999999</v>
      </c>
      <c r="AM72">
        <v>88.470137989999998</v>
      </c>
      <c r="AN72">
        <v>89.967946249999997</v>
      </c>
      <c r="AO72">
        <v>91.483324929999995</v>
      </c>
      <c r="AP72">
        <v>92.971063490000006</v>
      </c>
      <c r="AQ72">
        <v>94.471339119999996</v>
      </c>
      <c r="AR72">
        <v>95.955171300000003</v>
      </c>
      <c r="AS72">
        <v>97.408933570000002</v>
      </c>
      <c r="AT72">
        <v>98.873565979999995</v>
      </c>
      <c r="AU72" s="60">
        <f t="shared" si="0"/>
        <v>-5.8067995095001379E-3</v>
      </c>
    </row>
    <row r="73" spans="1:47">
      <c r="A73" s="13" t="s">
        <v>401</v>
      </c>
      <c r="B73">
        <v>7.2040010880000001</v>
      </c>
      <c r="C73">
        <v>7.3801650209999998</v>
      </c>
      <c r="D73">
        <v>7.1621268860000002</v>
      </c>
      <c r="E73">
        <v>6.6367818510000003</v>
      </c>
      <c r="F73">
        <v>6.8357231010000001</v>
      </c>
      <c r="G73">
        <v>6.9196022409999998</v>
      </c>
      <c r="H73">
        <v>6.7338206840000003</v>
      </c>
      <c r="I73">
        <v>6.6940931619999997</v>
      </c>
      <c r="J73">
        <v>6.778583502</v>
      </c>
      <c r="K73">
        <v>6.5861624069999998</v>
      </c>
      <c r="L73">
        <v>6.7662186039999996</v>
      </c>
      <c r="M73">
        <v>6.9125862549999999</v>
      </c>
      <c r="N73">
        <v>7.0120560669999996</v>
      </c>
      <c r="O73">
        <v>7.1535429380000002</v>
      </c>
      <c r="P73">
        <v>7.2823020620000003</v>
      </c>
      <c r="Q73">
        <v>7.3004747679999999</v>
      </c>
      <c r="R73">
        <v>7.292188554</v>
      </c>
      <c r="S73">
        <v>7.2785795560000004</v>
      </c>
      <c r="T73">
        <v>7.2149590430000003</v>
      </c>
      <c r="U73">
        <v>7.1367475750000002</v>
      </c>
      <c r="V73">
        <v>7.0651678540000002</v>
      </c>
      <c r="W73">
        <v>7.0323815329999997</v>
      </c>
      <c r="X73">
        <v>7.0347415609999997</v>
      </c>
      <c r="Y73">
        <v>7.0696494569999997</v>
      </c>
      <c r="Z73">
        <v>7.1335988239999999</v>
      </c>
      <c r="AA73">
        <v>7.2235958609999997</v>
      </c>
      <c r="AB73">
        <v>7.3309869189999999</v>
      </c>
      <c r="AC73">
        <v>7.450388276</v>
      </c>
      <c r="AD73">
        <v>7.5765922640000003</v>
      </c>
      <c r="AE73">
        <v>7.7061739850000004</v>
      </c>
      <c r="AF73">
        <v>7.8371305659999999</v>
      </c>
      <c r="AG73">
        <v>7.9695458019999998</v>
      </c>
      <c r="AH73">
        <v>8.1044450119999905</v>
      </c>
      <c r="AI73">
        <v>8.2416498449999995</v>
      </c>
      <c r="AJ73">
        <v>8.3818027770000008</v>
      </c>
      <c r="AK73">
        <v>8.5209142930000006</v>
      </c>
      <c r="AL73">
        <v>8.6623290149999903</v>
      </c>
      <c r="AM73">
        <v>8.8070632730000007</v>
      </c>
      <c r="AN73">
        <v>8.9561677320000008</v>
      </c>
      <c r="AO73">
        <v>9.1070212999999995</v>
      </c>
      <c r="AP73">
        <v>9.2551233360000005</v>
      </c>
      <c r="AQ73">
        <v>9.4044734190000003</v>
      </c>
      <c r="AR73">
        <v>9.5521865810000008</v>
      </c>
      <c r="AS73">
        <v>9.6969063319999904</v>
      </c>
      <c r="AT73">
        <v>9.8427081879999996</v>
      </c>
      <c r="AU73" s="60">
        <f t="shared" si="0"/>
        <v>-5.7805751039019526E-4</v>
      </c>
    </row>
    <row r="74" spans="1:47">
      <c r="A74" s="13" t="s">
        <v>405</v>
      </c>
      <c r="B74">
        <v>9.9210602419999905</v>
      </c>
      <c r="C74">
        <v>10.16366612</v>
      </c>
      <c r="D74">
        <v>9.8633927759999995</v>
      </c>
      <c r="E74">
        <v>9.1399087459999997</v>
      </c>
      <c r="F74">
        <v>9.4138826249999994</v>
      </c>
      <c r="G74">
        <v>9.5293976009999994</v>
      </c>
      <c r="H74">
        <v>9.2735467200000006</v>
      </c>
      <c r="I74">
        <v>9.2188355770000001</v>
      </c>
      <c r="J74">
        <v>9.3351922700000003</v>
      </c>
      <c r="K74">
        <v>9.0701976860000002</v>
      </c>
      <c r="L74">
        <v>9.3181638319999998</v>
      </c>
      <c r="M74">
        <v>9.5197354660000002</v>
      </c>
      <c r="N74">
        <v>9.6567212869999999</v>
      </c>
      <c r="O74">
        <v>9.8515713090000006</v>
      </c>
      <c r="P74">
        <v>10.02889319</v>
      </c>
      <c r="Q74">
        <v>10.053919909999999</v>
      </c>
      <c r="R74">
        <v>10.04250847</v>
      </c>
      <c r="S74">
        <v>10.023766699999999</v>
      </c>
      <c r="T74">
        <v>9.9361510959999997</v>
      </c>
      <c r="U74">
        <v>9.828441411</v>
      </c>
      <c r="V74">
        <v>9.7298647010000003</v>
      </c>
      <c r="W74">
        <v>9.6847127000000004</v>
      </c>
      <c r="X74">
        <v>9.6879628360000005</v>
      </c>
      <c r="Y74">
        <v>9.7360365850000008</v>
      </c>
      <c r="Z74">
        <v>9.8241050780000005</v>
      </c>
      <c r="AA74">
        <v>9.9480453729999905</v>
      </c>
      <c r="AB74">
        <v>10.09594002</v>
      </c>
      <c r="AC74">
        <v>10.260374759999999</v>
      </c>
      <c r="AD74">
        <v>10.43417781</v>
      </c>
      <c r="AE74">
        <v>10.61263254</v>
      </c>
      <c r="AF74">
        <v>10.79298067</v>
      </c>
      <c r="AG74">
        <v>10.9753376</v>
      </c>
      <c r="AH74">
        <v>11.16111536</v>
      </c>
      <c r="AI74">
        <v>11.350068329999999</v>
      </c>
      <c r="AJ74">
        <v>11.543081300000001</v>
      </c>
      <c r="AK74">
        <v>11.734660079999999</v>
      </c>
      <c r="AL74">
        <v>11.92941074</v>
      </c>
      <c r="AM74">
        <v>12.128732940000001</v>
      </c>
      <c r="AN74">
        <v>12.3340736</v>
      </c>
      <c r="AO74">
        <v>12.54182306</v>
      </c>
      <c r="AP74">
        <v>12.74578322</v>
      </c>
      <c r="AQ74">
        <v>12.95146214</v>
      </c>
      <c r="AR74">
        <v>13.15488676</v>
      </c>
      <c r="AS74">
        <v>13.354188969999999</v>
      </c>
      <c r="AT74">
        <v>13.554981420000001</v>
      </c>
      <c r="AU74" s="60">
        <f t="shared" ref="AU74:AU79" si="1">B74-B22</f>
        <v>-7.9607697830930135E-4</v>
      </c>
    </row>
    <row r="75" spans="1:47">
      <c r="A75" s="13" t="s">
        <v>406</v>
      </c>
      <c r="B75">
        <v>5.1378297299999997E-3</v>
      </c>
      <c r="C75">
        <v>5.26346829E-3</v>
      </c>
      <c r="D75">
        <v>5.10796542E-3</v>
      </c>
      <c r="E75">
        <v>4.7332939999999999E-3</v>
      </c>
      <c r="F75">
        <v>4.8751771399999999E-3</v>
      </c>
      <c r="G75">
        <v>4.9349989999999998E-3</v>
      </c>
      <c r="H75">
        <v>4.8025012399999997E-3</v>
      </c>
      <c r="I75">
        <v>4.77416792E-3</v>
      </c>
      <c r="J75">
        <v>4.8344256799999997E-3</v>
      </c>
      <c r="K75">
        <v>4.6971926600000002E-3</v>
      </c>
      <c r="L75">
        <v>4.8256071500000003E-3</v>
      </c>
      <c r="M75">
        <v>4.9299952600000002E-3</v>
      </c>
      <c r="N75">
        <v>5.00093625E-3</v>
      </c>
      <c r="O75">
        <v>5.10184343E-3</v>
      </c>
      <c r="P75">
        <v>5.1936732999999999E-3</v>
      </c>
      <c r="Q75">
        <v>5.2066339100000003E-3</v>
      </c>
      <c r="R75">
        <v>5.2007242500000002E-3</v>
      </c>
      <c r="S75">
        <v>5.1910184400000003E-3</v>
      </c>
      <c r="T75">
        <v>5.1456448499999996E-3</v>
      </c>
      <c r="U75">
        <v>5.0898651300000002E-3</v>
      </c>
      <c r="V75">
        <v>5.0388150999999999E-3</v>
      </c>
      <c r="W75">
        <v>5.0154321900000003E-3</v>
      </c>
      <c r="X75">
        <v>5.0171153400000003E-3</v>
      </c>
      <c r="Y75">
        <v>5.0420113400000003E-3</v>
      </c>
      <c r="Z75">
        <v>5.0876194599999997E-3</v>
      </c>
      <c r="AA75">
        <v>5.1518045499999998E-3</v>
      </c>
      <c r="AB75">
        <v>5.2283948999999998E-3</v>
      </c>
      <c r="AC75">
        <v>5.3135508900000001E-3</v>
      </c>
      <c r="AD75">
        <v>5.40355846E-3</v>
      </c>
      <c r="AE75">
        <v>5.4959749900000002E-3</v>
      </c>
      <c r="AF75">
        <v>5.5893720700000002E-3</v>
      </c>
      <c r="AG75">
        <v>5.6838094399999997E-3</v>
      </c>
      <c r="AH75">
        <v>5.7800183599999999E-3</v>
      </c>
      <c r="AI75">
        <v>5.8778716299999999E-3</v>
      </c>
      <c r="AJ75">
        <v>5.9778274599999997E-3</v>
      </c>
      <c r="AK75">
        <v>6.0770405600000001E-3</v>
      </c>
      <c r="AL75">
        <v>6.1778962900000001E-3</v>
      </c>
      <c r="AM75">
        <v>6.2811194799999998E-3</v>
      </c>
      <c r="AN75">
        <v>6.3874594599999997E-3</v>
      </c>
      <c r="AO75">
        <v>6.4950468899999999E-3</v>
      </c>
      <c r="AP75">
        <v>6.6006719400000004E-3</v>
      </c>
      <c r="AQ75">
        <v>6.7071871000000003E-3</v>
      </c>
      <c r="AR75">
        <v>6.8125348199999996E-3</v>
      </c>
      <c r="AS75">
        <v>6.9157476599999998E-3</v>
      </c>
      <c r="AT75">
        <v>7.0197322499999997E-3</v>
      </c>
      <c r="AU75" s="60">
        <f t="shared" si="1"/>
        <v>-4.1227000000063768E-7</v>
      </c>
    </row>
    <row r="76" spans="1:47">
      <c r="A76" s="13" t="s">
        <v>407</v>
      </c>
      <c r="B76">
        <v>1.37079171E-2</v>
      </c>
      <c r="C76">
        <v>1.4043125300000001E-2</v>
      </c>
      <c r="D76">
        <v>1.3628238000000001E-2</v>
      </c>
      <c r="E76">
        <v>1.2628601E-2</v>
      </c>
      <c r="F76">
        <v>1.30071504E-2</v>
      </c>
      <c r="G76">
        <v>1.31667573E-2</v>
      </c>
      <c r="H76">
        <v>1.2813248399999999E-2</v>
      </c>
      <c r="I76">
        <v>1.2737654100000001E-2</v>
      </c>
      <c r="J76">
        <v>1.2898424E-2</v>
      </c>
      <c r="K76">
        <v>1.25322813E-2</v>
      </c>
      <c r="L76">
        <v>1.2874895799999999E-2</v>
      </c>
      <c r="M76">
        <v>1.31534071E-2</v>
      </c>
      <c r="N76">
        <v>1.33426802E-2</v>
      </c>
      <c r="O76">
        <v>1.36119043E-2</v>
      </c>
      <c r="P76">
        <v>1.38569097E-2</v>
      </c>
      <c r="Q76">
        <v>1.38914891E-2</v>
      </c>
      <c r="R76">
        <v>1.38757219E-2</v>
      </c>
      <c r="S76">
        <v>1.3849826500000001E-2</v>
      </c>
      <c r="T76">
        <v>1.37287681E-2</v>
      </c>
      <c r="U76">
        <v>1.35799457E-2</v>
      </c>
      <c r="V76">
        <v>1.34437424E-2</v>
      </c>
      <c r="W76">
        <v>1.3381355899999999E-2</v>
      </c>
      <c r="X76">
        <v>1.3385846700000001E-2</v>
      </c>
      <c r="Y76">
        <v>1.34522701E-2</v>
      </c>
      <c r="Z76">
        <v>1.35739542E-2</v>
      </c>
      <c r="AA76">
        <v>1.37452024E-2</v>
      </c>
      <c r="AB76">
        <v>1.39495482E-2</v>
      </c>
      <c r="AC76">
        <v>1.41767475E-2</v>
      </c>
      <c r="AD76">
        <v>1.4416890999999999E-2</v>
      </c>
      <c r="AE76">
        <v>1.46634617E-2</v>
      </c>
      <c r="AF76">
        <v>1.49126485E-2</v>
      </c>
      <c r="AG76">
        <v>1.5164610800000001E-2</v>
      </c>
      <c r="AH76">
        <v>1.54212997E-2</v>
      </c>
      <c r="AI76">
        <v>1.5682375799999999E-2</v>
      </c>
      <c r="AJ76">
        <v>1.5949061600000002E-2</v>
      </c>
      <c r="AK76">
        <v>1.6213765799999998E-2</v>
      </c>
      <c r="AL76">
        <v>1.6482852499999999E-2</v>
      </c>
      <c r="AM76">
        <v>1.67582558E-2</v>
      </c>
      <c r="AN76">
        <v>1.70419747E-2</v>
      </c>
      <c r="AO76">
        <v>1.7329021900000002E-2</v>
      </c>
      <c r="AP76">
        <v>1.7610833400000001E-2</v>
      </c>
      <c r="AQ76">
        <v>1.7895019700000001E-2</v>
      </c>
      <c r="AR76">
        <v>1.8176091299999999E-2</v>
      </c>
      <c r="AS76">
        <v>1.8451466900000001E-2</v>
      </c>
      <c r="AT76">
        <v>1.87289016E-2</v>
      </c>
      <c r="AU76" s="60">
        <f t="shared" si="1"/>
        <v>-1.0999000000008058E-6</v>
      </c>
    </row>
    <row r="77" spans="1:47">
      <c r="A77" s="13" t="s">
        <v>408</v>
      </c>
      <c r="B77">
        <v>3679.4403170000001</v>
      </c>
      <c r="C77">
        <v>3769.415966</v>
      </c>
      <c r="D77">
        <v>3658.0530869999998</v>
      </c>
      <c r="E77">
        <v>3389.7333469999999</v>
      </c>
      <c r="F77">
        <v>3491.3425010000001</v>
      </c>
      <c r="G77">
        <v>3534.1837340000002</v>
      </c>
      <c r="H77">
        <v>3439.2958870000002</v>
      </c>
      <c r="I77">
        <v>3419.0050729999998</v>
      </c>
      <c r="J77">
        <v>3462.1584760000001</v>
      </c>
      <c r="K77">
        <v>3363.879488</v>
      </c>
      <c r="L77">
        <v>3455.8431099999998</v>
      </c>
      <c r="M77">
        <v>3530.6003219999998</v>
      </c>
      <c r="N77">
        <v>3581.4044840000001</v>
      </c>
      <c r="O77">
        <v>3653.6688389999999</v>
      </c>
      <c r="P77">
        <v>3719.4325039999999</v>
      </c>
      <c r="Q77">
        <v>3728.7142050000002</v>
      </c>
      <c r="R77">
        <v>3724.4820249999998</v>
      </c>
      <c r="S77">
        <v>3717.5312359999998</v>
      </c>
      <c r="T77">
        <v>3685.037088</v>
      </c>
      <c r="U77">
        <v>3645.0906150000001</v>
      </c>
      <c r="V77">
        <v>3608.531305</v>
      </c>
      <c r="W77">
        <v>3591.7857060000001</v>
      </c>
      <c r="X77">
        <v>3592.99109</v>
      </c>
      <c r="Y77">
        <v>3610.8202820000001</v>
      </c>
      <c r="Z77">
        <v>3643.4823919999999</v>
      </c>
      <c r="AA77">
        <v>3689.4483380000001</v>
      </c>
      <c r="AB77">
        <v>3744.2982729999999</v>
      </c>
      <c r="AC77">
        <v>3805.282463</v>
      </c>
      <c r="AD77">
        <v>3869.7410920000002</v>
      </c>
      <c r="AE77">
        <v>3935.9248980000002</v>
      </c>
      <c r="AF77">
        <v>4002.8109129999998</v>
      </c>
      <c r="AG77">
        <v>4070.4419349999998</v>
      </c>
      <c r="AH77">
        <v>4139.3416470000002</v>
      </c>
      <c r="AI77">
        <v>4209.4189530000003</v>
      </c>
      <c r="AJ77">
        <v>4281.0020000000004</v>
      </c>
      <c r="AK77">
        <v>4352.0531440000004</v>
      </c>
      <c r="AL77">
        <v>4424.2806499999997</v>
      </c>
      <c r="AM77">
        <v>4498.2036070000004</v>
      </c>
      <c r="AN77">
        <v>4574.3586429999996</v>
      </c>
      <c r="AO77">
        <v>4651.4070350000002</v>
      </c>
      <c r="AP77">
        <v>4727.0500830000001</v>
      </c>
      <c r="AQ77">
        <v>4803.3305710000004</v>
      </c>
      <c r="AR77">
        <v>4878.7750020000003</v>
      </c>
      <c r="AS77">
        <v>4952.6905500000003</v>
      </c>
      <c r="AT77">
        <v>5027.1587820000004</v>
      </c>
      <c r="AU77" s="60">
        <f t="shared" si="1"/>
        <v>-0.29524255610976979</v>
      </c>
    </row>
    <row r="78" spans="1:47">
      <c r="A78" s="13" t="s">
        <v>409</v>
      </c>
      <c r="B78">
        <v>1.6725940379999999</v>
      </c>
      <c r="C78">
        <v>1.7134950229999999</v>
      </c>
      <c r="D78">
        <v>1.6628718650000001</v>
      </c>
      <c r="E78">
        <v>1.5408995110000001</v>
      </c>
      <c r="F78">
        <v>1.5870888359999999</v>
      </c>
      <c r="G78">
        <v>1.606563535</v>
      </c>
      <c r="H78">
        <v>1.56342957</v>
      </c>
      <c r="I78">
        <v>1.5542058050000001</v>
      </c>
      <c r="J78">
        <v>1.5738224089999999</v>
      </c>
      <c r="K78">
        <v>1.529146906</v>
      </c>
      <c r="L78">
        <v>1.57095158</v>
      </c>
      <c r="M78">
        <v>1.6049345930000001</v>
      </c>
      <c r="N78">
        <v>1.6280290669999999</v>
      </c>
      <c r="O78">
        <v>1.6608788809999999</v>
      </c>
      <c r="P78">
        <v>1.6907736209999999</v>
      </c>
      <c r="Q78">
        <v>1.694992882</v>
      </c>
      <c r="R78">
        <v>1.693069025</v>
      </c>
      <c r="S78">
        <v>1.6899093460000001</v>
      </c>
      <c r="T78">
        <v>1.6751382079999999</v>
      </c>
      <c r="U78">
        <v>1.656979406</v>
      </c>
      <c r="V78">
        <v>1.6403603330000001</v>
      </c>
      <c r="W78">
        <v>1.632748146</v>
      </c>
      <c r="X78">
        <v>1.633296087</v>
      </c>
      <c r="Y78">
        <v>1.6414008529999999</v>
      </c>
      <c r="Z78">
        <v>1.656248342</v>
      </c>
      <c r="AA78">
        <v>1.6771434679999999</v>
      </c>
      <c r="AB78">
        <v>1.7020770629999999</v>
      </c>
      <c r="AC78">
        <v>1.729799157</v>
      </c>
      <c r="AD78">
        <v>1.7591006570000001</v>
      </c>
      <c r="AE78">
        <v>1.789186384</v>
      </c>
      <c r="AF78">
        <v>1.8195913210000001</v>
      </c>
      <c r="AG78">
        <v>1.850334922</v>
      </c>
      <c r="AH78">
        <v>1.881655241</v>
      </c>
      <c r="AI78">
        <v>1.9135108700000001</v>
      </c>
      <c r="AJ78">
        <v>1.946050976</v>
      </c>
      <c r="AK78">
        <v>1.9783492899999999</v>
      </c>
      <c r="AL78">
        <v>2.0111823530000001</v>
      </c>
      <c r="AM78">
        <v>2.044786132</v>
      </c>
      <c r="AN78">
        <v>2.0794045649999999</v>
      </c>
      <c r="AO78">
        <v>2.114429098</v>
      </c>
      <c r="AP78">
        <v>2.1488147930000001</v>
      </c>
      <c r="AQ78">
        <v>2.1834902540000001</v>
      </c>
      <c r="AR78">
        <v>2.2177856619999998</v>
      </c>
      <c r="AS78">
        <v>2.2513860719999998</v>
      </c>
      <c r="AT78">
        <v>2.2852377210000001</v>
      </c>
      <c r="AU78" s="60">
        <f t="shared" si="1"/>
        <v>-1.3421042343009226E-4</v>
      </c>
    </row>
    <row r="79" spans="1:47">
      <c r="A79" s="13" t="s">
        <v>410</v>
      </c>
      <c r="B79">
        <v>33.50875147</v>
      </c>
      <c r="C79">
        <v>34.328161870000002</v>
      </c>
      <c r="D79">
        <v>33.313977450000003</v>
      </c>
      <c r="E79">
        <v>30.87038312</v>
      </c>
      <c r="F79">
        <v>31.795740129999999</v>
      </c>
      <c r="G79">
        <v>32.185896270000001</v>
      </c>
      <c r="H79">
        <v>31.32175037</v>
      </c>
      <c r="I79">
        <v>31.13696144</v>
      </c>
      <c r="J79">
        <v>31.529960509999999</v>
      </c>
      <c r="K79">
        <v>30.63493141</v>
      </c>
      <c r="L79">
        <v>31.47244633</v>
      </c>
      <c r="M79">
        <v>32.153262050000002</v>
      </c>
      <c r="N79">
        <v>32.615936779999998</v>
      </c>
      <c r="O79">
        <v>33.274050000000003</v>
      </c>
      <c r="P79">
        <v>33.872961279999998</v>
      </c>
      <c r="Q79">
        <v>33.957489950000003</v>
      </c>
      <c r="R79">
        <v>33.91894739</v>
      </c>
      <c r="S79">
        <v>33.855646380000003</v>
      </c>
      <c r="T79">
        <v>33.55972139</v>
      </c>
      <c r="U79">
        <v>33.195927910000002</v>
      </c>
      <c r="V79">
        <v>32.862981390000002</v>
      </c>
      <c r="W79">
        <v>32.710478819999999</v>
      </c>
      <c r="X79">
        <v>32.721456269999997</v>
      </c>
      <c r="Y79">
        <v>32.883827160000003</v>
      </c>
      <c r="Z79">
        <v>33.181281779999999</v>
      </c>
      <c r="AA79">
        <v>33.599894759999998</v>
      </c>
      <c r="AB79">
        <v>34.099414430000003</v>
      </c>
      <c r="AC79">
        <v>34.654798909999997</v>
      </c>
      <c r="AD79">
        <v>35.241825200000001</v>
      </c>
      <c r="AE79">
        <v>35.844562719999999</v>
      </c>
      <c r="AF79">
        <v>36.453695260000003</v>
      </c>
      <c r="AG79">
        <v>37.06961261</v>
      </c>
      <c r="AH79">
        <v>37.697083939999999</v>
      </c>
      <c r="AI79">
        <v>38.335279649999997</v>
      </c>
      <c r="AJ79">
        <v>38.987188179999997</v>
      </c>
      <c r="AK79">
        <v>39.634252660000001</v>
      </c>
      <c r="AL79">
        <v>40.29203029</v>
      </c>
      <c r="AM79">
        <v>40.965248440000003</v>
      </c>
      <c r="AN79">
        <v>41.658794180000001</v>
      </c>
      <c r="AO79">
        <v>42.360475739999998</v>
      </c>
      <c r="AP79">
        <v>43.0493588</v>
      </c>
      <c r="AQ79">
        <v>43.744047039999998</v>
      </c>
      <c r="AR79">
        <v>44.43112129</v>
      </c>
      <c r="AS79">
        <v>45.104271959999998</v>
      </c>
      <c r="AT79">
        <v>45.782455939999998</v>
      </c>
      <c r="AU79" s="60">
        <f t="shared" si="1"/>
        <v>-2.6887770203032346E-3</v>
      </c>
    </row>
    <row r="80" spans="1:47">
      <c r="A80" s="13" t="s">
        <v>402</v>
      </c>
      <c r="B80">
        <v>3.268501552</v>
      </c>
      <c r="C80">
        <v>3.3484282599999999</v>
      </c>
      <c r="D80">
        <v>3.2495029579999999</v>
      </c>
      <c r="E80">
        <v>3.0111505420000002</v>
      </c>
      <c r="F80">
        <v>3.101411465</v>
      </c>
      <c r="G80">
        <v>3.139467969</v>
      </c>
      <c r="H80">
        <v>3.0551776839999998</v>
      </c>
      <c r="I80">
        <v>3.0371530519999999</v>
      </c>
      <c r="J80">
        <v>3.075486862</v>
      </c>
      <c r="K80">
        <v>2.9881841750000002</v>
      </c>
      <c r="L80">
        <v>3.0698768279999999</v>
      </c>
      <c r="M80">
        <v>3.1362847710000001</v>
      </c>
      <c r="N80">
        <v>3.1814148640000002</v>
      </c>
      <c r="O80">
        <v>3.2456083659999999</v>
      </c>
      <c r="P80">
        <v>3.3040272069999999</v>
      </c>
      <c r="Q80">
        <v>3.3122722800000002</v>
      </c>
      <c r="R80">
        <v>3.3085127719999998</v>
      </c>
      <c r="S80">
        <v>3.302338282</v>
      </c>
      <c r="T80">
        <v>3.2734732470000001</v>
      </c>
      <c r="U80">
        <v>3.2379882019999999</v>
      </c>
      <c r="V80">
        <v>3.2055120220000002</v>
      </c>
      <c r="W80">
        <v>3.1906366579999998</v>
      </c>
      <c r="X80">
        <v>3.191707418</v>
      </c>
      <c r="Y80">
        <v>3.2075453550000002</v>
      </c>
      <c r="Z80">
        <v>3.236559593</v>
      </c>
      <c r="AA80">
        <v>3.2773918270000002</v>
      </c>
      <c r="AB80">
        <v>3.3261158389999999</v>
      </c>
      <c r="AC80">
        <v>3.380289002</v>
      </c>
      <c r="AD80">
        <v>3.4375485609999998</v>
      </c>
      <c r="AE80">
        <v>3.4963406199999998</v>
      </c>
      <c r="AF80">
        <v>3.5557564620000002</v>
      </c>
      <c r="AG80">
        <v>3.6158341049999998</v>
      </c>
      <c r="AH80">
        <v>3.6770387430000002</v>
      </c>
      <c r="AI80">
        <v>3.7392894569999999</v>
      </c>
      <c r="AJ80">
        <v>3.8028777410000001</v>
      </c>
      <c r="AK80">
        <v>3.8659935299999999</v>
      </c>
      <c r="AL80">
        <v>3.9301542970000001</v>
      </c>
      <c r="AM80">
        <v>3.9958211590000001</v>
      </c>
      <c r="AN80">
        <v>4.0634708100000001</v>
      </c>
      <c r="AO80">
        <v>4.131914042</v>
      </c>
      <c r="AP80">
        <v>4.1991088870000004</v>
      </c>
      <c r="AQ80">
        <v>4.266869979</v>
      </c>
      <c r="AR80">
        <v>4.3338883890000002</v>
      </c>
      <c r="AS80">
        <v>4.3995486689999996</v>
      </c>
      <c r="AT80">
        <v>4.4656999070000003</v>
      </c>
      <c r="AU80" s="60">
        <f>B80-B19</f>
        <v>1.2197855902100763E-3</v>
      </c>
    </row>
    <row r="81" spans="1:47">
      <c r="A81" s="13" t="s">
        <v>403</v>
      </c>
      <c r="B81">
        <v>0.22231416449999999</v>
      </c>
      <c r="C81">
        <v>0.2277505514</v>
      </c>
      <c r="D81">
        <v>0.22102193419999999</v>
      </c>
      <c r="E81">
        <v>0.20480988189999999</v>
      </c>
      <c r="F81">
        <v>0.21094917269999999</v>
      </c>
      <c r="G81">
        <v>0.21353766769999999</v>
      </c>
      <c r="H81">
        <v>0.20780448260000001</v>
      </c>
      <c r="I81">
        <v>0.20657849850000001</v>
      </c>
      <c r="J81">
        <v>0.209185855</v>
      </c>
      <c r="K81">
        <v>0.20324777499999999</v>
      </c>
      <c r="L81">
        <v>0.20880427660000001</v>
      </c>
      <c r="M81">
        <v>0.21332115569999999</v>
      </c>
      <c r="N81">
        <v>0.21639077600000001</v>
      </c>
      <c r="O81">
        <v>0.2207570351</v>
      </c>
      <c r="P81">
        <v>0.22473051829999999</v>
      </c>
      <c r="Q81">
        <v>0.22529132469999999</v>
      </c>
      <c r="R81">
        <v>0.22503561359999999</v>
      </c>
      <c r="S81">
        <v>0.22461564240000001</v>
      </c>
      <c r="T81">
        <v>0.22265232500000001</v>
      </c>
      <c r="U81">
        <v>0.22023873329999999</v>
      </c>
      <c r="V81">
        <v>0.21802979610000001</v>
      </c>
      <c r="W81">
        <v>0.2170180162</v>
      </c>
      <c r="X81">
        <v>0.21709084619999999</v>
      </c>
      <c r="Y81">
        <v>0.21816809749999999</v>
      </c>
      <c r="Z81">
        <v>0.22014156339999999</v>
      </c>
      <c r="AA81">
        <v>0.22291885559999999</v>
      </c>
      <c r="AB81">
        <v>0.22623292410000001</v>
      </c>
      <c r="AC81">
        <v>0.22991762830000001</v>
      </c>
      <c r="AD81">
        <v>0.2338122604</v>
      </c>
      <c r="AE81">
        <v>0.23781112879999999</v>
      </c>
      <c r="AF81">
        <v>0.24185242509999999</v>
      </c>
      <c r="AG81">
        <v>0.24593873520000001</v>
      </c>
      <c r="AH81">
        <v>0.25010170030000001</v>
      </c>
      <c r="AI81">
        <v>0.25433581649999998</v>
      </c>
      <c r="AJ81">
        <v>0.25866091050000001</v>
      </c>
      <c r="AK81">
        <v>0.26295386659999997</v>
      </c>
      <c r="AL81">
        <v>0.26731789929999999</v>
      </c>
      <c r="AM81">
        <v>0.27178437220000001</v>
      </c>
      <c r="AN81">
        <v>0.27638570870000001</v>
      </c>
      <c r="AO81">
        <v>0.28104102240000001</v>
      </c>
      <c r="AP81">
        <v>0.28561142430000003</v>
      </c>
      <c r="AQ81">
        <v>0.29022034070000002</v>
      </c>
      <c r="AR81">
        <v>0.29477874209999999</v>
      </c>
      <c r="AS81">
        <v>0.29924476729999999</v>
      </c>
      <c r="AT81">
        <v>0.30374418609999998</v>
      </c>
      <c r="AU81" s="60">
        <f>B81-B20</f>
        <v>1.9276771739962228E-6</v>
      </c>
    </row>
    <row r="82" spans="1:47">
      <c r="A82" s="13" t="s">
        <v>404</v>
      </c>
      <c r="B82">
        <v>2.9490718399999998E-3</v>
      </c>
      <c r="C82">
        <v>3.0211873400000002E-3</v>
      </c>
      <c r="D82">
        <v>2.9319299800000002E-3</v>
      </c>
      <c r="E82">
        <v>2.71687167E-3</v>
      </c>
      <c r="F82">
        <v>2.79831142E-3</v>
      </c>
      <c r="G82">
        <v>2.83264867E-3</v>
      </c>
      <c r="H82">
        <v>2.7565960499999998E-3</v>
      </c>
      <c r="I82">
        <v>2.7403329599999999E-3</v>
      </c>
      <c r="J82">
        <v>2.7749204199999998E-3</v>
      </c>
      <c r="K82">
        <v>2.6961498E-3</v>
      </c>
      <c r="L82">
        <v>2.76985866E-3</v>
      </c>
      <c r="M82">
        <v>2.8297765699999999E-3</v>
      </c>
      <c r="N82">
        <v>2.8704961100000002E-3</v>
      </c>
      <c r="O82">
        <v>2.9284160000000001E-3</v>
      </c>
      <c r="P82">
        <v>2.9811255900000001E-3</v>
      </c>
      <c r="Q82">
        <v>2.98856487E-3</v>
      </c>
      <c r="R82">
        <v>2.9851727799999998E-3</v>
      </c>
      <c r="S82">
        <v>2.9796017199999998E-3</v>
      </c>
      <c r="T82">
        <v>2.9535576599999998E-3</v>
      </c>
      <c r="U82">
        <v>2.9215405499999998E-3</v>
      </c>
      <c r="V82">
        <v>2.8922382599999999E-3</v>
      </c>
      <c r="W82">
        <v>2.8788166600000002E-3</v>
      </c>
      <c r="X82">
        <v>2.8797827799999999E-3</v>
      </c>
      <c r="Y82">
        <v>2.8940728800000001E-3</v>
      </c>
      <c r="Z82">
        <v>2.9202515599999999E-3</v>
      </c>
      <c r="AA82">
        <v>2.9570932699999998E-3</v>
      </c>
      <c r="AB82">
        <v>3.0010555E-3</v>
      </c>
      <c r="AC82">
        <v>3.0499343400000002E-3</v>
      </c>
      <c r="AD82">
        <v>3.1015979399999999E-3</v>
      </c>
      <c r="AE82">
        <v>3.1546442600000001E-3</v>
      </c>
      <c r="AF82">
        <v>3.20825341E-3</v>
      </c>
      <c r="AG82">
        <v>3.26245969E-3</v>
      </c>
      <c r="AH82">
        <v>3.31768281E-3</v>
      </c>
      <c r="AI82">
        <v>3.3738497799999999E-3</v>
      </c>
      <c r="AJ82">
        <v>3.4312235999999999E-3</v>
      </c>
      <c r="AK82">
        <v>3.4881711E-3</v>
      </c>
      <c r="AL82">
        <v>3.54606146E-3</v>
      </c>
      <c r="AM82">
        <v>3.6053107200000002E-3</v>
      </c>
      <c r="AN82">
        <v>3.6663489900000002E-3</v>
      </c>
      <c r="AO82">
        <v>3.7281032800000002E-3</v>
      </c>
      <c r="AP82">
        <v>3.7887311900000002E-3</v>
      </c>
      <c r="AQ82">
        <v>3.84987001E-3</v>
      </c>
      <c r="AR82">
        <v>3.9103387299999999E-3</v>
      </c>
      <c r="AS82">
        <v>3.9695820499999999E-3</v>
      </c>
      <c r="AT82">
        <v>4.0292683500000002E-3</v>
      </c>
      <c r="AU82" s="60">
        <f>B82-B21</f>
        <v>1.7888448315297838E-6</v>
      </c>
    </row>
    <row r="83" spans="1:47">
      <c r="A83" s="13" t="s">
        <v>411</v>
      </c>
      <c r="B83">
        <v>5.2804382060000004</v>
      </c>
      <c r="C83">
        <v>5.4095640559999998</v>
      </c>
      <c r="D83">
        <v>5.2497449659999997</v>
      </c>
      <c r="E83">
        <v>4.8646739529999996</v>
      </c>
      <c r="F83">
        <v>5.0104952770000004</v>
      </c>
      <c r="G83">
        <v>5.071977586</v>
      </c>
      <c r="H83">
        <v>4.9358021440000002</v>
      </c>
      <c r="I83">
        <v>4.9066823919999996</v>
      </c>
      <c r="J83">
        <v>4.9686127009999996</v>
      </c>
      <c r="K83">
        <v>4.8275705650000003</v>
      </c>
      <c r="L83">
        <v>4.9595493939999997</v>
      </c>
      <c r="M83">
        <v>5.0668349600000004</v>
      </c>
      <c r="N83">
        <v>5.1397450259999999</v>
      </c>
      <c r="O83">
        <v>5.2434530449999999</v>
      </c>
      <c r="P83">
        <v>5.3378317920000002</v>
      </c>
      <c r="Q83">
        <v>5.3511521460000004</v>
      </c>
      <c r="R83">
        <v>5.3450784599999999</v>
      </c>
      <c r="S83">
        <v>5.3351032439999999</v>
      </c>
      <c r="T83">
        <v>5.2884702429999999</v>
      </c>
      <c r="U83">
        <v>5.2311422639999998</v>
      </c>
      <c r="V83">
        <v>5.1786752680000001</v>
      </c>
      <c r="W83">
        <v>5.1546433250000003</v>
      </c>
      <c r="X83">
        <v>5.1563731949999996</v>
      </c>
      <c r="Y83">
        <v>5.1819602250000001</v>
      </c>
      <c r="Z83">
        <v>5.2288342710000002</v>
      </c>
      <c r="AA83">
        <v>5.2948009169999999</v>
      </c>
      <c r="AB83">
        <v>5.3735171529999999</v>
      </c>
      <c r="AC83">
        <v>5.4610367799999997</v>
      </c>
      <c r="AD83">
        <v>5.5535426460000004</v>
      </c>
      <c r="AE83">
        <v>5.6485243460000003</v>
      </c>
      <c r="AF83">
        <v>5.7445138</v>
      </c>
      <c r="AG83">
        <v>5.8415724290000002</v>
      </c>
      <c r="AH83">
        <v>5.940451779</v>
      </c>
      <c r="AI83">
        <v>6.0410211199999999</v>
      </c>
      <c r="AJ83">
        <v>6.1437513790000002</v>
      </c>
      <c r="AK83">
        <v>6.2457182939999996</v>
      </c>
      <c r="AL83">
        <v>6.3493734279999998</v>
      </c>
      <c r="AM83">
        <v>6.4554617380000003</v>
      </c>
      <c r="AN83">
        <v>6.5647533490000001</v>
      </c>
      <c r="AO83">
        <v>6.6753270340000004</v>
      </c>
      <c r="AP83">
        <v>6.7838838819999996</v>
      </c>
      <c r="AQ83">
        <v>6.8933555310000001</v>
      </c>
      <c r="AR83">
        <v>7.0016273399999998</v>
      </c>
      <c r="AS83">
        <v>7.1077050169999998</v>
      </c>
      <c r="AT83">
        <v>7.2145758630000003</v>
      </c>
      <c r="AU83" s="60">
        <f t="shared" ref="AU83:AU88" si="2">B83-B31</f>
        <v>-4.2370861188967268E-4</v>
      </c>
    </row>
    <row r="84" spans="1:47">
      <c r="A84" s="13" t="s">
        <v>412</v>
      </c>
      <c r="B84">
        <v>1.8885212500000002E-2</v>
      </c>
      <c r="C84">
        <v>1.9347024300000001E-2</v>
      </c>
      <c r="D84">
        <v>1.87754397E-2</v>
      </c>
      <c r="E84">
        <v>1.7398253200000002E-2</v>
      </c>
      <c r="F84">
        <v>1.79197756E-2</v>
      </c>
      <c r="G84">
        <v>1.8139663899999998E-2</v>
      </c>
      <c r="H84">
        <v>1.7652639500000001E-2</v>
      </c>
      <c r="I84">
        <v>1.75484942E-2</v>
      </c>
      <c r="J84">
        <v>1.7769984799999999E-2</v>
      </c>
      <c r="K84">
        <v>1.7265554900000001E-2</v>
      </c>
      <c r="L84">
        <v>1.7737570300000002E-2</v>
      </c>
      <c r="M84">
        <v>1.8121271599999999E-2</v>
      </c>
      <c r="N84">
        <v>1.8382030600000002E-2</v>
      </c>
      <c r="O84">
        <v>1.8752937000000001E-2</v>
      </c>
      <c r="P84">
        <v>1.9090477599999999E-2</v>
      </c>
      <c r="Q84">
        <v>1.9138117199999999E-2</v>
      </c>
      <c r="R84">
        <v>1.9116395000000001E-2</v>
      </c>
      <c r="S84">
        <v>1.9080719100000001E-2</v>
      </c>
      <c r="T84">
        <v>1.8913938599999999E-2</v>
      </c>
      <c r="U84">
        <v>1.8708908100000001E-2</v>
      </c>
      <c r="V84">
        <v>1.8521262600000001E-2</v>
      </c>
      <c r="W84">
        <v>1.8435313599999999E-2</v>
      </c>
      <c r="X84">
        <v>1.8441500400000001E-2</v>
      </c>
      <c r="Y84">
        <v>1.85330111E-2</v>
      </c>
      <c r="Z84">
        <v>1.87006537E-2</v>
      </c>
      <c r="AA84">
        <v>1.89365799E-2</v>
      </c>
      <c r="AB84">
        <v>1.9218104499999999E-2</v>
      </c>
      <c r="AC84">
        <v>1.9531113900000001E-2</v>
      </c>
      <c r="AD84">
        <v>1.9861956300000001E-2</v>
      </c>
      <c r="AE84">
        <v>2.0201653399999998E-2</v>
      </c>
      <c r="AF84">
        <v>2.05449547E-2</v>
      </c>
      <c r="AG84">
        <v>2.0892079800000001E-2</v>
      </c>
      <c r="AH84">
        <v>2.12457167E-2</v>
      </c>
      <c r="AI84">
        <v>2.1605397700000001E-2</v>
      </c>
      <c r="AJ84">
        <v>2.1972807099999998E-2</v>
      </c>
      <c r="AK84">
        <v>2.23374865E-2</v>
      </c>
      <c r="AL84">
        <v>2.2708203699999999E-2</v>
      </c>
      <c r="AM84">
        <v>2.3087623000000002E-2</v>
      </c>
      <c r="AN84">
        <v>2.3478498699999999E-2</v>
      </c>
      <c r="AO84">
        <v>2.38739598E-2</v>
      </c>
      <c r="AP84">
        <v>2.42622077E-2</v>
      </c>
      <c r="AQ84">
        <v>2.4653727300000001E-2</v>
      </c>
      <c r="AR84">
        <v>2.50409558E-2</v>
      </c>
      <c r="AS84">
        <v>2.5420337099999999E-2</v>
      </c>
      <c r="AT84">
        <v>2.5802555099999999E-2</v>
      </c>
      <c r="AU84" s="60">
        <f t="shared" si="2"/>
        <v>-1.5153289247976653E-6</v>
      </c>
    </row>
    <row r="85" spans="1:47">
      <c r="A85" s="13" t="s">
        <v>413</v>
      </c>
      <c r="B85">
        <v>8.5854756700000003E-3</v>
      </c>
      <c r="C85">
        <v>8.7954216600000003E-3</v>
      </c>
      <c r="D85">
        <v>8.5355714600000004E-3</v>
      </c>
      <c r="E85">
        <v>7.90948369E-3</v>
      </c>
      <c r="F85">
        <v>8.1465748800000001E-3</v>
      </c>
      <c r="G85">
        <v>8.2465391000000002E-3</v>
      </c>
      <c r="H85">
        <v>8.0251311600000007E-3</v>
      </c>
      <c r="I85">
        <v>7.9777852900000008E-3</v>
      </c>
      <c r="J85">
        <v>8.0784779200000004E-3</v>
      </c>
      <c r="K85">
        <v>7.8491572100000007E-3</v>
      </c>
      <c r="L85">
        <v>8.0637418700000001E-3</v>
      </c>
      <c r="M85">
        <v>8.2381776899999905E-3</v>
      </c>
      <c r="N85">
        <v>8.35672233E-3</v>
      </c>
      <c r="O85">
        <v>8.5253414099999997E-3</v>
      </c>
      <c r="P85">
        <v>8.6787920199999907E-3</v>
      </c>
      <c r="Q85">
        <v>8.7004496099999905E-3</v>
      </c>
      <c r="R85">
        <v>8.6905743900000006E-3</v>
      </c>
      <c r="S85">
        <v>8.6743556699999998E-3</v>
      </c>
      <c r="T85">
        <v>8.5985349700000002E-3</v>
      </c>
      <c r="U85">
        <v>8.5053252900000008E-3</v>
      </c>
      <c r="V85">
        <v>8.4200190899999996E-3</v>
      </c>
      <c r="W85">
        <v>8.3809455000000005E-3</v>
      </c>
      <c r="X85">
        <v>8.3837580999999994E-3</v>
      </c>
      <c r="Y85">
        <v>8.4253601100000002E-3</v>
      </c>
      <c r="Z85">
        <v>8.5015727199999995E-3</v>
      </c>
      <c r="AA85">
        <v>8.6088280299999997E-3</v>
      </c>
      <c r="AB85">
        <v>8.7368129199999998E-3</v>
      </c>
      <c r="AC85">
        <v>8.8791112700000001E-3</v>
      </c>
      <c r="AD85">
        <v>9.0295167499999905E-3</v>
      </c>
      <c r="AE85">
        <v>9.1839477000000003E-3</v>
      </c>
      <c r="AF85">
        <v>9.3400171600000002E-3</v>
      </c>
      <c r="AG85">
        <v>9.4978249900000006E-3</v>
      </c>
      <c r="AH85">
        <v>9.6585931300000004E-3</v>
      </c>
      <c r="AI85">
        <v>9.8221090400000006E-3</v>
      </c>
      <c r="AJ85">
        <v>9.9891383800000001E-3</v>
      </c>
      <c r="AK85">
        <v>1.0154926599999999E-2</v>
      </c>
      <c r="AL85">
        <v>1.0323459700000001E-2</v>
      </c>
      <c r="AM85">
        <v>1.04959489E-2</v>
      </c>
      <c r="AN85">
        <v>1.06736464E-2</v>
      </c>
      <c r="AO85">
        <v>1.08534284E-2</v>
      </c>
      <c r="AP85">
        <v>1.1029931200000001E-2</v>
      </c>
      <c r="AQ85">
        <v>1.1207921399999999E-2</v>
      </c>
      <c r="AR85">
        <v>1.1383960699999999E-2</v>
      </c>
      <c r="AS85">
        <v>1.1556432599999999E-2</v>
      </c>
      <c r="AT85">
        <v>1.17301942E-2</v>
      </c>
      <c r="AU85" s="60">
        <f t="shared" si="2"/>
        <v>-6.8890377833037697E-7</v>
      </c>
    </row>
    <row r="86" spans="1:47">
      <c r="A86" s="13" t="s">
        <v>414</v>
      </c>
      <c r="B86">
        <v>1958.3650090000001</v>
      </c>
      <c r="C86">
        <v>2006.25413</v>
      </c>
      <c r="D86">
        <v>1946.981755</v>
      </c>
      <c r="E86">
        <v>1804.1698200000001</v>
      </c>
      <c r="F86">
        <v>1858.25082</v>
      </c>
      <c r="G86">
        <v>1881.0528670000001</v>
      </c>
      <c r="H86">
        <v>1830.549252</v>
      </c>
      <c r="I86">
        <v>1819.7495610000001</v>
      </c>
      <c r="J86">
        <v>1842.7177589999999</v>
      </c>
      <c r="K86">
        <v>1790.409224</v>
      </c>
      <c r="L86">
        <v>1839.3564349999999</v>
      </c>
      <c r="M86">
        <v>1879.1456129999999</v>
      </c>
      <c r="N86">
        <v>1906.185892</v>
      </c>
      <c r="O86">
        <v>1944.6482599999999</v>
      </c>
      <c r="P86">
        <v>1979.6506649999999</v>
      </c>
      <c r="Q86">
        <v>1984.590807</v>
      </c>
      <c r="R86">
        <v>1982.3382489999999</v>
      </c>
      <c r="S86">
        <v>1978.638723</v>
      </c>
      <c r="T86">
        <v>1961.3438639999999</v>
      </c>
      <c r="U86">
        <v>1940.0825400000001</v>
      </c>
      <c r="V86">
        <v>1920.6240170000001</v>
      </c>
      <c r="W86">
        <v>1911.7112500000001</v>
      </c>
      <c r="X86">
        <v>1912.352809</v>
      </c>
      <c r="Y86">
        <v>1921.842314</v>
      </c>
      <c r="Z86">
        <v>1939.22657</v>
      </c>
      <c r="AA86">
        <v>1963.691732</v>
      </c>
      <c r="AB86">
        <v>1992.8853549999999</v>
      </c>
      <c r="AC86">
        <v>2025.3439060000001</v>
      </c>
      <c r="AD86">
        <v>2059.6517119999999</v>
      </c>
      <c r="AE86">
        <v>2094.877735</v>
      </c>
      <c r="AF86">
        <v>2130.4775060000002</v>
      </c>
      <c r="AG86">
        <v>2166.4738029999999</v>
      </c>
      <c r="AH86">
        <v>2203.1453540000002</v>
      </c>
      <c r="AI86">
        <v>2240.443675</v>
      </c>
      <c r="AJ86">
        <v>2278.5434190000001</v>
      </c>
      <c r="AK86">
        <v>2316.36006</v>
      </c>
      <c r="AL86">
        <v>2354.8028140000001</v>
      </c>
      <c r="AM86">
        <v>2394.1479650000001</v>
      </c>
      <c r="AN86">
        <v>2434.6811280000002</v>
      </c>
      <c r="AO86">
        <v>2475.689777</v>
      </c>
      <c r="AP86">
        <v>2515.9504379999998</v>
      </c>
      <c r="AQ86">
        <v>2556.550373</v>
      </c>
      <c r="AR86">
        <v>2596.7053209999999</v>
      </c>
      <c r="AS86">
        <v>2636.0465279999999</v>
      </c>
      <c r="AT86">
        <v>2675.6818979999998</v>
      </c>
      <c r="AU86" s="60">
        <f t="shared" si="2"/>
        <v>-0.15714124858982359</v>
      </c>
    </row>
    <row r="87" spans="1:47">
      <c r="A87" s="13" t="s">
        <v>415</v>
      </c>
      <c r="B87">
        <v>6.1479837570000004</v>
      </c>
      <c r="C87">
        <v>6.2983242390000003</v>
      </c>
      <c r="D87">
        <v>6.112247794</v>
      </c>
      <c r="E87">
        <v>5.6639118350000004</v>
      </c>
      <c r="F87">
        <v>5.8336907609999997</v>
      </c>
      <c r="G87">
        <v>5.9052742589999996</v>
      </c>
      <c r="H87">
        <v>5.7467259769999997</v>
      </c>
      <c r="I87">
        <v>5.7128220169999997</v>
      </c>
      <c r="J87">
        <v>5.7849271189999998</v>
      </c>
      <c r="K87">
        <v>5.6207125739999997</v>
      </c>
      <c r="L87">
        <v>5.774374763</v>
      </c>
      <c r="M87">
        <v>5.899286729</v>
      </c>
      <c r="N87">
        <v>5.984175499</v>
      </c>
      <c r="O87">
        <v>6.1049221469999999</v>
      </c>
      <c r="P87">
        <v>6.2148067779999998</v>
      </c>
      <c r="Q87">
        <v>6.23031559</v>
      </c>
      <c r="R87">
        <v>6.2232440320000002</v>
      </c>
      <c r="S87">
        <v>6.2116299450000003</v>
      </c>
      <c r="T87">
        <v>6.157335411</v>
      </c>
      <c r="U87">
        <v>6.0905887759999997</v>
      </c>
      <c r="V87">
        <v>6.0295017550000001</v>
      </c>
      <c r="W87">
        <v>6.0015215030000002</v>
      </c>
      <c r="X87">
        <v>6.0035355800000003</v>
      </c>
      <c r="Y87">
        <v>6.033326411</v>
      </c>
      <c r="Z87">
        <v>6.0879015929999998</v>
      </c>
      <c r="AA87">
        <v>6.1647061790000004</v>
      </c>
      <c r="AB87">
        <v>6.2563550379999997</v>
      </c>
      <c r="AC87">
        <v>6.3582536349999996</v>
      </c>
      <c r="AD87">
        <v>6.4659576809999999</v>
      </c>
      <c r="AE87">
        <v>6.5765443269999997</v>
      </c>
      <c r="AF87">
        <v>6.688304295</v>
      </c>
      <c r="AG87">
        <v>6.8013090979999999</v>
      </c>
      <c r="AH87">
        <v>6.9164337549999999</v>
      </c>
      <c r="AI87">
        <v>7.0335260589999997</v>
      </c>
      <c r="AJ87">
        <v>7.1531343060000001</v>
      </c>
      <c r="AK87">
        <v>7.2718537970000003</v>
      </c>
      <c r="AL87">
        <v>7.3925388720000003</v>
      </c>
      <c r="AM87">
        <v>7.5160568809999999</v>
      </c>
      <c r="AN87">
        <v>7.6433044729999997</v>
      </c>
      <c r="AO87">
        <v>7.7720447760000004</v>
      </c>
      <c r="AP87">
        <v>7.898436888</v>
      </c>
      <c r="AQ87">
        <v>8.0258940990000003</v>
      </c>
      <c r="AR87">
        <v>8.1519543409999997</v>
      </c>
      <c r="AS87">
        <v>8.2754599689999999</v>
      </c>
      <c r="AT87">
        <v>8.3998890789999905</v>
      </c>
      <c r="AU87" s="60">
        <f t="shared" si="2"/>
        <v>-4.9332129400969649E-4</v>
      </c>
    </row>
    <row r="88" spans="1:47">
      <c r="A88" s="13" t="s">
        <v>416</v>
      </c>
      <c r="B88">
        <v>20.987037560000001</v>
      </c>
      <c r="C88">
        <v>21.500246690000001</v>
      </c>
      <c r="D88">
        <v>20.865047650000001</v>
      </c>
      <c r="E88">
        <v>19.334587590000002</v>
      </c>
      <c r="F88">
        <v>19.91415267</v>
      </c>
      <c r="G88">
        <v>20.158513360000001</v>
      </c>
      <c r="H88">
        <v>19.617285720000002</v>
      </c>
      <c r="I88">
        <v>19.501549619999999</v>
      </c>
      <c r="J88">
        <v>19.74769088</v>
      </c>
      <c r="K88">
        <v>19.187120620000002</v>
      </c>
      <c r="L88">
        <v>19.71166887</v>
      </c>
      <c r="M88">
        <v>20.13807405</v>
      </c>
      <c r="N88">
        <v>20.427854230000001</v>
      </c>
      <c r="O88">
        <v>20.84004049</v>
      </c>
      <c r="P88">
        <v>21.21514767</v>
      </c>
      <c r="Q88">
        <v>21.26808926</v>
      </c>
      <c r="R88">
        <v>21.24394947</v>
      </c>
      <c r="S88">
        <v>21.20430309</v>
      </c>
      <c r="T88">
        <v>21.018960799999999</v>
      </c>
      <c r="U88">
        <v>20.791111440000002</v>
      </c>
      <c r="V88">
        <v>20.582581999999999</v>
      </c>
      <c r="W88">
        <v>20.487067339999999</v>
      </c>
      <c r="X88">
        <v>20.49394268</v>
      </c>
      <c r="Y88">
        <v>20.595638019999999</v>
      </c>
      <c r="Z88">
        <v>20.781938350000001</v>
      </c>
      <c r="AA88">
        <v>21.04412198</v>
      </c>
      <c r="AB88">
        <v>21.35697871</v>
      </c>
      <c r="AC88">
        <v>21.7048244</v>
      </c>
      <c r="AD88">
        <v>22.072487840000001</v>
      </c>
      <c r="AE88">
        <v>22.44999146</v>
      </c>
      <c r="AF88">
        <v>22.831500380000001</v>
      </c>
      <c r="AG88">
        <v>23.21725872</v>
      </c>
      <c r="AH88">
        <v>23.610253499999999</v>
      </c>
      <c r="AI88">
        <v>24.009965130000001</v>
      </c>
      <c r="AJ88">
        <v>24.418265290000001</v>
      </c>
      <c r="AK88">
        <v>24.823531559999999</v>
      </c>
      <c r="AL88">
        <v>25.235507630000001</v>
      </c>
      <c r="AM88">
        <v>25.657154330000001</v>
      </c>
      <c r="AN88">
        <v>26.09153251</v>
      </c>
      <c r="AO88">
        <v>26.53100628</v>
      </c>
      <c r="AP88">
        <v>26.96246416</v>
      </c>
      <c r="AQ88">
        <v>27.397557899999999</v>
      </c>
      <c r="AR88">
        <v>27.827882890000001</v>
      </c>
      <c r="AS88">
        <v>28.249487330000001</v>
      </c>
      <c r="AT88">
        <v>28.674244210000001</v>
      </c>
      <c r="AU88" s="60">
        <f t="shared" si="2"/>
        <v>-1.6840285175980796E-3</v>
      </c>
    </row>
    <row r="89" spans="1:47">
      <c r="A89" s="13" t="s">
        <v>299</v>
      </c>
      <c r="B89">
        <v>6991.3375580000002</v>
      </c>
      <c r="C89">
        <v>7162.3010969999996</v>
      </c>
      <c r="D89">
        <v>6950.6994910000003</v>
      </c>
      <c r="E89">
        <v>6440.8627450000004</v>
      </c>
      <c r="F89">
        <v>6633.9312099999997</v>
      </c>
      <c r="G89">
        <v>6715.3342210000001</v>
      </c>
      <c r="H89">
        <v>6535.0369719999999</v>
      </c>
      <c r="I89">
        <v>6496.482215</v>
      </c>
      <c r="J89">
        <v>6578.4783829999997</v>
      </c>
      <c r="K89">
        <v>6391.7375970000003</v>
      </c>
      <c r="L89">
        <v>6566.4785000000002</v>
      </c>
      <c r="M89">
        <v>6708.5253480000001</v>
      </c>
      <c r="N89">
        <v>6805.0587919999998</v>
      </c>
      <c r="O89">
        <v>6942.3689430000004</v>
      </c>
      <c r="P89">
        <v>7067.327072</v>
      </c>
      <c r="Q89">
        <v>7084.9633160000003</v>
      </c>
      <c r="R89">
        <v>7076.9217129999997</v>
      </c>
      <c r="S89">
        <v>7063.7144550000003</v>
      </c>
      <c r="T89">
        <v>7001.9720319999997</v>
      </c>
      <c r="U89">
        <v>6926.0693819999997</v>
      </c>
      <c r="V89">
        <v>6856.6027080000003</v>
      </c>
      <c r="W89">
        <v>6824.7842460000002</v>
      </c>
      <c r="X89">
        <v>6827.0746060000001</v>
      </c>
      <c r="Y89">
        <v>6860.9520140000004</v>
      </c>
      <c r="Z89">
        <v>6923.0135829999999</v>
      </c>
      <c r="AA89">
        <v>7010.353889</v>
      </c>
      <c r="AB89">
        <v>7114.5747430000001</v>
      </c>
      <c r="AC89">
        <v>7230.4513479999996</v>
      </c>
      <c r="AD89">
        <v>7352.9297690000003</v>
      </c>
      <c r="AE89">
        <v>7478.6862119999996</v>
      </c>
      <c r="AF89">
        <v>7605.7769289999997</v>
      </c>
      <c r="AG89">
        <v>7734.2832410000001</v>
      </c>
      <c r="AH89">
        <v>7865.2002009999997</v>
      </c>
      <c r="AI89">
        <v>7998.3547200000003</v>
      </c>
      <c r="AJ89">
        <v>8134.3703089999999</v>
      </c>
      <c r="AK89">
        <v>8269.3752260000001</v>
      </c>
      <c r="AL89">
        <v>8406.6153570000006</v>
      </c>
      <c r="AM89">
        <v>8547.0770319999901</v>
      </c>
      <c r="AN89">
        <v>8691.7798980000007</v>
      </c>
      <c r="AO89">
        <v>8838.1802389999903</v>
      </c>
      <c r="AP89">
        <v>8981.9102739999998</v>
      </c>
      <c r="AQ89">
        <v>9126.8515129999996</v>
      </c>
      <c r="AR89">
        <v>9270.20415399999</v>
      </c>
      <c r="AS89">
        <v>9410.6517490000006</v>
      </c>
      <c r="AT89">
        <v>9552.1495049999994</v>
      </c>
      <c r="AU89" s="60">
        <f>B89-B40</f>
        <v>-0.56099327726951742</v>
      </c>
    </row>
    <row r="90" spans="1:47">
      <c r="A90" s="13" t="s">
        <v>117</v>
      </c>
      <c r="B90">
        <v>6849.4503919999997</v>
      </c>
      <c r="C90">
        <v>7016.9442749999998</v>
      </c>
      <c r="D90">
        <v>6809.6370619999998</v>
      </c>
      <c r="E90">
        <v>6310.1473050000004</v>
      </c>
      <c r="F90">
        <v>6499.2975020000003</v>
      </c>
      <c r="G90">
        <v>6579.0484630000001</v>
      </c>
      <c r="H90">
        <v>6402.4102940000002</v>
      </c>
      <c r="I90">
        <v>6364.6379939999997</v>
      </c>
      <c r="J90">
        <v>6444.9700739999998</v>
      </c>
      <c r="K90">
        <v>6262.0191379999997</v>
      </c>
      <c r="L90">
        <v>6433.2137249999996</v>
      </c>
      <c r="M90">
        <v>6572.3777739999996</v>
      </c>
      <c r="N90">
        <v>6666.9520990000001</v>
      </c>
      <c r="O90">
        <v>6801.4755800000003</v>
      </c>
      <c r="P90">
        <v>6923.8977210000003</v>
      </c>
      <c r="Q90">
        <v>6941.1760420000001</v>
      </c>
      <c r="R90">
        <v>6933.2976410000001</v>
      </c>
      <c r="S90">
        <v>6920.3584209999999</v>
      </c>
      <c r="T90">
        <v>6859.8690429999997</v>
      </c>
      <c r="U90">
        <v>6785.5068149999997</v>
      </c>
      <c r="V90">
        <v>6717.4499470000001</v>
      </c>
      <c r="W90">
        <v>6686.277231</v>
      </c>
      <c r="X90">
        <v>6688.5211079999999</v>
      </c>
      <c r="Y90">
        <v>6721.7109849999997</v>
      </c>
      <c r="Z90">
        <v>6782.5130319999998</v>
      </c>
      <c r="AA90">
        <v>6868.0807919999997</v>
      </c>
      <c r="AB90">
        <v>6970.186514</v>
      </c>
      <c r="AC90">
        <v>7083.7114369999999</v>
      </c>
      <c r="AD90">
        <v>7203.7041939999999</v>
      </c>
      <c r="AE90">
        <v>7326.9084469999998</v>
      </c>
      <c r="AF90">
        <v>7451.4198939999997</v>
      </c>
      <c r="AG90">
        <v>7577.3182079999997</v>
      </c>
      <c r="AH90">
        <v>7705.578246</v>
      </c>
      <c r="AI90">
        <v>7836.0304329999999</v>
      </c>
      <c r="AJ90">
        <v>7969.2856250000004</v>
      </c>
      <c r="AK90">
        <v>8101.5506560000003</v>
      </c>
      <c r="AL90">
        <v>8236.0055389999998</v>
      </c>
      <c r="AM90">
        <v>8373.6165839999994</v>
      </c>
      <c r="AN90">
        <v>8515.382748</v>
      </c>
      <c r="AO90">
        <v>8658.8119370000004</v>
      </c>
      <c r="AP90">
        <v>8799.6250120000004</v>
      </c>
      <c r="AQ90">
        <v>8941.6247110000004</v>
      </c>
      <c r="AR90">
        <v>9082.0680520000005</v>
      </c>
      <c r="AS90">
        <v>9219.6653040000001</v>
      </c>
      <c r="AT90">
        <v>9358.2914039999996</v>
      </c>
      <c r="AU90" s="60">
        <f>B90-B41</f>
        <v>-0.54960800000026211</v>
      </c>
    </row>
    <row r="91" spans="1:47">
      <c r="A91" s="13" t="s">
        <v>118</v>
      </c>
      <c r="B91">
        <v>80.187375970000005</v>
      </c>
      <c r="C91">
        <v>82.148247900000001</v>
      </c>
      <c r="D91">
        <v>79.721276320000001</v>
      </c>
      <c r="E91">
        <v>73.873687000000004</v>
      </c>
      <c r="F91">
        <v>76.088092099999997</v>
      </c>
      <c r="G91">
        <v>77.021746620000002</v>
      </c>
      <c r="H91">
        <v>74.953821399999995</v>
      </c>
      <c r="I91">
        <v>74.511616340000003</v>
      </c>
      <c r="J91">
        <v>75.452074080000003</v>
      </c>
      <c r="K91">
        <v>73.310244499999996</v>
      </c>
      <c r="L91">
        <v>75.314441029999998</v>
      </c>
      <c r="M91">
        <v>76.943652029999996</v>
      </c>
      <c r="N91">
        <v>78.050845539999997</v>
      </c>
      <c r="O91">
        <v>79.625728820000006</v>
      </c>
      <c r="P91">
        <v>81.058940199999995</v>
      </c>
      <c r="Q91">
        <v>81.261219670000003</v>
      </c>
      <c r="R91">
        <v>81.168986239999995</v>
      </c>
      <c r="S91">
        <v>81.017505170000007</v>
      </c>
      <c r="T91">
        <v>80.309348420000006</v>
      </c>
      <c r="U91">
        <v>79.438780480000005</v>
      </c>
      <c r="V91">
        <v>78.642030180000006</v>
      </c>
      <c r="W91">
        <v>78.277087280000003</v>
      </c>
      <c r="X91">
        <v>78.303356629999996</v>
      </c>
      <c r="Y91">
        <v>78.691914679999996</v>
      </c>
      <c r="Z91">
        <v>79.403731879999995</v>
      </c>
      <c r="AA91">
        <v>80.405484400000006</v>
      </c>
      <c r="AB91">
        <v>81.600848909999996</v>
      </c>
      <c r="AC91">
        <v>82.92989944</v>
      </c>
      <c r="AD91">
        <v>84.334669719999894</v>
      </c>
      <c r="AE91">
        <v>85.777037379999996</v>
      </c>
      <c r="AF91">
        <v>87.234708530000006</v>
      </c>
      <c r="AG91">
        <v>88.708615910000006</v>
      </c>
      <c r="AH91">
        <v>90.210172279999995</v>
      </c>
      <c r="AI91">
        <v>91.737392409999998</v>
      </c>
      <c r="AJ91">
        <v>93.297427679999998</v>
      </c>
      <c r="AK91">
        <v>94.845871009999996</v>
      </c>
      <c r="AL91">
        <v>96.419951209999894</v>
      </c>
      <c r="AM91">
        <v>98.030980999999997</v>
      </c>
      <c r="AN91">
        <v>99.690655280000001</v>
      </c>
      <c r="AO91">
        <v>101.3697988</v>
      </c>
      <c r="AP91">
        <v>103.0183152</v>
      </c>
      <c r="AQ91">
        <v>104.6807235</v>
      </c>
      <c r="AR91">
        <v>106.3249113</v>
      </c>
      <c r="AS91">
        <v>107.9357796</v>
      </c>
      <c r="AT91">
        <v>109.5586928</v>
      </c>
      <c r="AU91" s="60">
        <f>B91-B42</f>
        <v>-6.434326226894882E-3</v>
      </c>
    </row>
    <row r="92" spans="1:47">
      <c r="A92" s="13" t="s">
        <v>119</v>
      </c>
      <c r="B92">
        <v>61.699790120000003</v>
      </c>
      <c r="C92">
        <v>63.208573579999999</v>
      </c>
      <c r="D92">
        <v>61.34115199</v>
      </c>
      <c r="E92">
        <v>56.841752560000003</v>
      </c>
      <c r="F92">
        <v>58.545615900000001</v>
      </c>
      <c r="G92">
        <v>59.264011869999997</v>
      </c>
      <c r="H92">
        <v>57.672856770000003</v>
      </c>
      <c r="I92">
        <v>57.33260421</v>
      </c>
      <c r="J92">
        <v>58.056234889999999</v>
      </c>
      <c r="K92">
        <v>56.408214440000002</v>
      </c>
      <c r="L92">
        <v>57.950333809999997</v>
      </c>
      <c r="M92">
        <v>59.20392236</v>
      </c>
      <c r="N92">
        <v>60.055847069999999</v>
      </c>
      <c r="O92">
        <v>61.267633429999997</v>
      </c>
      <c r="P92">
        <v>62.370411009999998</v>
      </c>
      <c r="Q92">
        <v>62.52605398</v>
      </c>
      <c r="R92">
        <v>62.455085410000002</v>
      </c>
      <c r="S92">
        <v>62.338529029999997</v>
      </c>
      <c r="T92">
        <v>61.793641229999999</v>
      </c>
      <c r="U92">
        <v>61.123786920000001</v>
      </c>
      <c r="V92">
        <v>60.510731239999998</v>
      </c>
      <c r="W92">
        <v>60.229927689999997</v>
      </c>
      <c r="X92">
        <v>60.250140520000002</v>
      </c>
      <c r="Y92">
        <v>60.549114639999999</v>
      </c>
      <c r="Z92">
        <v>61.096818949999999</v>
      </c>
      <c r="AA92">
        <v>61.867612600000001</v>
      </c>
      <c r="AB92">
        <v>62.787380059999997</v>
      </c>
      <c r="AC92">
        <v>63.810011590000002</v>
      </c>
      <c r="AD92">
        <v>64.890905309999894</v>
      </c>
      <c r="AE92">
        <v>66.000728159999994</v>
      </c>
      <c r="AF92">
        <v>67.122326209999997</v>
      </c>
      <c r="AG92">
        <v>68.256417139999996</v>
      </c>
      <c r="AH92">
        <v>69.411782450000004</v>
      </c>
      <c r="AI92">
        <v>70.586894630000003</v>
      </c>
      <c r="AJ92">
        <v>71.787256249999999</v>
      </c>
      <c r="AK92">
        <v>72.978698510000001</v>
      </c>
      <c r="AL92">
        <v>74.189866940000002</v>
      </c>
      <c r="AM92">
        <v>75.429466050000002</v>
      </c>
      <c r="AN92">
        <v>76.706494430000006</v>
      </c>
      <c r="AO92">
        <v>77.998503319999998</v>
      </c>
      <c r="AP92">
        <v>79.266946290000007</v>
      </c>
      <c r="AQ92">
        <v>80.546078359999996</v>
      </c>
      <c r="AR92">
        <v>81.811190760000002</v>
      </c>
      <c r="AS92">
        <v>83.050665620000004</v>
      </c>
      <c r="AT92">
        <v>84.299408339999999</v>
      </c>
      <c r="AU92" s="60">
        <f>B92-B43</f>
        <v>-4.9508610483997018E-3</v>
      </c>
    </row>
    <row r="93" spans="1:47">
      <c r="A93" s="13" t="s">
        <v>368</v>
      </c>
      <c r="B93">
        <v>91.601444544488302</v>
      </c>
      <c r="C93">
        <v>91.601444544488302</v>
      </c>
      <c r="D93">
        <v>91.601444544488302</v>
      </c>
      <c r="E93">
        <v>91.601444544488302</v>
      </c>
      <c r="F93">
        <v>91.601444544488302</v>
      </c>
      <c r="G93">
        <v>91.601444544488302</v>
      </c>
      <c r="H93">
        <v>91.601444544488302</v>
      </c>
      <c r="I93">
        <v>91.601444544488302</v>
      </c>
      <c r="J93">
        <v>91.601444544488302</v>
      </c>
      <c r="K93">
        <v>91.601444544488302</v>
      </c>
      <c r="L93">
        <v>91.601444544488302</v>
      </c>
      <c r="M93">
        <v>91.601444544488302</v>
      </c>
      <c r="N93">
        <v>91.601444544488302</v>
      </c>
      <c r="O93">
        <v>91.601444544488302</v>
      </c>
      <c r="P93">
        <v>91.601444544488302</v>
      </c>
      <c r="Q93">
        <v>95.386475355406702</v>
      </c>
      <c r="R93">
        <v>98.381</v>
      </c>
      <c r="S93">
        <v>97.0008380624312</v>
      </c>
      <c r="T93">
        <v>97.0008380624312</v>
      </c>
      <c r="U93">
        <v>97.0008380624312</v>
      </c>
      <c r="V93">
        <v>97.0008380624312</v>
      </c>
      <c r="W93">
        <v>98.600838062431194</v>
      </c>
      <c r="X93">
        <v>98.600838062431194</v>
      </c>
      <c r="Y93">
        <v>98.600838062431194</v>
      </c>
      <c r="Z93">
        <v>98.600838062431194</v>
      </c>
      <c r="AA93">
        <v>98.600838062431194</v>
      </c>
      <c r="AB93">
        <v>98.600838062431194</v>
      </c>
      <c r="AC93">
        <v>98.600838062431194</v>
      </c>
      <c r="AD93">
        <v>98.600838062431194</v>
      </c>
      <c r="AE93">
        <v>98.600838062431194</v>
      </c>
      <c r="AF93">
        <v>98.600838062431194</v>
      </c>
      <c r="AG93">
        <v>98.600838062431194</v>
      </c>
      <c r="AH93">
        <v>98.600838062431194</v>
      </c>
      <c r="AI93">
        <v>98.600838062431194</v>
      </c>
      <c r="AJ93">
        <v>98.600838062431194</v>
      </c>
      <c r="AK93">
        <v>98.600838062431194</v>
      </c>
      <c r="AL93">
        <v>98.600838062431194</v>
      </c>
      <c r="AM93">
        <v>98.600838062431194</v>
      </c>
      <c r="AN93">
        <v>98.600838062431194</v>
      </c>
      <c r="AO93">
        <v>98.600838062431194</v>
      </c>
      <c r="AP93">
        <v>98.600838062431194</v>
      </c>
      <c r="AQ93">
        <v>98.600838062431194</v>
      </c>
      <c r="AR93">
        <v>98.600838062431194</v>
      </c>
      <c r="AS93">
        <v>98.600838062431194</v>
      </c>
      <c r="AT93">
        <v>98.600838062431194</v>
      </c>
      <c r="AU93" s="60">
        <f>B93-B28</f>
        <v>0</v>
      </c>
    </row>
    <row r="94" spans="1:47">
      <c r="A94" s="13" t="s">
        <v>369</v>
      </c>
      <c r="B94">
        <v>351.63249600466401</v>
      </c>
      <c r="C94">
        <v>351.63249600466401</v>
      </c>
      <c r="D94">
        <v>351.63249600466401</v>
      </c>
      <c r="E94">
        <v>351.63249600466401</v>
      </c>
      <c r="F94">
        <v>351.63249600466401</v>
      </c>
      <c r="G94">
        <v>351.63249600466401</v>
      </c>
      <c r="H94">
        <v>351.63249600466401</v>
      </c>
      <c r="I94">
        <v>351.63249600466401</v>
      </c>
      <c r="J94">
        <v>351.63249600466401</v>
      </c>
      <c r="K94">
        <v>351.63249600466401</v>
      </c>
      <c r="L94">
        <v>351.63249600466401</v>
      </c>
      <c r="M94">
        <v>351.63249600466401</v>
      </c>
      <c r="N94">
        <v>351.63249600466401</v>
      </c>
      <c r="O94">
        <v>351.63249600466401</v>
      </c>
      <c r="P94">
        <v>351.63249600466401</v>
      </c>
      <c r="Q94">
        <v>340.13056414031797</v>
      </c>
      <c r="R94">
        <v>375.68906946610502</v>
      </c>
      <c r="S94">
        <v>377.21933186951702</v>
      </c>
      <c r="T94">
        <v>333.98757985938198</v>
      </c>
      <c r="U94">
        <v>308.33540008158099</v>
      </c>
      <c r="V94">
        <v>250.712042136523</v>
      </c>
      <c r="W94">
        <v>230.76389246798101</v>
      </c>
      <c r="X94">
        <v>215.07141416622201</v>
      </c>
      <c r="Y94">
        <v>203.74189306402101</v>
      </c>
      <c r="Z94">
        <v>193.78324649173601</v>
      </c>
      <c r="AA94">
        <v>186.10123272316901</v>
      </c>
      <c r="AB94">
        <v>179.87353802112099</v>
      </c>
      <c r="AC94">
        <v>175.13592432985101</v>
      </c>
      <c r="AD94">
        <v>170.326786750064</v>
      </c>
      <c r="AE94">
        <v>165.44612528176</v>
      </c>
      <c r="AF94">
        <v>164.06059783233701</v>
      </c>
      <c r="AG94">
        <v>162.655997345976</v>
      </c>
      <c r="AH94">
        <v>161.23232382267699</v>
      </c>
      <c r="AI94">
        <v>159.78957726243999</v>
      </c>
      <c r="AJ94">
        <v>158.32775766526501</v>
      </c>
      <c r="AK94">
        <v>158.54828965486101</v>
      </c>
      <c r="AL94">
        <v>158.76882164445601</v>
      </c>
      <c r="AM94">
        <v>158.98935363405101</v>
      </c>
      <c r="AN94">
        <v>159.20988562364599</v>
      </c>
      <c r="AO94">
        <v>159.43041761324099</v>
      </c>
      <c r="AP94">
        <v>159.65094960283699</v>
      </c>
      <c r="AQ94">
        <v>159.87148159243199</v>
      </c>
      <c r="AR94">
        <v>160.09201358202699</v>
      </c>
      <c r="AS94">
        <v>160.312545571622</v>
      </c>
      <c r="AT94">
        <v>160.533077561217</v>
      </c>
      <c r="AU94" s="60">
        <f>B94-B29</f>
        <v>0</v>
      </c>
    </row>
    <row r="95" spans="1:47">
      <c r="A95" s="13" t="s">
        <v>370</v>
      </c>
      <c r="B95">
        <v>112.74660148664</v>
      </c>
      <c r="C95">
        <v>112.74660148664</v>
      </c>
      <c r="D95">
        <v>112.74660148664</v>
      </c>
      <c r="E95">
        <v>112.74660148664</v>
      </c>
      <c r="F95">
        <v>112.74660148664</v>
      </c>
      <c r="G95">
        <v>112.74660148664</v>
      </c>
      <c r="H95">
        <v>112.74660148664</v>
      </c>
      <c r="I95">
        <v>112.74660148664</v>
      </c>
      <c r="J95">
        <v>112.74660148664</v>
      </c>
      <c r="K95">
        <v>112.74660148664</v>
      </c>
      <c r="L95">
        <v>112.74660148664</v>
      </c>
      <c r="M95">
        <v>112.74660148664</v>
      </c>
      <c r="N95">
        <v>112.74660148664</v>
      </c>
      <c r="O95">
        <v>112.74660148664</v>
      </c>
      <c r="P95">
        <v>112.74660148664</v>
      </c>
      <c r="Q95">
        <v>112.74660148664</v>
      </c>
      <c r="R95">
        <v>112.74660148664</v>
      </c>
      <c r="S95">
        <v>111.67282432962401</v>
      </c>
      <c r="T95">
        <v>110.599047172609</v>
      </c>
      <c r="U95">
        <v>109.52527001559299</v>
      </c>
      <c r="V95">
        <v>108.451492858577</v>
      </c>
      <c r="W95">
        <v>107.377715701562</v>
      </c>
      <c r="X95">
        <v>106.303938544546</v>
      </c>
      <c r="Y95">
        <v>105.230161387531</v>
      </c>
      <c r="Z95">
        <v>104.156384230515</v>
      </c>
      <c r="AA95">
        <v>104.156384230515</v>
      </c>
      <c r="AB95">
        <v>104.156384230515</v>
      </c>
      <c r="AC95">
        <v>104.156384230515</v>
      </c>
      <c r="AD95">
        <v>104.156384230515</v>
      </c>
      <c r="AE95">
        <v>104.156384230515</v>
      </c>
      <c r="AF95">
        <v>104.156384230515</v>
      </c>
      <c r="AG95">
        <v>104.156384230515</v>
      </c>
      <c r="AH95">
        <v>104.156384230515</v>
      </c>
      <c r="AI95">
        <v>104.156384230515</v>
      </c>
      <c r="AJ95">
        <v>104.156384230515</v>
      </c>
      <c r="AK95">
        <v>104.156384230515</v>
      </c>
      <c r="AL95">
        <v>104.156384230515</v>
      </c>
      <c r="AM95">
        <v>104.156384230515</v>
      </c>
      <c r="AN95">
        <v>104.156384230515</v>
      </c>
      <c r="AO95">
        <v>104.156384230515</v>
      </c>
      <c r="AP95">
        <v>104.156384230515</v>
      </c>
      <c r="AQ95">
        <v>104.156384230515</v>
      </c>
      <c r="AR95">
        <v>104.156384230515</v>
      </c>
      <c r="AS95">
        <v>104.156384230515</v>
      </c>
      <c r="AT95">
        <v>104.156384230515</v>
      </c>
      <c r="AU95" s="60">
        <f>B95-B30</f>
        <v>0</v>
      </c>
    </row>
    <row r="96" spans="1:47">
      <c r="A96" s="13" t="s">
        <v>272</v>
      </c>
      <c r="B96">
        <v>25.1496587238811</v>
      </c>
      <c r="C96">
        <v>25.1496587238811</v>
      </c>
      <c r="D96">
        <v>25.1496587238811</v>
      </c>
      <c r="E96">
        <v>25.1496587238811</v>
      </c>
      <c r="F96">
        <v>25.1496587238811</v>
      </c>
      <c r="G96">
        <v>25.1496587238811</v>
      </c>
      <c r="H96">
        <v>25.1496587238811</v>
      </c>
      <c r="I96">
        <v>25.1496587238811</v>
      </c>
      <c r="J96">
        <v>25.1496587238811</v>
      </c>
      <c r="K96">
        <v>25.1496587238811</v>
      </c>
      <c r="L96">
        <v>25.1496587238811</v>
      </c>
      <c r="M96">
        <v>25.1496587238811</v>
      </c>
      <c r="N96">
        <v>25.1496587238811</v>
      </c>
      <c r="O96">
        <v>25.1496587238811</v>
      </c>
      <c r="P96">
        <v>25.1496587238811</v>
      </c>
      <c r="Q96">
        <v>25.1496587238811</v>
      </c>
      <c r="R96">
        <v>25.1496587238811</v>
      </c>
      <c r="S96">
        <v>25.1496587238811</v>
      </c>
      <c r="T96">
        <v>25.1496587238811</v>
      </c>
      <c r="U96">
        <v>25.1496587238811</v>
      </c>
      <c r="V96">
        <v>25.1496587238811</v>
      </c>
      <c r="W96">
        <v>25.1496587238811</v>
      </c>
      <c r="X96">
        <v>25.1496587238811</v>
      </c>
      <c r="Y96">
        <v>25.1496587238811</v>
      </c>
      <c r="Z96">
        <v>25.1496587238811</v>
      </c>
      <c r="AA96">
        <v>25.1496587238811</v>
      </c>
      <c r="AB96">
        <v>25.1496587238811</v>
      </c>
      <c r="AC96">
        <v>25.1496587238811</v>
      </c>
      <c r="AD96">
        <v>25.1496587238811</v>
      </c>
      <c r="AE96">
        <v>25.1496587238811</v>
      </c>
      <c r="AF96">
        <v>25.1496587238811</v>
      </c>
      <c r="AG96">
        <v>25.1496587238811</v>
      </c>
      <c r="AH96">
        <v>25.1496587238811</v>
      </c>
      <c r="AI96">
        <v>25.1496587238811</v>
      </c>
      <c r="AJ96">
        <v>25.1496587238811</v>
      </c>
      <c r="AK96">
        <v>25.1496587238811</v>
      </c>
      <c r="AL96">
        <v>25.1496587238811</v>
      </c>
      <c r="AM96">
        <v>25.1496587238811</v>
      </c>
      <c r="AN96">
        <v>25.1496587238811</v>
      </c>
      <c r="AO96">
        <v>25.1496587238811</v>
      </c>
      <c r="AP96">
        <v>25.1496587238811</v>
      </c>
      <c r="AQ96">
        <v>25.1496587238811</v>
      </c>
      <c r="AR96">
        <v>25.1496587238811</v>
      </c>
      <c r="AS96">
        <v>25.1496587238811</v>
      </c>
      <c r="AT96">
        <v>25.1496587238811</v>
      </c>
      <c r="AU96" s="60">
        <f>B96-B37</f>
        <v>0</v>
      </c>
    </row>
    <row r="97" spans="1:47">
      <c r="A97" s="13" t="s">
        <v>273</v>
      </c>
      <c r="B97">
        <v>30.678899201992301</v>
      </c>
      <c r="C97">
        <v>30.678899201992301</v>
      </c>
      <c r="D97">
        <v>30.678899201992301</v>
      </c>
      <c r="E97">
        <v>30.678899201992301</v>
      </c>
      <c r="F97">
        <v>30.678899201992301</v>
      </c>
      <c r="G97">
        <v>30.678899201992301</v>
      </c>
      <c r="H97">
        <v>30.678899201992301</v>
      </c>
      <c r="I97">
        <v>30.678899201992301</v>
      </c>
      <c r="J97">
        <v>30.678899201992301</v>
      </c>
      <c r="K97">
        <v>30.678899201992301</v>
      </c>
      <c r="L97">
        <v>30.678899201992301</v>
      </c>
      <c r="M97">
        <v>30.678899201992301</v>
      </c>
      <c r="N97">
        <v>30.678899201992301</v>
      </c>
      <c r="O97">
        <v>30.678899201992301</v>
      </c>
      <c r="P97">
        <v>30.678899201992301</v>
      </c>
      <c r="Q97">
        <v>30.845801891234501</v>
      </c>
      <c r="R97">
        <v>31.8697093568348</v>
      </c>
      <c r="S97">
        <v>31.897856000000001</v>
      </c>
      <c r="T97">
        <v>31.141691314641701</v>
      </c>
      <c r="U97">
        <v>30.383714392523299</v>
      </c>
      <c r="V97">
        <v>29.846728971962602</v>
      </c>
      <c r="W97">
        <v>29.716154082140399</v>
      </c>
      <c r="X97">
        <v>29.552028044077399</v>
      </c>
      <c r="Y97">
        <v>29.3543508577736</v>
      </c>
      <c r="Z97">
        <v>29.1231225232291</v>
      </c>
      <c r="AA97">
        <v>28.714183527868201</v>
      </c>
      <c r="AB97">
        <v>28.305244532507199</v>
      </c>
      <c r="AC97">
        <v>28.077526600123399</v>
      </c>
      <c r="AD97">
        <v>27.849808667739499</v>
      </c>
      <c r="AE97">
        <v>27.622090735355599</v>
      </c>
      <c r="AF97">
        <v>27.547564866575499</v>
      </c>
      <c r="AG97">
        <v>27.4730389977953</v>
      </c>
      <c r="AH97">
        <v>27.3985131290151</v>
      </c>
      <c r="AI97">
        <v>27.323987260234901</v>
      </c>
      <c r="AJ97">
        <v>27.249461391454801</v>
      </c>
      <c r="AK97">
        <v>27.249461391454801</v>
      </c>
      <c r="AL97">
        <v>27.249461391454801</v>
      </c>
      <c r="AM97">
        <v>27.249461391454801</v>
      </c>
      <c r="AN97">
        <v>27.249461391454801</v>
      </c>
      <c r="AO97">
        <v>27.249461391454801</v>
      </c>
      <c r="AP97">
        <v>27.249461391454801</v>
      </c>
      <c r="AQ97">
        <v>27.249461391454801</v>
      </c>
      <c r="AR97">
        <v>27.249461391454801</v>
      </c>
      <c r="AS97">
        <v>27.249461391454801</v>
      </c>
      <c r="AT97">
        <v>27.249461391454801</v>
      </c>
      <c r="AU97" s="60">
        <f>B97-B38</f>
        <v>0</v>
      </c>
    </row>
    <row r="98" spans="1:47">
      <c r="A98" s="13" t="s">
        <v>274</v>
      </c>
      <c r="B98">
        <v>27.749947774553501</v>
      </c>
      <c r="C98">
        <v>27.749947774553501</v>
      </c>
      <c r="D98">
        <v>27.749947774553501</v>
      </c>
      <c r="E98">
        <v>27.749947774553501</v>
      </c>
      <c r="F98">
        <v>27.749947774553501</v>
      </c>
      <c r="G98">
        <v>27.749947774553501</v>
      </c>
      <c r="H98">
        <v>27.749947774553501</v>
      </c>
      <c r="I98">
        <v>27.749947774553501</v>
      </c>
      <c r="J98">
        <v>27.749947774553501</v>
      </c>
      <c r="K98">
        <v>27.749947774553501</v>
      </c>
      <c r="L98">
        <v>27.749947774553501</v>
      </c>
      <c r="M98">
        <v>27.749947774553501</v>
      </c>
      <c r="N98">
        <v>27.749947774553501</v>
      </c>
      <c r="O98">
        <v>27.749947774553501</v>
      </c>
      <c r="P98">
        <v>27.749947774553501</v>
      </c>
      <c r="Q98">
        <v>27.749947774553501</v>
      </c>
      <c r="R98">
        <v>27.749947774553501</v>
      </c>
      <c r="S98">
        <v>27.749947774553501</v>
      </c>
      <c r="T98">
        <v>27.749947774553501</v>
      </c>
      <c r="U98">
        <v>27.749947774553501</v>
      </c>
      <c r="V98">
        <v>27.749947774553501</v>
      </c>
      <c r="W98">
        <v>27.749947774553501</v>
      </c>
      <c r="X98">
        <v>27.749947774553501</v>
      </c>
      <c r="Y98">
        <v>27.749947774553501</v>
      </c>
      <c r="Z98">
        <v>27.749947774553501</v>
      </c>
      <c r="AA98">
        <v>27.749947774553501</v>
      </c>
      <c r="AB98">
        <v>27.749947774553501</v>
      </c>
      <c r="AC98">
        <v>27.749947774553501</v>
      </c>
      <c r="AD98">
        <v>27.749947774553501</v>
      </c>
      <c r="AE98">
        <v>27.749947774553501</v>
      </c>
      <c r="AF98">
        <v>27.749947774553501</v>
      </c>
      <c r="AG98">
        <v>27.749947774553501</v>
      </c>
      <c r="AH98">
        <v>27.749947774553501</v>
      </c>
      <c r="AI98">
        <v>27.749947774553501</v>
      </c>
      <c r="AJ98">
        <v>27.749947774553501</v>
      </c>
      <c r="AK98">
        <v>27.749947774553501</v>
      </c>
      <c r="AL98">
        <v>27.749947774553501</v>
      </c>
      <c r="AM98">
        <v>27.749947774553501</v>
      </c>
      <c r="AN98">
        <v>27.749947774553501</v>
      </c>
      <c r="AO98">
        <v>27.749947774553501</v>
      </c>
      <c r="AP98">
        <v>27.749947774553501</v>
      </c>
      <c r="AQ98">
        <v>27.749947774553501</v>
      </c>
      <c r="AR98">
        <v>27.749947774553501</v>
      </c>
      <c r="AS98">
        <v>27.749947774553501</v>
      </c>
      <c r="AT98">
        <v>27.749947774553501</v>
      </c>
      <c r="AU98" s="60">
        <f>B98-B39</f>
        <v>0</v>
      </c>
    </row>
    <row r="99" spans="1:47">
      <c r="A99" s="13" t="s">
        <v>22</v>
      </c>
      <c r="B99">
        <v>18.47</v>
      </c>
      <c r="C99">
        <v>18.921658430000001</v>
      </c>
      <c r="D99">
        <v>18.3626407</v>
      </c>
      <c r="E99">
        <v>17.015733239999999</v>
      </c>
      <c r="F99">
        <v>17.525789369999998</v>
      </c>
      <c r="G99">
        <v>17.740843160000001</v>
      </c>
      <c r="H99">
        <v>17.264526549999999</v>
      </c>
      <c r="I99">
        <v>17.162671020000001</v>
      </c>
      <c r="J99">
        <v>17.37929183</v>
      </c>
      <c r="K99">
        <v>16.88595243</v>
      </c>
      <c r="L99">
        <v>17.347590050000001</v>
      </c>
      <c r="M99">
        <v>17.722855200000001</v>
      </c>
      <c r="N99">
        <v>17.977881180000001</v>
      </c>
      <c r="O99">
        <v>18.340632719999999</v>
      </c>
      <c r="P99">
        <v>18.670752190000002</v>
      </c>
      <c r="Q99">
        <v>18.71734434</v>
      </c>
      <c r="R99">
        <v>18.696099700000001</v>
      </c>
      <c r="S99">
        <v>18.66120823</v>
      </c>
      <c r="T99">
        <v>18.498094590000001</v>
      </c>
      <c r="U99">
        <v>18.29757188</v>
      </c>
      <c r="V99">
        <v>18.11405199</v>
      </c>
      <c r="W99">
        <v>18.029992679999999</v>
      </c>
      <c r="X99">
        <v>18.036043450000001</v>
      </c>
      <c r="Y99">
        <v>18.125542159999998</v>
      </c>
      <c r="Z99">
        <v>18.289498940000001</v>
      </c>
      <c r="AA99">
        <v>18.520238119999998</v>
      </c>
      <c r="AB99">
        <v>18.795573009999998</v>
      </c>
      <c r="AC99">
        <v>19.10170054</v>
      </c>
      <c r="AD99">
        <v>19.425269010000001</v>
      </c>
      <c r="AE99">
        <v>19.757497499999999</v>
      </c>
      <c r="AF99">
        <v>20.09325093</v>
      </c>
      <c r="AG99">
        <v>20.43274413</v>
      </c>
      <c r="AH99">
        <v>20.778605880000001</v>
      </c>
      <c r="AI99">
        <v>21.130378910000001</v>
      </c>
      <c r="AJ99">
        <v>21.489710420000002</v>
      </c>
      <c r="AK99">
        <v>21.846371909999998</v>
      </c>
      <c r="AL99">
        <v>22.20893847</v>
      </c>
      <c r="AM99">
        <v>22.580015830000001</v>
      </c>
      <c r="AN99">
        <v>22.962297750000001</v>
      </c>
      <c r="AO99">
        <v>23.349064129999999</v>
      </c>
      <c r="AP99">
        <v>23.728775989999999</v>
      </c>
      <c r="AQ99">
        <v>24.11168765</v>
      </c>
      <c r="AR99">
        <v>24.490402490000001</v>
      </c>
      <c r="AS99">
        <v>24.861442660000002</v>
      </c>
      <c r="AT99">
        <v>25.235257189999999</v>
      </c>
      <c r="AU99" s="60">
        <f t="shared" ref="AU99:AU108" si="3">B99-B44</f>
        <v>0</v>
      </c>
    </row>
    <row r="100" spans="1:47">
      <c r="A100" s="13" t="s">
        <v>23</v>
      </c>
      <c r="B100">
        <v>0.24633720670000001</v>
      </c>
      <c r="C100">
        <v>0.25236104399999998</v>
      </c>
      <c r="D100">
        <v>0.2449053393</v>
      </c>
      <c r="E100">
        <v>0.22694142910000001</v>
      </c>
      <c r="F100">
        <v>0.23374412550000001</v>
      </c>
      <c r="G100">
        <v>0.2366123306</v>
      </c>
      <c r="H100">
        <v>0.2302596234</v>
      </c>
      <c r="I100">
        <v>0.22890116069999999</v>
      </c>
      <c r="J100">
        <v>0.23179026550000001</v>
      </c>
      <c r="K100">
        <v>0.22521052259999999</v>
      </c>
      <c r="L100">
        <v>0.231367454</v>
      </c>
      <c r="M100">
        <v>0.23637242250000001</v>
      </c>
      <c r="N100">
        <v>0.2397737429</v>
      </c>
      <c r="O100">
        <v>0.2446118155</v>
      </c>
      <c r="P100">
        <v>0.24901466920000001</v>
      </c>
      <c r="Q100">
        <v>0.2496360758</v>
      </c>
      <c r="R100">
        <v>0.2493527328</v>
      </c>
      <c r="S100">
        <v>0.24888737999999999</v>
      </c>
      <c r="T100">
        <v>0.24671190840000001</v>
      </c>
      <c r="U100">
        <v>0.2440375065</v>
      </c>
      <c r="V100">
        <v>0.24158987379999999</v>
      </c>
      <c r="W100">
        <v>0.240468762</v>
      </c>
      <c r="X100">
        <v>0.24054946199999999</v>
      </c>
      <c r="Y100">
        <v>0.24174312000000001</v>
      </c>
      <c r="Z100">
        <v>0.2439298365</v>
      </c>
      <c r="AA100">
        <v>0.2470072401</v>
      </c>
      <c r="AB100">
        <v>0.2506794235</v>
      </c>
      <c r="AC100">
        <v>0.25476229309999998</v>
      </c>
      <c r="AD100">
        <v>0.25907777520000003</v>
      </c>
      <c r="AE100">
        <v>0.2635087572</v>
      </c>
      <c r="AF100">
        <v>0.26798675179999998</v>
      </c>
      <c r="AG100">
        <v>0.27251462450000002</v>
      </c>
      <c r="AH100">
        <v>0.27712743540000001</v>
      </c>
      <c r="AI100">
        <v>0.28181908589999999</v>
      </c>
      <c r="AJ100">
        <v>0.28661154509999998</v>
      </c>
      <c r="AK100">
        <v>0.29136839370000001</v>
      </c>
      <c r="AL100">
        <v>0.29620399920000001</v>
      </c>
      <c r="AM100">
        <v>0.30115311459999999</v>
      </c>
      <c r="AN100">
        <v>0.3062516669</v>
      </c>
      <c r="AO100">
        <v>0.31141002899999998</v>
      </c>
      <c r="AP100">
        <v>0.31647430389999998</v>
      </c>
      <c r="AQ100">
        <v>0.32158125520000003</v>
      </c>
      <c r="AR100">
        <v>0.32663223270000002</v>
      </c>
      <c r="AS100">
        <v>0.33158085209999999</v>
      </c>
      <c r="AT100">
        <v>0.33656647350000002</v>
      </c>
      <c r="AU100" s="60">
        <f t="shared" si="3"/>
        <v>4.8249015893730984E-11</v>
      </c>
    </row>
    <row r="101" spans="1:47">
      <c r="A101" s="13" t="s">
        <v>24</v>
      </c>
      <c r="B101">
        <v>2.52424646E-2</v>
      </c>
      <c r="C101">
        <v>2.5859734299999999E-2</v>
      </c>
      <c r="D101">
        <v>2.5095739400000001E-2</v>
      </c>
      <c r="E101">
        <v>2.3254956300000001E-2</v>
      </c>
      <c r="F101">
        <v>2.3952036699999998E-2</v>
      </c>
      <c r="G101">
        <v>2.4245945000000001E-2</v>
      </c>
      <c r="H101">
        <v>2.3594975599999998E-2</v>
      </c>
      <c r="I101">
        <v>2.34557723E-2</v>
      </c>
      <c r="J101">
        <v>2.3751822299999999E-2</v>
      </c>
      <c r="K101">
        <v>2.30775883E-2</v>
      </c>
      <c r="L101">
        <v>2.37084963E-2</v>
      </c>
      <c r="M101">
        <v>2.4221361399999999E-2</v>
      </c>
      <c r="N101">
        <v>2.4569898699999999E-2</v>
      </c>
      <c r="O101">
        <v>2.5065661699999998E-2</v>
      </c>
      <c r="P101">
        <v>2.5516827299999999E-2</v>
      </c>
      <c r="Q101">
        <v>2.5580503599999999E-2</v>
      </c>
      <c r="R101">
        <v>2.5551469100000002E-2</v>
      </c>
      <c r="S101">
        <v>2.5503783799999999E-2</v>
      </c>
      <c r="T101">
        <v>2.5280860700000001E-2</v>
      </c>
      <c r="U101">
        <v>2.5006811600000001E-2</v>
      </c>
      <c r="V101">
        <v>2.4755999800000001E-2</v>
      </c>
      <c r="W101">
        <v>2.4641118100000001E-2</v>
      </c>
      <c r="X101">
        <v>2.4649387500000002E-2</v>
      </c>
      <c r="Y101">
        <v>2.47717031E-2</v>
      </c>
      <c r="Z101">
        <v>2.4995778499999999E-2</v>
      </c>
      <c r="AA101">
        <v>2.53111237E-2</v>
      </c>
      <c r="AB101">
        <v>2.56874167E-2</v>
      </c>
      <c r="AC101">
        <v>2.61057931E-2</v>
      </c>
      <c r="AD101">
        <v>2.6548005699999998E-2</v>
      </c>
      <c r="AE101">
        <v>2.7002053599999999E-2</v>
      </c>
      <c r="AF101">
        <v>2.7460919E-2</v>
      </c>
      <c r="AG101">
        <v>2.7924895500000001E-2</v>
      </c>
      <c r="AH101">
        <v>2.83975757E-2</v>
      </c>
      <c r="AI101">
        <v>2.88783346E-2</v>
      </c>
      <c r="AJ101">
        <v>2.93694236E-2</v>
      </c>
      <c r="AK101">
        <v>2.9856863500000001E-2</v>
      </c>
      <c r="AL101">
        <v>3.0352373700000001E-2</v>
      </c>
      <c r="AM101">
        <v>3.0859515399999999E-2</v>
      </c>
      <c r="AN101">
        <v>3.1381970100000003E-2</v>
      </c>
      <c r="AO101">
        <v>3.1910553500000001E-2</v>
      </c>
      <c r="AP101">
        <v>3.2429495799999999E-2</v>
      </c>
      <c r="AQ101">
        <v>3.29528111E-2</v>
      </c>
      <c r="AR101">
        <v>3.3470390699999998E-2</v>
      </c>
      <c r="AS101">
        <v>3.3977481599999998E-2</v>
      </c>
      <c r="AT101">
        <v>3.4488364100000002E-2</v>
      </c>
      <c r="AU101" s="60">
        <f t="shared" si="3"/>
        <v>3.1053201676733977E-11</v>
      </c>
    </row>
    <row r="102" spans="1:47">
      <c r="A102" s="13" t="s">
        <v>384</v>
      </c>
      <c r="B102">
        <v>0.99071068628068104</v>
      </c>
      <c r="C102">
        <v>0.99071068628068204</v>
      </c>
      <c r="D102">
        <v>0.99071068628068204</v>
      </c>
      <c r="E102">
        <v>0.99071068628068204</v>
      </c>
      <c r="F102">
        <v>0.99071068628068104</v>
      </c>
      <c r="G102">
        <v>0.99071068628068104</v>
      </c>
      <c r="H102">
        <v>0.99071068628068204</v>
      </c>
      <c r="I102">
        <v>0.99071068628068204</v>
      </c>
      <c r="J102">
        <v>0.99071068628068104</v>
      </c>
      <c r="K102">
        <v>0.99071068628068204</v>
      </c>
      <c r="L102">
        <v>0.99071068628068204</v>
      </c>
      <c r="M102">
        <v>0.99071068628068104</v>
      </c>
      <c r="N102">
        <v>0.99071068628068104</v>
      </c>
      <c r="O102">
        <v>0.99071068628068104</v>
      </c>
      <c r="P102">
        <v>0.99071068628068104</v>
      </c>
      <c r="Q102">
        <v>0.99071068628068204</v>
      </c>
      <c r="R102">
        <v>0.99071068628068204</v>
      </c>
      <c r="S102">
        <v>0.99071068628068104</v>
      </c>
      <c r="T102">
        <v>0.97184030699972501</v>
      </c>
      <c r="U102">
        <v>0.95296992771876898</v>
      </c>
      <c r="V102">
        <v>0.93409954843781295</v>
      </c>
      <c r="W102">
        <v>0.91522916915685604</v>
      </c>
      <c r="X102">
        <v>0.89635878987590001</v>
      </c>
      <c r="Y102">
        <v>0.87748841059494398</v>
      </c>
      <c r="Z102">
        <v>0.85861803131398795</v>
      </c>
      <c r="AA102">
        <v>0.816187129748289</v>
      </c>
      <c r="AB102">
        <v>0.77375622818258905</v>
      </c>
      <c r="AC102">
        <v>0.73132532661688998</v>
      </c>
      <c r="AD102">
        <v>0.68889442505119003</v>
      </c>
      <c r="AE102">
        <v>0.64646352348549097</v>
      </c>
      <c r="AF102">
        <v>0.60403262191979201</v>
      </c>
      <c r="AG102">
        <v>0.56160172035409195</v>
      </c>
      <c r="AH102">
        <v>0.519170818788393</v>
      </c>
      <c r="AI102">
        <v>0.47673991722269399</v>
      </c>
      <c r="AJ102">
        <v>0.43430901565699398</v>
      </c>
      <c r="AK102">
        <v>0.39187811409129503</v>
      </c>
      <c r="AL102">
        <v>0.34944721252559502</v>
      </c>
      <c r="AM102">
        <v>0.30701631095989601</v>
      </c>
      <c r="AN102">
        <v>0.264585409394196</v>
      </c>
      <c r="AO102">
        <v>0.22215450782849699</v>
      </c>
      <c r="AP102">
        <v>0.17972360626279801</v>
      </c>
      <c r="AQ102">
        <v>0.13729270469709801</v>
      </c>
      <c r="AR102">
        <v>9.4861803131399206E-2</v>
      </c>
      <c r="AS102">
        <v>5.2430901565699801E-2</v>
      </c>
      <c r="AT102">
        <v>0.01</v>
      </c>
      <c r="AU102" s="64">
        <f t="shared" si="3"/>
        <v>0</v>
      </c>
    </row>
    <row r="103" spans="1:47">
      <c r="A103" s="13" t="s">
        <v>385</v>
      </c>
      <c r="B103">
        <v>7.9073450333065707E-3</v>
      </c>
      <c r="C103">
        <v>7.9073450333065707E-3</v>
      </c>
      <c r="D103">
        <v>7.9073450333065707E-3</v>
      </c>
      <c r="E103">
        <v>7.9073450333065707E-3</v>
      </c>
      <c r="F103">
        <v>7.9073450333065707E-3</v>
      </c>
      <c r="G103">
        <v>7.9073450333065707E-3</v>
      </c>
      <c r="H103">
        <v>7.9073450333065707E-3</v>
      </c>
      <c r="I103">
        <v>7.9073450333065707E-3</v>
      </c>
      <c r="J103">
        <v>7.9073450333065707E-3</v>
      </c>
      <c r="K103">
        <v>7.9073450333065707E-3</v>
      </c>
      <c r="L103">
        <v>7.9073450333065707E-3</v>
      </c>
      <c r="M103">
        <v>7.9073450333065707E-3</v>
      </c>
      <c r="N103">
        <v>7.9073450333065707E-3</v>
      </c>
      <c r="O103">
        <v>7.9073450333065707E-3</v>
      </c>
      <c r="P103">
        <v>7.9073450333065707E-3</v>
      </c>
      <c r="Q103">
        <v>7.9073450333065707E-3</v>
      </c>
      <c r="R103">
        <v>7.9073450333065707E-3</v>
      </c>
      <c r="S103">
        <v>7.9073450333065707E-3</v>
      </c>
      <c r="T103">
        <v>2.6777724314262698E-2</v>
      </c>
      <c r="U103">
        <v>4.5648103595218897E-2</v>
      </c>
      <c r="V103">
        <v>6.4518482876175107E-2</v>
      </c>
      <c r="W103">
        <v>8.3388862157131399E-2</v>
      </c>
      <c r="X103">
        <v>0.102259241438087</v>
      </c>
      <c r="Y103">
        <v>0.121129620719043</v>
      </c>
      <c r="Z103">
        <v>0.14000000000000001</v>
      </c>
      <c r="AA103">
        <v>0.18160000000000001</v>
      </c>
      <c r="AB103">
        <v>0.22320000000000001</v>
      </c>
      <c r="AC103">
        <v>0.26479999999999998</v>
      </c>
      <c r="AD103">
        <v>0.30640000000000001</v>
      </c>
      <c r="AE103">
        <v>0.34799999999999998</v>
      </c>
      <c r="AF103">
        <v>0.3896</v>
      </c>
      <c r="AG103">
        <v>0.43120000000000003</v>
      </c>
      <c r="AH103">
        <v>0.4728</v>
      </c>
      <c r="AI103">
        <v>0.51439999999999997</v>
      </c>
      <c r="AJ103">
        <v>0.55600000000000005</v>
      </c>
      <c r="AK103">
        <v>0.59760000000000002</v>
      </c>
      <c r="AL103">
        <v>0.63919999999999999</v>
      </c>
      <c r="AM103">
        <v>0.68079999999999996</v>
      </c>
      <c r="AN103">
        <v>0.72240000000000004</v>
      </c>
      <c r="AO103">
        <v>0.76400000000000001</v>
      </c>
      <c r="AP103">
        <v>0.80559999999999998</v>
      </c>
      <c r="AQ103">
        <v>0.84719999999999995</v>
      </c>
      <c r="AR103">
        <v>0.88879999999999904</v>
      </c>
      <c r="AS103">
        <v>0.93039999999999901</v>
      </c>
      <c r="AT103">
        <v>0.97199999999999998</v>
      </c>
      <c r="AU103" s="64">
        <f t="shared" si="3"/>
        <v>0</v>
      </c>
    </row>
    <row r="104" spans="1:47">
      <c r="A104" s="13" t="s">
        <v>386</v>
      </c>
      <c r="B104">
        <v>1.38196868601145E-3</v>
      </c>
      <c r="C104">
        <v>1.38196868601145E-3</v>
      </c>
      <c r="D104">
        <v>1.38196868601145E-3</v>
      </c>
      <c r="E104">
        <v>1.38196868601145E-3</v>
      </c>
      <c r="F104">
        <v>1.38196868601145E-3</v>
      </c>
      <c r="G104">
        <v>1.38196868601145E-3</v>
      </c>
      <c r="H104">
        <v>1.38196868601145E-3</v>
      </c>
      <c r="I104">
        <v>1.38196868601145E-3</v>
      </c>
      <c r="J104">
        <v>1.38196868601145E-3</v>
      </c>
      <c r="K104">
        <v>1.38196868601145E-3</v>
      </c>
      <c r="L104">
        <v>1.38196868601145E-3</v>
      </c>
      <c r="M104">
        <v>1.38196868601145E-3</v>
      </c>
      <c r="N104">
        <v>1.38196868601145E-3</v>
      </c>
      <c r="O104">
        <v>1.38196868601145E-3</v>
      </c>
      <c r="P104">
        <v>1.38196868601145E-3</v>
      </c>
      <c r="Q104">
        <v>1.38196868601145E-3</v>
      </c>
      <c r="R104">
        <v>1.38196868601145E-3</v>
      </c>
      <c r="S104">
        <v>1.38196868601145E-3</v>
      </c>
      <c r="T104">
        <v>1.38196868601145E-3</v>
      </c>
      <c r="U104">
        <v>1.38196868601145E-3</v>
      </c>
      <c r="V104">
        <v>1.38196868601145E-3</v>
      </c>
      <c r="W104">
        <v>1.38196868601145E-3</v>
      </c>
      <c r="X104">
        <v>1.38196868601145E-3</v>
      </c>
      <c r="Y104">
        <v>1.38196868601145E-3</v>
      </c>
      <c r="Z104">
        <v>1.38196868601145E-3</v>
      </c>
      <c r="AA104">
        <v>2.2128702517108701E-3</v>
      </c>
      <c r="AB104">
        <v>3.0437718174102899E-3</v>
      </c>
      <c r="AC104">
        <v>3.8746733831097101E-3</v>
      </c>
      <c r="AD104">
        <v>4.7055749488091403E-3</v>
      </c>
      <c r="AE104">
        <v>5.5364765145085601E-3</v>
      </c>
      <c r="AF104">
        <v>6.3673780802079799E-3</v>
      </c>
      <c r="AG104">
        <v>7.1982796459073997E-3</v>
      </c>
      <c r="AH104">
        <v>8.0291812116068308E-3</v>
      </c>
      <c r="AI104">
        <v>8.8600827773062506E-3</v>
      </c>
      <c r="AJ104">
        <v>9.6909843430056705E-3</v>
      </c>
      <c r="AK104">
        <v>1.0521885908705101E-2</v>
      </c>
      <c r="AL104">
        <v>1.13527874744045E-2</v>
      </c>
      <c r="AM104">
        <v>1.21836890401039E-2</v>
      </c>
      <c r="AN104">
        <v>1.3014590605803299E-2</v>
      </c>
      <c r="AO104">
        <v>1.38454921715027E-2</v>
      </c>
      <c r="AP104">
        <v>1.46763937372022E-2</v>
      </c>
      <c r="AQ104">
        <v>1.55072953029016E-2</v>
      </c>
      <c r="AR104">
        <v>1.6338196868600999E-2</v>
      </c>
      <c r="AS104">
        <v>1.7169098434300398E-2</v>
      </c>
      <c r="AT104">
        <v>1.7999999999999901E-2</v>
      </c>
      <c r="AU104" s="64">
        <f t="shared" si="3"/>
        <v>0</v>
      </c>
    </row>
    <row r="105" spans="1:47">
      <c r="A105" s="13" t="s">
        <v>387</v>
      </c>
      <c r="B105">
        <v>0.99650609661393197</v>
      </c>
      <c r="C105">
        <v>0.99650609661393197</v>
      </c>
      <c r="D105">
        <v>0.99650609661393197</v>
      </c>
      <c r="E105">
        <v>0.99650609661393197</v>
      </c>
      <c r="F105">
        <v>0.99650609661393197</v>
      </c>
      <c r="G105">
        <v>0.99650609661393197</v>
      </c>
      <c r="H105">
        <v>0.99650609661393197</v>
      </c>
      <c r="I105">
        <v>0.99650609661393297</v>
      </c>
      <c r="J105">
        <v>0.99650609661393297</v>
      </c>
      <c r="K105">
        <v>0.99650609661393197</v>
      </c>
      <c r="L105">
        <v>0.99650609661393197</v>
      </c>
      <c r="M105">
        <v>0.99650609661393197</v>
      </c>
      <c r="N105">
        <v>0.99650609661393197</v>
      </c>
      <c r="O105">
        <v>0.99650609661393297</v>
      </c>
      <c r="P105">
        <v>0.99650609661393297</v>
      </c>
      <c r="Q105">
        <v>0.99650609661393297</v>
      </c>
      <c r="R105">
        <v>0.99650609661393197</v>
      </c>
      <c r="S105">
        <v>0.99650609661393297</v>
      </c>
      <c r="T105">
        <v>0.98102888397859001</v>
      </c>
      <c r="U105">
        <v>0.96555167134324704</v>
      </c>
      <c r="V105">
        <v>0.95007445870790397</v>
      </c>
      <c r="W105">
        <v>0.934597246072562</v>
      </c>
      <c r="X105">
        <v>0.91912003343721904</v>
      </c>
      <c r="Y105">
        <v>0.90364282080187597</v>
      </c>
      <c r="Z105">
        <v>0.888165608166533</v>
      </c>
      <c r="AA105">
        <v>0.849892327758207</v>
      </c>
      <c r="AB105">
        <v>0.81161904734988</v>
      </c>
      <c r="AC105">
        <v>0.77334576694155299</v>
      </c>
      <c r="AD105">
        <v>0.73507248653322699</v>
      </c>
      <c r="AE105">
        <v>0.69679920612489998</v>
      </c>
      <c r="AF105">
        <v>0.65852592571657298</v>
      </c>
      <c r="AG105">
        <v>0.62025264530824697</v>
      </c>
      <c r="AH105">
        <v>0.58197936489991997</v>
      </c>
      <c r="AI105">
        <v>0.54370608449159297</v>
      </c>
      <c r="AJ105">
        <v>0.50543280408326696</v>
      </c>
      <c r="AK105">
        <v>0.46715952367494001</v>
      </c>
      <c r="AL105">
        <v>0.42888624326661301</v>
      </c>
      <c r="AM105">
        <v>0.39061296285828701</v>
      </c>
      <c r="AN105">
        <v>0.35233968244996</v>
      </c>
      <c r="AO105">
        <v>0.314066402041633</v>
      </c>
      <c r="AP105">
        <v>0.27579312163330699</v>
      </c>
      <c r="AQ105">
        <v>0.23751984122497999</v>
      </c>
      <c r="AR105">
        <v>0.19924656081665301</v>
      </c>
      <c r="AS105">
        <v>0.16097328040832701</v>
      </c>
      <c r="AT105">
        <v>0.1227</v>
      </c>
      <c r="AU105" s="64">
        <f t="shared" si="3"/>
        <v>0</v>
      </c>
    </row>
    <row r="106" spans="1:47">
      <c r="A106" s="13" t="s">
        <v>388</v>
      </c>
      <c r="B106">
        <v>1.7469516930335501E-3</v>
      </c>
      <c r="C106">
        <v>1.7469516930335501E-3</v>
      </c>
      <c r="D106">
        <v>1.7469516930335501E-3</v>
      </c>
      <c r="E106">
        <v>1.7469516930335501E-3</v>
      </c>
      <c r="F106">
        <v>1.7469516930335501E-3</v>
      </c>
      <c r="G106">
        <v>1.7469516930335501E-3</v>
      </c>
      <c r="H106">
        <v>1.7469516930335501E-3</v>
      </c>
      <c r="I106">
        <v>1.7469516930335501E-3</v>
      </c>
      <c r="J106">
        <v>1.7469516930335501E-3</v>
      </c>
      <c r="K106">
        <v>1.7469516930335501E-3</v>
      </c>
      <c r="L106">
        <v>1.7469516930335501E-3</v>
      </c>
      <c r="M106">
        <v>1.7469516930335501E-3</v>
      </c>
      <c r="N106">
        <v>1.7469516930335501E-3</v>
      </c>
      <c r="O106">
        <v>1.7469516930335501E-3</v>
      </c>
      <c r="P106">
        <v>1.7469516930335501E-3</v>
      </c>
      <c r="Q106">
        <v>1.7469516930335501E-3</v>
      </c>
      <c r="R106">
        <v>1.7469516930335501E-3</v>
      </c>
      <c r="S106">
        <v>1.7469516930335501E-3</v>
      </c>
      <c r="T106">
        <v>1.12120117529331E-2</v>
      </c>
      <c r="U106">
        <v>2.0677071812832602E-2</v>
      </c>
      <c r="V106">
        <v>3.0142131872732202E-2</v>
      </c>
      <c r="W106">
        <v>3.9607191932631798E-2</v>
      </c>
      <c r="X106">
        <v>4.9072251992531297E-2</v>
      </c>
      <c r="Y106">
        <v>5.8537312052430901E-2</v>
      </c>
      <c r="Z106">
        <v>6.8002372112330498E-2</v>
      </c>
      <c r="AA106">
        <v>0.100802253506714</v>
      </c>
      <c r="AB106">
        <v>0.13360213490109701</v>
      </c>
      <c r="AC106">
        <v>0.16640201629547999</v>
      </c>
      <c r="AD106">
        <v>0.19920189768986399</v>
      </c>
      <c r="AE106">
        <v>0.23200177908424699</v>
      </c>
      <c r="AF106">
        <v>0.26480166047863102</v>
      </c>
      <c r="AG106">
        <v>0.29760154187301402</v>
      </c>
      <c r="AH106">
        <v>0.33040142326739802</v>
      </c>
      <c r="AI106">
        <v>0.36320130466178102</v>
      </c>
      <c r="AJ106">
        <v>0.39600118605616502</v>
      </c>
      <c r="AK106">
        <v>0.42880106745054802</v>
      </c>
      <c r="AL106">
        <v>0.46160094884493202</v>
      </c>
      <c r="AM106">
        <v>0.49440083023931503</v>
      </c>
      <c r="AN106">
        <v>0.52720071163369897</v>
      </c>
      <c r="AO106">
        <v>0.56000059302808203</v>
      </c>
      <c r="AP106">
        <v>0.59280047442246597</v>
      </c>
      <c r="AQ106">
        <v>0.62560035581684903</v>
      </c>
      <c r="AR106">
        <v>0.65840023721123297</v>
      </c>
      <c r="AS106">
        <v>0.69120011860561603</v>
      </c>
      <c r="AT106">
        <v>0.72399999999999998</v>
      </c>
      <c r="AU106" s="64">
        <f t="shared" si="3"/>
        <v>0</v>
      </c>
    </row>
    <row r="107" spans="1:47">
      <c r="A107" s="13" t="s">
        <v>389</v>
      </c>
      <c r="B107">
        <v>1.7469516930335501E-3</v>
      </c>
      <c r="C107">
        <v>1.7469516930335501E-3</v>
      </c>
      <c r="D107">
        <v>1.7469516930335501E-3</v>
      </c>
      <c r="E107">
        <v>1.7469516930335501E-3</v>
      </c>
      <c r="F107">
        <v>1.7469516930335501E-3</v>
      </c>
      <c r="G107">
        <v>1.7469516930335501E-3</v>
      </c>
      <c r="H107">
        <v>1.7469516930335501E-3</v>
      </c>
      <c r="I107">
        <v>1.7469516930335501E-3</v>
      </c>
      <c r="J107">
        <v>1.7469516930335501E-3</v>
      </c>
      <c r="K107">
        <v>1.7469516930335501E-3</v>
      </c>
      <c r="L107">
        <v>1.7469516930335501E-3</v>
      </c>
      <c r="M107">
        <v>1.7469516930335501E-3</v>
      </c>
      <c r="N107">
        <v>1.7469516930335501E-3</v>
      </c>
      <c r="O107">
        <v>1.7469516930335501E-3</v>
      </c>
      <c r="P107">
        <v>1.7469516930335501E-3</v>
      </c>
      <c r="Q107">
        <v>1.7469516930335501E-3</v>
      </c>
      <c r="R107">
        <v>1.7469516930335501E-3</v>
      </c>
      <c r="S107">
        <v>1.7469516930335501E-3</v>
      </c>
      <c r="T107">
        <v>7.7591042684767002E-3</v>
      </c>
      <c r="U107">
        <v>1.3771256843919799E-2</v>
      </c>
      <c r="V107">
        <v>1.9783409419363001E-2</v>
      </c>
      <c r="W107">
        <v>2.57955619948061E-2</v>
      </c>
      <c r="X107">
        <v>3.18077145702493E-2</v>
      </c>
      <c r="Y107">
        <v>3.7819867145692403E-2</v>
      </c>
      <c r="Z107">
        <v>4.3832019721135602E-2</v>
      </c>
      <c r="AA107">
        <v>4.93054187350788E-2</v>
      </c>
      <c r="AB107">
        <v>5.4778817749021998E-2</v>
      </c>
      <c r="AC107">
        <v>6.0252216762965202E-2</v>
      </c>
      <c r="AD107">
        <v>6.5725615776908497E-2</v>
      </c>
      <c r="AE107">
        <v>7.1199014790851695E-2</v>
      </c>
      <c r="AF107">
        <v>7.6672413804794906E-2</v>
      </c>
      <c r="AG107">
        <v>8.2145812818738104E-2</v>
      </c>
      <c r="AH107">
        <v>8.7619211832681398E-2</v>
      </c>
      <c r="AI107">
        <v>9.3092610846624596E-2</v>
      </c>
      <c r="AJ107">
        <v>9.8566009860567794E-2</v>
      </c>
      <c r="AK107">
        <v>0.10403940887451101</v>
      </c>
      <c r="AL107">
        <v>0.10951280788845399</v>
      </c>
      <c r="AM107">
        <v>0.114986206902397</v>
      </c>
      <c r="AN107">
        <v>0.12045960591634</v>
      </c>
      <c r="AO107">
        <v>0.125933004930284</v>
      </c>
      <c r="AP107">
        <v>0.13140640394422701</v>
      </c>
      <c r="AQ107">
        <v>0.13687980295817001</v>
      </c>
      <c r="AR107">
        <v>0.14235320197211301</v>
      </c>
      <c r="AS107">
        <v>0.14782660098605599</v>
      </c>
      <c r="AT107">
        <v>0.15329999999999999</v>
      </c>
      <c r="AU107" s="64">
        <f t="shared" si="3"/>
        <v>0</v>
      </c>
    </row>
    <row r="108" spans="1:47">
      <c r="A108" s="13" t="s">
        <v>173</v>
      </c>
      <c r="B108">
        <v>50908.350830000003</v>
      </c>
      <c r="C108">
        <v>52153.224009999998</v>
      </c>
      <c r="D108">
        <v>53533.253969999998</v>
      </c>
      <c r="E108">
        <v>53852.080300000001</v>
      </c>
      <c r="F108">
        <v>54537.659780000002</v>
      </c>
      <c r="G108">
        <v>55674.609579999997</v>
      </c>
      <c r="H108">
        <v>56600.623500000002</v>
      </c>
      <c r="I108">
        <v>57791.101840000003</v>
      </c>
      <c r="J108">
        <v>58894.931279999997</v>
      </c>
      <c r="K108">
        <v>60261.628550000001</v>
      </c>
      <c r="L108">
        <v>60532.118880000002</v>
      </c>
      <c r="M108">
        <v>59953.679360000002</v>
      </c>
      <c r="N108">
        <v>58817.734929999999</v>
      </c>
      <c r="O108">
        <v>57471.674700000003</v>
      </c>
      <c r="P108">
        <v>56322.816099999996</v>
      </c>
      <c r="Q108">
        <v>55327.292909999996</v>
      </c>
      <c r="R108">
        <v>54465.079129999998</v>
      </c>
      <c r="S108">
        <v>53726.066700000003</v>
      </c>
      <c r="T108">
        <v>53080.329440000001</v>
      </c>
      <c r="U108">
        <v>52509.414960000002</v>
      </c>
      <c r="V108">
        <v>51993.654629999997</v>
      </c>
      <c r="W108">
        <v>51532.867839999999</v>
      </c>
      <c r="X108">
        <v>51138.013149999999</v>
      </c>
      <c r="Y108">
        <v>50820.201410000001</v>
      </c>
      <c r="Z108">
        <v>50591.384660000003</v>
      </c>
      <c r="AA108">
        <v>50463.030279999999</v>
      </c>
      <c r="AB108">
        <v>50443.16416</v>
      </c>
      <c r="AC108">
        <v>50536.342170000004</v>
      </c>
      <c r="AD108">
        <v>50743.598460000001</v>
      </c>
      <c r="AE108">
        <v>51063.082520000004</v>
      </c>
      <c r="AF108">
        <v>51491.046110000003</v>
      </c>
      <c r="AG108">
        <v>52023.221270000002</v>
      </c>
      <c r="AH108">
        <v>52655.781190000002</v>
      </c>
      <c r="AI108">
        <v>53385.228349999998</v>
      </c>
      <c r="AJ108">
        <v>54208.727630000001</v>
      </c>
      <c r="AK108">
        <v>55125.275759999997</v>
      </c>
      <c r="AL108">
        <v>56134.844590000001</v>
      </c>
      <c r="AM108">
        <v>57237.979480000002</v>
      </c>
      <c r="AN108">
        <v>58435.502159999996</v>
      </c>
      <c r="AO108">
        <v>59726.687080000003</v>
      </c>
      <c r="AP108">
        <v>61109.433429999997</v>
      </c>
      <c r="AQ108">
        <v>62581.587579999999</v>
      </c>
      <c r="AR108">
        <v>64138.791940000003</v>
      </c>
      <c r="AS108">
        <v>65774.508530000006</v>
      </c>
      <c r="AT108">
        <v>67482.549719999995</v>
      </c>
      <c r="AU108" s="64">
        <f t="shared" si="3"/>
        <v>4.3581021600402892E-6</v>
      </c>
    </row>
    <row r="109" spans="1:47">
      <c r="A109" s="13" t="s">
        <v>10</v>
      </c>
      <c r="B109">
        <v>4849.3894659999996</v>
      </c>
      <c r="C109">
        <v>5354.7711259999996</v>
      </c>
      <c r="D109">
        <v>5590.4281520000004</v>
      </c>
      <c r="E109">
        <v>4640.6361440000001</v>
      </c>
      <c r="F109">
        <v>5033.1285660000003</v>
      </c>
      <c r="G109">
        <v>5539.8466209999997</v>
      </c>
      <c r="H109">
        <v>5420.6981770000002</v>
      </c>
      <c r="I109">
        <v>5759.9209300000002</v>
      </c>
      <c r="J109">
        <v>5769.3808980000003</v>
      </c>
      <c r="K109">
        <v>6121.3623310000003</v>
      </c>
      <c r="L109">
        <v>5135.4906520000004</v>
      </c>
      <c r="M109">
        <v>4308.3978379999999</v>
      </c>
      <c r="N109">
        <v>3704.1947570000002</v>
      </c>
      <c r="O109">
        <v>3402.3726609999999</v>
      </c>
      <c r="P109">
        <v>3490.905096</v>
      </c>
      <c r="Q109">
        <v>3551.4916400000002</v>
      </c>
      <c r="R109">
        <v>3604.4311469999998</v>
      </c>
      <c r="S109">
        <v>3658.02486</v>
      </c>
      <c r="T109">
        <v>3691.6385789999999</v>
      </c>
      <c r="U109">
        <v>3714.3301409999999</v>
      </c>
      <c r="V109">
        <v>3723.393626</v>
      </c>
      <c r="W109">
        <v>3736.7291570000002</v>
      </c>
      <c r="X109">
        <v>3765.461323</v>
      </c>
      <c r="Y109">
        <v>3810.6271430000002</v>
      </c>
      <c r="Z109">
        <v>3873.9647759999998</v>
      </c>
      <c r="AA109">
        <v>3955.9544679999999</v>
      </c>
      <c r="AB109">
        <v>4054.0805140000002</v>
      </c>
      <c r="AC109">
        <v>4165.5208220000004</v>
      </c>
      <c r="AD109">
        <v>4287.1214920000002</v>
      </c>
      <c r="AE109">
        <v>4416.0813230000003</v>
      </c>
      <c r="AF109">
        <v>4550.3532230000001</v>
      </c>
      <c r="AG109">
        <v>4689.1148640000001</v>
      </c>
      <c r="AH109">
        <v>4832.462818</v>
      </c>
      <c r="AI109">
        <v>4980.4174469999998</v>
      </c>
      <c r="AJ109">
        <v>5133.3587939999998</v>
      </c>
      <c r="AK109">
        <v>5292.889819</v>
      </c>
      <c r="AL109">
        <v>5459.9046559999997</v>
      </c>
      <c r="AM109">
        <v>5634.9745359999997</v>
      </c>
      <c r="AN109">
        <v>5818.4198450000004</v>
      </c>
      <c r="AO109">
        <v>6008.7596610000001</v>
      </c>
      <c r="AP109">
        <v>6204.5601509999997</v>
      </c>
      <c r="AQ109">
        <v>6405.5988710000001</v>
      </c>
      <c r="AR109">
        <v>6609.4980180000002</v>
      </c>
      <c r="AS109">
        <v>6813.7254050000001</v>
      </c>
      <c r="AT109">
        <v>7018.1035389999997</v>
      </c>
      <c r="AU109" s="64"/>
    </row>
    <row r="110" spans="1:47">
      <c r="A110" s="13" t="s">
        <v>302</v>
      </c>
      <c r="B110">
        <v>1601.1542222912899</v>
      </c>
      <c r="C110">
        <v>1626.8612712381801</v>
      </c>
      <c r="D110">
        <v>1652.9810551711</v>
      </c>
      <c r="E110">
        <v>1679.5202006837401</v>
      </c>
      <c r="F110">
        <v>1706.48544076192</v>
      </c>
      <c r="G110">
        <v>1733.88361649171</v>
      </c>
      <c r="H110">
        <v>1761.7216787950299</v>
      </c>
      <c r="I110">
        <v>1790.00669019311</v>
      </c>
      <c r="J110">
        <v>1818.74582659823</v>
      </c>
      <c r="K110">
        <v>1847.94637913427</v>
      </c>
      <c r="L110">
        <v>1877.61575598646</v>
      </c>
      <c r="M110">
        <v>1907.76148428085</v>
      </c>
      <c r="N110">
        <v>1938.39121199391</v>
      </c>
      <c r="O110">
        <v>1969.5127098928799</v>
      </c>
      <c r="P110">
        <v>2001.1338735071499</v>
      </c>
      <c r="Q110">
        <v>2033.2627251314</v>
      </c>
      <c r="R110">
        <v>2065.90741586084</v>
      </c>
      <c r="S110">
        <v>2099.0762276591799</v>
      </c>
      <c r="T110">
        <v>2132.7775754596901</v>
      </c>
      <c r="U110">
        <v>2167.0200093001499</v>
      </c>
      <c r="V110">
        <v>2201.81221649194</v>
      </c>
      <c r="W110">
        <v>2237.16302382406</v>
      </c>
      <c r="X110">
        <v>2273.08139980244</v>
      </c>
      <c r="Y110">
        <v>2309.5764569252801</v>
      </c>
      <c r="Z110">
        <v>2346.6574539948901</v>
      </c>
      <c r="AA110">
        <v>2384.33379846664</v>
      </c>
      <c r="AB110">
        <v>2422.6150488356402</v>
      </c>
      <c r="AC110">
        <v>2461.5109170617402</v>
      </c>
      <c r="AD110">
        <v>2501.0312710334301</v>
      </c>
      <c r="AE110">
        <v>2541.18613707136</v>
      </c>
      <c r="AF110">
        <v>2581.9857024719799</v>
      </c>
      <c r="AG110">
        <v>2623.4403180921099</v>
      </c>
      <c r="AH110">
        <v>2665.5605009748901</v>
      </c>
      <c r="AI110">
        <v>2708.3569370180198</v>
      </c>
      <c r="AJ110">
        <v>2751.8404836847199</v>
      </c>
      <c r="AK110">
        <v>2796.0221727582998</v>
      </c>
      <c r="AL110">
        <v>2840.9132131409301</v>
      </c>
      <c r="AM110">
        <v>2886.52499369732</v>
      </c>
      <c r="AN110">
        <v>2932.8690861441</v>
      </c>
      <c r="AO110">
        <v>2979.9572479855301</v>
      </c>
      <c r="AP110">
        <v>3027.8014254964201</v>
      </c>
      <c r="AQ110">
        <v>3076.4137567528801</v>
      </c>
      <c r="AR110">
        <v>3125.8065747117798</v>
      </c>
      <c r="AS110">
        <v>3175.9924103395601</v>
      </c>
      <c r="AT110">
        <v>3226.9839957914101</v>
      </c>
      <c r="AU110" s="64"/>
    </row>
    <row r="111" spans="1:47">
      <c r="A111" s="13" t="s">
        <v>294</v>
      </c>
      <c r="B111">
        <v>51993.970549999998</v>
      </c>
      <c r="C111">
        <v>53265.411549999997</v>
      </c>
      <c r="D111">
        <v>51691.748769999998</v>
      </c>
      <c r="E111">
        <v>47900.137139999999</v>
      </c>
      <c r="F111">
        <v>49335.970560000002</v>
      </c>
      <c r="G111">
        <v>49941.357689999997</v>
      </c>
      <c r="H111">
        <v>48600.502699999997</v>
      </c>
      <c r="I111">
        <v>48313.774310000001</v>
      </c>
      <c r="J111">
        <v>48923.572699999997</v>
      </c>
      <c r="K111">
        <v>47534.797680000003</v>
      </c>
      <c r="L111">
        <v>48834.330609999997</v>
      </c>
      <c r="M111">
        <v>49890.720690000002</v>
      </c>
      <c r="N111">
        <v>50608.631529999999</v>
      </c>
      <c r="O111">
        <v>51629.7952</v>
      </c>
      <c r="P111">
        <v>52559.097970000003</v>
      </c>
      <c r="Q111">
        <v>52690.257180000001</v>
      </c>
      <c r="R111">
        <v>52630.452469999997</v>
      </c>
      <c r="S111">
        <v>52532.231249999997</v>
      </c>
      <c r="T111">
        <v>52073.058210000003</v>
      </c>
      <c r="U111">
        <v>51508.576789999999</v>
      </c>
      <c r="V111">
        <v>50991.959159999999</v>
      </c>
      <c r="W111">
        <v>50755.328020000001</v>
      </c>
      <c r="X111">
        <v>50772.361230000002</v>
      </c>
      <c r="Y111">
        <v>51024.30457</v>
      </c>
      <c r="Z111">
        <v>51485.851069999997</v>
      </c>
      <c r="AA111">
        <v>52135.393349999998</v>
      </c>
      <c r="AB111">
        <v>52910.47479</v>
      </c>
      <c r="AC111">
        <v>53772.239049999996</v>
      </c>
      <c r="AD111">
        <v>54683.100429999999</v>
      </c>
      <c r="AE111">
        <v>55618.340179999999</v>
      </c>
      <c r="AF111">
        <v>56563.502809999998</v>
      </c>
      <c r="AG111">
        <v>57519.193099999997</v>
      </c>
      <c r="AH111">
        <v>58492.811170000001</v>
      </c>
      <c r="AI111">
        <v>59483.069770000002</v>
      </c>
      <c r="AJ111">
        <v>60494.605900000002</v>
      </c>
      <c r="AK111">
        <v>61498.625749999999</v>
      </c>
      <c r="AL111">
        <v>62519.268689999997</v>
      </c>
      <c r="AM111">
        <v>63563.86997</v>
      </c>
      <c r="AN111">
        <v>64640.012620000001</v>
      </c>
      <c r="AO111">
        <v>65728.779250000007</v>
      </c>
      <c r="AP111">
        <v>66797.687049999906</v>
      </c>
      <c r="AQ111">
        <v>67875.602459999995</v>
      </c>
      <c r="AR111">
        <v>68941.703609999997</v>
      </c>
      <c r="AS111">
        <v>69986.20018</v>
      </c>
      <c r="AT111">
        <v>71038.506710000001</v>
      </c>
      <c r="AU111" s="64"/>
    </row>
    <row r="112" spans="1:47">
      <c r="A112" s="25" t="s">
        <v>314</v>
      </c>
      <c r="B112">
        <v>90553.851767500004</v>
      </c>
      <c r="C112">
        <v>92007.7231481005</v>
      </c>
      <c r="D112">
        <v>93484.936903984504</v>
      </c>
      <c r="E112">
        <v>94985.8678045376</v>
      </c>
      <c r="F112">
        <v>96510.896636188903</v>
      </c>
      <c r="G112">
        <v>98060.410299017007</v>
      </c>
      <c r="H112">
        <v>99634.801904906097</v>
      </c>
      <c r="I112">
        <v>101234.470877279</v>
      </c>
      <c r="J112">
        <v>102859.82305243101</v>
      </c>
      <c r="K112">
        <v>104511.27078249</v>
      </c>
      <c r="L112">
        <v>106189.233040031</v>
      </c>
      <c r="M112">
        <v>107894.13552436999</v>
      </c>
      <c r="N112">
        <v>109626.410769561</v>
      </c>
      <c r="O112">
        <v>111386.498254133</v>
      </c>
      <c r="P112">
        <v>113174.84451258701</v>
      </c>
      <c r="Q112">
        <v>114991.903248677</v>
      </c>
      <c r="R112">
        <v>116838.13545052</v>
      </c>
      <c r="S112">
        <v>118714.009507544</v>
      </c>
      <c r="T112">
        <v>120620.001329322</v>
      </c>
      <c r="U112">
        <v>122556.594466309</v>
      </c>
      <c r="V112">
        <v>124524.280232519</v>
      </c>
      <c r="W112">
        <v>126523.55783017199</v>
      </c>
      <c r="X112">
        <v>128554.93447634</v>
      </c>
      <c r="Y112">
        <v>130618.92553162899</v>
      </c>
      <c r="Z112">
        <v>132716.054630928</v>
      </c>
      <c r="AA112">
        <v>134846.853816252</v>
      </c>
      <c r="AB112">
        <v>137011.86367172201</v>
      </c>
      <c r="AC112">
        <v>139211.63346071501</v>
      </c>
      <c r="AD112">
        <v>141446.72126520501</v>
      </c>
      <c r="AE112">
        <v>143717.69412735701</v>
      </c>
      <c r="AF112">
        <v>146025.12819337699</v>
      </c>
      <c r="AG112">
        <v>148369.608859687</v>
      </c>
      <c r="AH112">
        <v>150751.73092143901</v>
      </c>
      <c r="AI112">
        <v>153172.098723412</v>
      </c>
      <c r="AJ112">
        <v>155631.326313336</v>
      </c>
      <c r="AK112">
        <v>158130.03759767499</v>
      </c>
      <c r="AL112">
        <v>160668.86649991601</v>
      </c>
      <c r="AM112">
        <v>163248.45712138899</v>
      </c>
      <c r="AN112">
        <v>165869.46390468301</v>
      </c>
      <c r="AO112">
        <v>168532.551799671</v>
      </c>
      <c r="AP112">
        <v>171238.39643221299</v>
      </c>
      <c r="AQ112">
        <v>173987.68427556101</v>
      </c>
      <c r="AR112">
        <v>176781.11282451599</v>
      </c>
      <c r="AS112">
        <v>179619.390772385</v>
      </c>
      <c r="AT112">
        <v>182503.23819077399</v>
      </c>
      <c r="AU112" s="64">
        <f>B112-'calibration bloc bus'!D2</f>
        <v>7182.9672591051931</v>
      </c>
    </row>
    <row r="113" spans="1:47">
      <c r="A113" s="25" t="s">
        <v>315</v>
      </c>
      <c r="B113">
        <v>88737.316130000007</v>
      </c>
      <c r="C113">
        <v>90162.022443365306</v>
      </c>
      <c r="D113">
        <v>91609.602877426005</v>
      </c>
      <c r="E113">
        <v>93080.424683588702</v>
      </c>
      <c r="F113">
        <v>94574.861009600194</v>
      </c>
      <c r="G113">
        <v>96093.290994214898</v>
      </c>
      <c r="H113">
        <v>97636.099863382697</v>
      </c>
      <c r="I113">
        <v>99203.679027980601</v>
      </c>
      <c r="J113">
        <v>100796.426183114</v>
      </c>
      <c r="K113">
        <v>102414.745409011</v>
      </c>
      <c r="L113">
        <v>104059.047273541</v>
      </c>
      <c r="M113">
        <v>105729.74893637</v>
      </c>
      <c r="N113">
        <v>107427.2742548</v>
      </c>
      <c r="O113">
        <v>109152.05389129699</v>
      </c>
      <c r="P113">
        <v>110904.525422754</v>
      </c>
      <c r="Q113">
        <v>112685.133451502</v>
      </c>
      <c r="R113">
        <v>114494.329718105</v>
      </c>
      <c r="S113">
        <v>116332.57321596899</v>
      </c>
      <c r="T113">
        <v>118200.330307789</v>
      </c>
      <c r="U113">
        <v>120098.07484386</v>
      </c>
      <c r="V113">
        <v>122026.288282301</v>
      </c>
      <c r="W113">
        <v>123985.459811195</v>
      </c>
      <c r="X113">
        <v>125976.086472697</v>
      </c>
      <c r="Y113">
        <v>127998.673289136</v>
      </c>
      <c r="Z113">
        <v>130053.73339113699</v>
      </c>
      <c r="AA113">
        <v>132141.78814780401</v>
      </c>
      <c r="AB113">
        <v>134263.367298989</v>
      </c>
      <c r="AC113">
        <v>136419.00908969101</v>
      </c>
      <c r="AD113">
        <v>138609.260406605</v>
      </c>
      <c r="AE113">
        <v>140834.67691686901</v>
      </c>
      <c r="AF113">
        <v>143095.823209036</v>
      </c>
      <c r="AG113">
        <v>145393.27293631301</v>
      </c>
      <c r="AH113">
        <v>147727.608962092</v>
      </c>
      <c r="AI113">
        <v>150099.42350782701</v>
      </c>
      <c r="AJ113">
        <v>152509.31830327999</v>
      </c>
      <c r="AK113">
        <v>154957.90473917499</v>
      </c>
      <c r="AL113">
        <v>157445.804022317</v>
      </c>
      <c r="AM113">
        <v>159973.647333184</v>
      </c>
      <c r="AN113">
        <v>162542.07598606101</v>
      </c>
      <c r="AO113">
        <v>165151.74159174101</v>
      </c>
      <c r="AP113">
        <v>167803.306222841</v>
      </c>
      <c r="AQ113">
        <v>170497.44258176599</v>
      </c>
      <c r="AR113">
        <v>173234.83417137701</v>
      </c>
      <c r="AS113">
        <v>176016.17546839299</v>
      </c>
      <c r="AT113">
        <v>178842.172099583</v>
      </c>
      <c r="AU113" s="64">
        <f>B113-'calibration bloc bus'!D3</f>
        <v>6731.8442228276981</v>
      </c>
    </row>
    <row r="114" spans="1:47">
      <c r="A114" s="25" t="s">
        <v>316</v>
      </c>
      <c r="B114">
        <v>772.28546849999998</v>
      </c>
      <c r="C114">
        <v>784.68476149957996</v>
      </c>
      <c r="D114">
        <v>797.28312915893298</v>
      </c>
      <c r="E114">
        <v>810.08376768611504</v>
      </c>
      <c r="F114">
        <v>823.089924605335</v>
      </c>
      <c r="G114">
        <v>836.30489958085298</v>
      </c>
      <c r="H114">
        <v>849.73204525410802</v>
      </c>
      <c r="I114">
        <v>863.37476809428097</v>
      </c>
      <c r="J114">
        <v>877.236529262516</v>
      </c>
      <c r="K114">
        <v>891.32084549002104</v>
      </c>
      <c r="L114">
        <v>905.63128997025899</v>
      </c>
      <c r="M114">
        <v>920.17149326547303</v>
      </c>
      <c r="N114">
        <v>934.94514422775296</v>
      </c>
      <c r="O114">
        <v>949.955990934905</v>
      </c>
      <c r="P114">
        <v>965.20784164133602</v>
      </c>
      <c r="Q114">
        <v>980.70456574421098</v>
      </c>
      <c r="R114">
        <v>996.45009476511405</v>
      </c>
      <c r="S114">
        <v>1012.44842334748</v>
      </c>
      <c r="T114">
        <v>1028.7036102700399</v>
      </c>
      <c r="U114">
        <v>1045.21977947654</v>
      </c>
      <c r="V114">
        <v>1062.0011211219501</v>
      </c>
      <c r="W114">
        <v>1079.0518926355601</v>
      </c>
      <c r="X114">
        <v>1096.3764198010499</v>
      </c>
      <c r="Y114">
        <v>1113.97909785396</v>
      </c>
      <c r="Z114">
        <v>1131.8643925967499</v>
      </c>
      <c r="AA114">
        <v>1150.0368415318001</v>
      </c>
      <c r="AB114">
        <v>1168.5010550125501</v>
      </c>
      <c r="AC114">
        <v>1187.2617174131601</v>
      </c>
      <c r="AD114">
        <v>1206.32358831691</v>
      </c>
      <c r="AE114">
        <v>1225.69150372376</v>
      </c>
      <c r="AF114">
        <v>1245.3703772771901</v>
      </c>
      <c r="AG114">
        <v>1265.3652015108401</v>
      </c>
      <c r="AH114">
        <v>1285.68104911507</v>
      </c>
      <c r="AI114">
        <v>1306.32307422393</v>
      </c>
      <c r="AJ114">
        <v>1327.29651372276</v>
      </c>
      <c r="AK114">
        <v>1348.60668857681</v>
      </c>
      <c r="AL114">
        <v>1370.2590051811001</v>
      </c>
      <c r="AM114">
        <v>1392.2589567321199</v>
      </c>
      <c r="AN114">
        <v>1414.61212462137</v>
      </c>
      <c r="AO114">
        <v>1437.32417985142</v>
      </c>
      <c r="AP114">
        <v>1460.4008844746199</v>
      </c>
      <c r="AQ114">
        <v>1483.8480930549099</v>
      </c>
      <c r="AR114">
        <v>1507.67175415317</v>
      </c>
      <c r="AS114">
        <v>1531.87791183634</v>
      </c>
      <c r="AT114">
        <v>1556.4727072108301</v>
      </c>
      <c r="AU114" s="64">
        <f>B114-'calibration bloc bus'!D4</f>
        <v>407.32348137823226</v>
      </c>
    </row>
    <row r="115" spans="1:47">
      <c r="A115" s="25" t="s">
        <v>317</v>
      </c>
      <c r="B115">
        <v>1044.2501689999999</v>
      </c>
      <c r="C115">
        <v>1061.0159432355799</v>
      </c>
      <c r="D115">
        <v>1078.05089739956</v>
      </c>
      <c r="E115">
        <v>1095.3593532627499</v>
      </c>
      <c r="F115">
        <v>1112.9457019834001</v>
      </c>
      <c r="G115">
        <v>1130.8144052212399</v>
      </c>
      <c r="H115">
        <v>1148.9699962693501</v>
      </c>
      <c r="I115">
        <v>1167.4170812043301</v>
      </c>
      <c r="J115">
        <v>1186.1603400548199</v>
      </c>
      <c r="K115">
        <v>1205.20452798883</v>
      </c>
      <c r="L115">
        <v>1224.55447652014</v>
      </c>
      <c r="M115">
        <v>1244.2150947340399</v>
      </c>
      <c r="N115">
        <v>1264.19137053277</v>
      </c>
      <c r="O115">
        <v>1284.4883719009599</v>
      </c>
      <c r="P115">
        <v>1305.1112481913599</v>
      </c>
      <c r="Q115">
        <v>1326.0652314312699</v>
      </c>
      <c r="R115">
        <v>1347.35563764985</v>
      </c>
      <c r="S115">
        <v>1368.98786822685</v>
      </c>
      <c r="T115">
        <v>1390.96741126291</v>
      </c>
      <c r="U115">
        <v>1413.29984297189</v>
      </c>
      <c r="V115">
        <v>1435.99082909559</v>
      </c>
      <c r="W115">
        <v>1459.04612634111</v>
      </c>
      <c r="X115">
        <v>1482.4715838413599</v>
      </c>
      <c r="Y115">
        <v>1506.27314463896</v>
      </c>
      <c r="Z115">
        <v>1530.4568471939899</v>
      </c>
      <c r="AA115">
        <v>1555.0288269159801</v>
      </c>
      <c r="AB115">
        <v>1579.99531772044</v>
      </c>
      <c r="AC115">
        <v>1605.36265361041</v>
      </c>
      <c r="AD115">
        <v>1631.1372702833901</v>
      </c>
      <c r="AE115">
        <v>1657.32570676409</v>
      </c>
      <c r="AF115">
        <v>1683.9346070633801</v>
      </c>
      <c r="AG115">
        <v>1710.97072186386</v>
      </c>
      <c r="AH115">
        <v>1738.4409102325501</v>
      </c>
      <c r="AI115">
        <v>1766.3521413609701</v>
      </c>
      <c r="AJ115">
        <v>1794.7114963333099</v>
      </c>
      <c r="AK115">
        <v>1823.5261699228299</v>
      </c>
      <c r="AL115">
        <v>1852.8034724171901</v>
      </c>
      <c r="AM115">
        <v>1882.5508314731101</v>
      </c>
      <c r="AN115">
        <v>1912.77579400073</v>
      </c>
      <c r="AO115">
        <v>1943.48602807828</v>
      </c>
      <c r="AP115">
        <v>1974.68932489744</v>
      </c>
      <c r="AQ115">
        <v>2006.39360074003</v>
      </c>
      <c r="AR115">
        <v>2038.6068989863099</v>
      </c>
      <c r="AS115">
        <v>2071.3373921556199</v>
      </c>
      <c r="AT115">
        <v>2104.5933839797399</v>
      </c>
      <c r="AU115" s="64">
        <f>B115-'calibration bloc bus'!D5</f>
        <v>43.799554899262148</v>
      </c>
    </row>
    <row r="116" spans="1:47">
      <c r="A116" s="25" t="s">
        <v>318</v>
      </c>
      <c r="B116">
        <v>9.6661950000000001</v>
      </c>
      <c r="C116">
        <v>9.6661950000000001</v>
      </c>
      <c r="D116">
        <v>9.6661950000000001</v>
      </c>
      <c r="E116">
        <v>9.6661950000000001</v>
      </c>
      <c r="F116">
        <v>9.6661950000000001</v>
      </c>
      <c r="G116">
        <v>9.6661950000000001</v>
      </c>
      <c r="H116">
        <v>9.6661950000000001</v>
      </c>
      <c r="I116">
        <v>9.6661950000000001</v>
      </c>
      <c r="J116">
        <v>9.6661950000000001</v>
      </c>
      <c r="K116">
        <v>9.6661950000000001</v>
      </c>
      <c r="L116">
        <v>9.6661950000000001</v>
      </c>
      <c r="M116">
        <v>9.6661950000000001</v>
      </c>
      <c r="N116">
        <v>9.6661950000000001</v>
      </c>
      <c r="O116">
        <v>9.6661950000000001</v>
      </c>
      <c r="P116">
        <v>9.6661950000000001</v>
      </c>
      <c r="Q116">
        <v>9.6661950000000001</v>
      </c>
      <c r="R116">
        <v>9.6661950000000001</v>
      </c>
      <c r="S116">
        <v>9.6661950000000001</v>
      </c>
      <c r="T116">
        <v>9.6661950000000001</v>
      </c>
      <c r="U116">
        <v>9.6661950000000001</v>
      </c>
      <c r="V116">
        <v>9.6661950000000001</v>
      </c>
      <c r="W116">
        <v>9.6661950000000001</v>
      </c>
      <c r="X116">
        <v>9.6661950000000001</v>
      </c>
      <c r="Y116">
        <v>9.6661950000000001</v>
      </c>
      <c r="Z116">
        <v>9.6661950000000001</v>
      </c>
      <c r="AA116">
        <v>9.6661950000000001</v>
      </c>
      <c r="AB116">
        <v>9.6661950000000001</v>
      </c>
      <c r="AC116">
        <v>9.6661950000000001</v>
      </c>
      <c r="AD116">
        <v>9.6661950000000001</v>
      </c>
      <c r="AE116">
        <v>9.6661950000000001</v>
      </c>
      <c r="AF116">
        <v>9.6661950000000001</v>
      </c>
      <c r="AG116">
        <v>9.6661950000000001</v>
      </c>
      <c r="AH116">
        <v>9.6661950000000001</v>
      </c>
      <c r="AI116">
        <v>9.6661950000000001</v>
      </c>
      <c r="AJ116">
        <v>9.6661950000000001</v>
      </c>
      <c r="AK116">
        <v>9.6661950000000001</v>
      </c>
      <c r="AL116">
        <v>9.6661950000000001</v>
      </c>
      <c r="AM116">
        <v>9.6661950000000001</v>
      </c>
      <c r="AN116">
        <v>9.6661950000000001</v>
      </c>
      <c r="AO116">
        <v>9.6661950000000001</v>
      </c>
      <c r="AP116">
        <v>9.6661950000000001</v>
      </c>
      <c r="AQ116">
        <v>9.6661950000000001</v>
      </c>
      <c r="AR116">
        <v>9.6661950000000001</v>
      </c>
      <c r="AS116">
        <v>9.6661950000000001</v>
      </c>
      <c r="AT116">
        <v>9.6661950000000001</v>
      </c>
      <c r="AU116" s="64">
        <f>B116-'calibration bloc bus'!D6</f>
        <v>0.91619500000000009</v>
      </c>
    </row>
    <row r="117" spans="1:47">
      <c r="A117" s="25" t="s">
        <v>319</v>
      </c>
      <c r="B117">
        <v>4.2500790000000004</v>
      </c>
      <c r="C117">
        <v>4.2500790000000004</v>
      </c>
      <c r="D117">
        <v>4.2500790000000004</v>
      </c>
      <c r="E117">
        <v>4.2500790000000004</v>
      </c>
      <c r="F117">
        <v>4.2500790000000004</v>
      </c>
      <c r="G117">
        <v>4.2500790000000004</v>
      </c>
      <c r="H117">
        <v>4.2500790000000004</v>
      </c>
      <c r="I117">
        <v>4.2500790000000004</v>
      </c>
      <c r="J117">
        <v>4.2500790000000004</v>
      </c>
      <c r="K117">
        <v>4.2500790000000004</v>
      </c>
      <c r="L117">
        <v>4.2500790000000004</v>
      </c>
      <c r="M117">
        <v>4.2500790000000004</v>
      </c>
      <c r="N117">
        <v>4.2500790000000004</v>
      </c>
      <c r="O117">
        <v>4.2500790000000004</v>
      </c>
      <c r="P117">
        <v>4.2500790000000004</v>
      </c>
      <c r="Q117">
        <v>4.2500790000000004</v>
      </c>
      <c r="R117">
        <v>4.2500790000000004</v>
      </c>
      <c r="S117">
        <v>4.2500790000000004</v>
      </c>
      <c r="T117">
        <v>4.2500790000000004</v>
      </c>
      <c r="U117">
        <v>4.2500790000000004</v>
      </c>
      <c r="V117">
        <v>4.2500790000000004</v>
      </c>
      <c r="W117">
        <v>4.2500790000000004</v>
      </c>
      <c r="X117">
        <v>4.2500790000000004</v>
      </c>
      <c r="Y117">
        <v>4.2500790000000004</v>
      </c>
      <c r="Z117">
        <v>4.2500790000000004</v>
      </c>
      <c r="AA117">
        <v>4.2500790000000004</v>
      </c>
      <c r="AB117">
        <v>4.2500790000000004</v>
      </c>
      <c r="AC117">
        <v>4.2500790000000004</v>
      </c>
      <c r="AD117">
        <v>4.2500790000000004</v>
      </c>
      <c r="AE117">
        <v>4.2500790000000004</v>
      </c>
      <c r="AF117">
        <v>4.2500790000000004</v>
      </c>
      <c r="AG117">
        <v>4.2500790000000004</v>
      </c>
      <c r="AH117">
        <v>4.2500790000000004</v>
      </c>
      <c r="AI117">
        <v>4.2500790000000004</v>
      </c>
      <c r="AJ117">
        <v>4.2500790000000004</v>
      </c>
      <c r="AK117">
        <v>4.2500790000000004</v>
      </c>
      <c r="AL117">
        <v>4.2500790000000004</v>
      </c>
      <c r="AM117">
        <v>4.2500790000000004</v>
      </c>
      <c r="AN117">
        <v>4.2500790000000004</v>
      </c>
      <c r="AO117">
        <v>4.2500790000000004</v>
      </c>
      <c r="AP117">
        <v>4.2500790000000004</v>
      </c>
      <c r="AQ117">
        <v>4.2500790000000004</v>
      </c>
      <c r="AR117">
        <v>4.2500790000000004</v>
      </c>
      <c r="AS117">
        <v>4.2500790000000004</v>
      </c>
      <c r="AT117">
        <v>4.2500790000000004</v>
      </c>
      <c r="AU117" s="64">
        <f>B117-'calibration bloc bus'!D7</f>
        <v>3.702955186923873E-8</v>
      </c>
    </row>
    <row r="118" spans="1:47">
      <c r="A118" s="25" t="s">
        <v>320</v>
      </c>
      <c r="B118">
        <v>11.399198999999999</v>
      </c>
      <c r="C118">
        <v>11.399198999999999</v>
      </c>
      <c r="D118">
        <v>11.399198999999999</v>
      </c>
      <c r="E118">
        <v>11.399198999999999</v>
      </c>
      <c r="F118">
        <v>11.399198999999999</v>
      </c>
      <c r="G118">
        <v>11.399198999999999</v>
      </c>
      <c r="H118">
        <v>11.399198999999999</v>
      </c>
      <c r="I118">
        <v>11.399198999999999</v>
      </c>
      <c r="J118">
        <v>11.399198999999999</v>
      </c>
      <c r="K118">
        <v>11.399198999999999</v>
      </c>
      <c r="L118">
        <v>11.399198999999999</v>
      </c>
      <c r="M118">
        <v>11.399198999999999</v>
      </c>
      <c r="N118">
        <v>11.399198999999999</v>
      </c>
      <c r="O118">
        <v>11.399198999999999</v>
      </c>
      <c r="P118">
        <v>11.399198999999999</v>
      </c>
      <c r="Q118">
        <v>11.399198999999999</v>
      </c>
      <c r="R118">
        <v>11.399198999999999</v>
      </c>
      <c r="S118">
        <v>11.399198999999999</v>
      </c>
      <c r="T118">
        <v>11.399198999999999</v>
      </c>
      <c r="U118">
        <v>11.399198999999999</v>
      </c>
      <c r="V118">
        <v>11.399198999999999</v>
      </c>
      <c r="W118">
        <v>11.399198999999999</v>
      </c>
      <c r="X118">
        <v>11.399198999999999</v>
      </c>
      <c r="Y118">
        <v>11.399198999999999</v>
      </c>
      <c r="Z118">
        <v>11.399198999999999</v>
      </c>
      <c r="AA118">
        <v>11.399198999999999</v>
      </c>
      <c r="AB118">
        <v>11.399198999999999</v>
      </c>
      <c r="AC118">
        <v>11.399198999999999</v>
      </c>
      <c r="AD118">
        <v>11.399198999999999</v>
      </c>
      <c r="AE118">
        <v>11.399198999999999</v>
      </c>
      <c r="AF118">
        <v>11.399198999999999</v>
      </c>
      <c r="AG118">
        <v>11.399198999999999</v>
      </c>
      <c r="AH118">
        <v>11.399198999999999</v>
      </c>
      <c r="AI118">
        <v>11.399198999999999</v>
      </c>
      <c r="AJ118">
        <v>11.399198999999999</v>
      </c>
      <c r="AK118">
        <v>11.399198999999999</v>
      </c>
      <c r="AL118">
        <v>11.399198999999999</v>
      </c>
      <c r="AM118">
        <v>11.399198999999999</v>
      </c>
      <c r="AN118">
        <v>11.399198999999999</v>
      </c>
      <c r="AO118">
        <v>11.399198999999999</v>
      </c>
      <c r="AP118">
        <v>11.399198999999999</v>
      </c>
      <c r="AQ118">
        <v>11.399198999999999</v>
      </c>
      <c r="AR118">
        <v>11.399198999999999</v>
      </c>
      <c r="AS118">
        <v>11.399198999999999</v>
      </c>
      <c r="AT118">
        <v>11.399198999999999</v>
      </c>
      <c r="AU118" s="64">
        <f>B118-'calibration bloc bus'!D8</f>
        <v>5.983439959666903E-2</v>
      </c>
    </row>
    <row r="119" spans="1:47">
      <c r="A119" s="25" t="s">
        <v>321</v>
      </c>
      <c r="B119">
        <v>364.05294181956998</v>
      </c>
      <c r="C119">
        <v>369.89792955674397</v>
      </c>
      <c r="D119">
        <v>375.83676046265299</v>
      </c>
      <c r="E119">
        <v>381.87094121972598</v>
      </c>
      <c r="F119">
        <v>388.00200270066398</v>
      </c>
      <c r="G119">
        <v>394.23150035682698</v>
      </c>
      <c r="H119">
        <v>400.561014612848</v>
      </c>
      <c r="I119">
        <v>406.99215126758799</v>
      </c>
      <c r="J119">
        <v>413.526541901531</v>
      </c>
      <c r="K119">
        <v>420.16584429071003</v>
      </c>
      <c r="L119">
        <v>426.91174282729003</v>
      </c>
      <c r="M119">
        <v>433.76594894689799</v>
      </c>
      <c r="N119">
        <v>440.730201562812</v>
      </c>
      <c r="O119">
        <v>447.80626750712599</v>
      </c>
      <c r="P119">
        <v>454.99594197899398</v>
      </c>
      <c r="Q119">
        <v>462.30104900007501</v>
      </c>
      <c r="R119">
        <v>469.72344187728203</v>
      </c>
      <c r="S119">
        <v>477.26500367297399</v>
      </c>
      <c r="T119">
        <v>484.92764768268302</v>
      </c>
      <c r="U119">
        <v>492.71331792052098</v>
      </c>
      <c r="V119">
        <v>500.62398961237301</v>
      </c>
      <c r="W119">
        <v>508.66166969701698</v>
      </c>
      <c r="X119">
        <v>516.82839733528203</v>
      </c>
      <c r="Y119">
        <v>525.12624442738195</v>
      </c>
      <c r="Z119">
        <v>533.55731613856005</v>
      </c>
      <c r="AA119">
        <v>542.12375143316797</v>
      </c>
      <c r="AB119">
        <v>550.82772361732395</v>
      </c>
      <c r="AC119">
        <v>559.67144089027499</v>
      </c>
      <c r="AD119">
        <v>568.65714690462596</v>
      </c>
      <c r="AE119">
        <v>577.78712133554495</v>
      </c>
      <c r="AF119">
        <v>587.063680459127</v>
      </c>
      <c r="AG119">
        <v>596.48917774002598</v>
      </c>
      <c r="AH119">
        <v>606.06600442853403</v>
      </c>
      <c r="AI119">
        <v>615.79659016723804</v>
      </c>
      <c r="AJ119">
        <v>625.683403607424</v>
      </c>
      <c r="AK119">
        <v>635.728953035372</v>
      </c>
      <c r="AL119">
        <v>645.93578700871103</v>
      </c>
      <c r="AM119">
        <v>656.30649500298603</v>
      </c>
      <c r="AN119">
        <v>666.84370806861</v>
      </c>
      <c r="AO119">
        <v>677.55009949836096</v>
      </c>
      <c r="AP119">
        <v>688.428385505596</v>
      </c>
      <c r="AQ119">
        <v>699.481325913359</v>
      </c>
      <c r="AR119">
        <v>710.71172485454395</v>
      </c>
      <c r="AS119">
        <v>722.12243148330504</v>
      </c>
      <c r="AT119">
        <v>733.71634069788797</v>
      </c>
      <c r="AU119" s="64">
        <f>B119-'calibration bloc bus'!D9</f>
        <v>338.97549863227147</v>
      </c>
    </row>
    <row r="120" spans="1:47">
      <c r="A120" s="25" t="s">
        <v>322</v>
      </c>
      <c r="B120">
        <v>141.35743372500599</v>
      </c>
      <c r="C120">
        <v>143.62697304681899</v>
      </c>
      <c r="D120">
        <v>145.93295055654599</v>
      </c>
      <c r="E120">
        <v>148.275951281082</v>
      </c>
      <c r="F120">
        <v>150.65656964011501</v>
      </c>
      <c r="G120">
        <v>153.075409596935</v>
      </c>
      <c r="H120">
        <v>155.533084811658</v>
      </c>
      <c r="I120">
        <v>158.03021879691099</v>
      </c>
      <c r="J120">
        <v>160.567445076018</v>
      </c>
      <c r="K120">
        <v>163.145407343725</v>
      </c>
      <c r="L120">
        <v>165.76475962950599</v>
      </c>
      <c r="M120">
        <v>168.42616646348799</v>
      </c>
      <c r="N120">
        <v>171.13030304504699</v>
      </c>
      <c r="O120">
        <v>173.8778554141</v>
      </c>
      <c r="P120">
        <v>176.66952062515901</v>
      </c>
      <c r="Q120">
        <v>179.506006924172</v>
      </c>
      <c r="R120">
        <v>182.38803392820299</v>
      </c>
      <c r="S120">
        <v>185.31633280800099</v>
      </c>
      <c r="T120">
        <v>188.29164647350001</v>
      </c>
      <c r="U120">
        <v>191.31472976229</v>
      </c>
      <c r="V120">
        <v>194.38634963112699</v>
      </c>
      <c r="W120">
        <v>197.50728535050101</v>
      </c>
      <c r="X120">
        <v>200.678328702345</v>
      </c>
      <c r="Y120">
        <v>203.900284180906</v>
      </c>
      <c r="Z120">
        <v>207.173969196846</v>
      </c>
      <c r="AA120">
        <v>210.50021428462</v>
      </c>
      <c r="AB120">
        <v>213.87986331318299</v>
      </c>
      <c r="AC120">
        <v>217.313773700078</v>
      </c>
      <c r="AD120">
        <v>220.80281662896499</v>
      </c>
      <c r="AE120">
        <v>224.34787727063801</v>
      </c>
      <c r="AF120">
        <v>227.949855007595</v>
      </c>
      <c r="AG120">
        <v>231.60966366221101</v>
      </c>
      <c r="AH120">
        <v>235.32823172857701</v>
      </c>
      <c r="AI120">
        <v>239.10650260805201</v>
      </c>
      <c r="AJ120">
        <v>242.94543484861401</v>
      </c>
      <c r="AK120">
        <v>246.846002388036</v>
      </c>
      <c r="AL120">
        <v>250.80919480097799</v>
      </c>
      <c r="AM120">
        <v>254.83601755004</v>
      </c>
      <c r="AN120">
        <v>258.92749224085202</v>
      </c>
      <c r="AO120">
        <v>263.08465688124897</v>
      </c>
      <c r="AP120">
        <v>267.30856614462101</v>
      </c>
      <c r="AQ120">
        <v>271.60029163747799</v>
      </c>
      <c r="AR120">
        <v>275.96092217132201</v>
      </c>
      <c r="AS120">
        <v>280.39156403887199</v>
      </c>
      <c r="AT120">
        <v>284.89334129473701</v>
      </c>
      <c r="AU120" s="64">
        <f>B120-'calibration bloc bus'!D10</f>
        <v>-0.8581608409118644</v>
      </c>
    </row>
    <row r="121" spans="1:47">
      <c r="A121" s="25" t="s">
        <v>323</v>
      </c>
      <c r="B121">
        <v>33.901830601293902</v>
      </c>
      <c r="C121">
        <v>34.446135457455398</v>
      </c>
      <c r="D121">
        <v>34.999179304143098</v>
      </c>
      <c r="E121">
        <v>35.561102448676401</v>
      </c>
      <c r="F121">
        <v>36.132047451054397</v>
      </c>
      <c r="G121">
        <v>36.712159160123001</v>
      </c>
      <c r="H121">
        <v>37.301584750323102</v>
      </c>
      <c r="I121">
        <v>37.900473759028998</v>
      </c>
      <c r="J121">
        <v>38.5089781244858</v>
      </c>
      <c r="K121">
        <v>39.127252224356397</v>
      </c>
      <c r="L121">
        <v>39.755452914886703</v>
      </c>
      <c r="M121">
        <v>40.393739570700802</v>
      </c>
      <c r="N121">
        <v>41.042274125233703</v>
      </c>
      <c r="O121">
        <v>41.7012211118141</v>
      </c>
      <c r="P121">
        <v>42.370747705406401</v>
      </c>
      <c r="Q121">
        <v>43.051023765023402</v>
      </c>
      <c r="R121">
        <v>43.742221876819002</v>
      </c>
      <c r="S121">
        <v>44.444517397873902</v>
      </c>
      <c r="T121">
        <v>45.158088500683199</v>
      </c>
      <c r="U121">
        <v>45.883116218359298</v>
      </c>
      <c r="V121">
        <v>46.619784490559503</v>
      </c>
      <c r="W121">
        <v>47.368280210152001</v>
      </c>
      <c r="X121">
        <v>48.128793270630403</v>
      </c>
      <c r="Y121">
        <v>48.901516614289598</v>
      </c>
      <c r="Z121">
        <v>49.686646281175797</v>
      </c>
      <c r="AA121">
        <v>50.484381458821197</v>
      </c>
      <c r="AB121">
        <v>51.294924532778403</v>
      </c>
      <c r="AC121">
        <v>52.118481137965603</v>
      </c>
      <c r="AD121">
        <v>52.955260210836002</v>
      </c>
      <c r="AE121">
        <v>53.805474042385299</v>
      </c>
      <c r="AF121">
        <v>54.669338332009502</v>
      </c>
      <c r="AG121">
        <v>55.547072242228403</v>
      </c>
      <c r="AH121">
        <v>56.438898454286999</v>
      </c>
      <c r="AI121">
        <v>57.345043224649501</v>
      </c>
      <c r="AJ121">
        <v>58.265736442401099</v>
      </c>
      <c r="AK121">
        <v>59.2012116875703</v>
      </c>
      <c r="AL121">
        <v>60.151706290388702</v>
      </c>
      <c r="AM121">
        <v>61.1174613915016</v>
      </c>
      <c r="AN121">
        <v>62.098722003145198</v>
      </c>
      <c r="AO121">
        <v>63.095737071306402</v>
      </c>
      <c r="AP121">
        <v>64.108759538880705</v>
      </c>
      <c r="AQ121">
        <v>65.138046409843199</v>
      </c>
      <c r="AR121">
        <v>66.183858814451398</v>
      </c>
      <c r="AS121">
        <v>67.246462075493099</v>
      </c>
      <c r="AT121">
        <v>68.326125775599607</v>
      </c>
      <c r="AU121" s="64">
        <f>B121-'calibration bloc bus'!D11</f>
        <v>-1.3668081864540227</v>
      </c>
    </row>
    <row r="122" spans="1:47">
      <c r="A122" s="25" t="s">
        <v>324</v>
      </c>
      <c r="B122">
        <v>0.29940849811606002</v>
      </c>
      <c r="C122">
        <v>0.304215598399736</v>
      </c>
      <c r="D122">
        <v>0.30909987823336699</v>
      </c>
      <c r="E122">
        <v>0.31406257675959198</v>
      </c>
      <c r="F122">
        <v>0.31910495301588598</v>
      </c>
      <c r="G122">
        <v>0.32422828625397798</v>
      </c>
      <c r="H122">
        <v>0.32943387626439602</v>
      </c>
      <c r="I122">
        <v>0.33472304370622802</v>
      </c>
      <c r="J122">
        <v>0.34009713044216699</v>
      </c>
      <c r="K122">
        <v>0.34555749987895001</v>
      </c>
      <c r="L122">
        <v>0.35110553731324701</v>
      </c>
      <c r="M122">
        <v>0.35674265028311503</v>
      </c>
      <c r="N122">
        <v>0.36247026892508999</v>
      </c>
      <c r="O122">
        <v>0.368289846337013</v>
      </c>
      <c r="P122">
        <v>0.37420285894667998</v>
      </c>
      <c r="Q122">
        <v>0.38021080688641301</v>
      </c>
      <c r="R122">
        <v>0.38631521437364502</v>
      </c>
      <c r="S122">
        <v>0.39251763009760998</v>
      </c>
      <c r="T122">
        <v>0.39881962761225198</v>
      </c>
      <c r="U122">
        <v>0.40522280573543101</v>
      </c>
      <c r="V122">
        <v>0.41172878895454301</v>
      </c>
      <c r="W122">
        <v>0.41833922783865901</v>
      </c>
      <c r="X122">
        <v>0.42505579945726601</v>
      </c>
      <c r="Y122">
        <v>0.43188020780574599</v>
      </c>
      <c r="Z122">
        <v>0.43881418423767898</v>
      </c>
      <c r="AA122">
        <v>0.44585948790408397</v>
      </c>
      <c r="AB122">
        <v>0.45301790619972199</v>
      </c>
      <c r="AC122">
        <v>0.46029125521655201</v>
      </c>
      <c r="AD122">
        <v>0.46768138020447902</v>
      </c>
      <c r="AE122">
        <v>0.475190156039491</v>
      </c>
      <c r="AF122">
        <v>0.48281948769931599</v>
      </c>
      <c r="AG122">
        <v>0.49057131074671601</v>
      </c>
      <c r="AH122">
        <v>0.49844759182054199</v>
      </c>
      <c r="AI122">
        <v>0.50645032913466204</v>
      </c>
      <c r="AJ122">
        <v>0.51458155298492003</v>
      </c>
      <c r="AK122">
        <v>0.52284332626421204</v>
      </c>
      <c r="AL122">
        <v>0.53123774498584997</v>
      </c>
      <c r="AM122">
        <v>0.53976693881531501</v>
      </c>
      <c r="AN122">
        <v>0.54843307161055799</v>
      </c>
      <c r="AO122">
        <v>0.557238341970969</v>
      </c>
      <c r="AP122">
        <v>0.56618498379516202</v>
      </c>
      <c r="AQ122">
        <v>0.57527526684771502</v>
      </c>
      <c r="AR122">
        <v>0.58451149733501295</v>
      </c>
      <c r="AS122">
        <v>0.59389601849032703</v>
      </c>
      <c r="AT122">
        <v>0.60343121116830001</v>
      </c>
      <c r="AU122" s="64">
        <f>B122-'calibration bloc bus'!D12</f>
        <v>0.28631248866558373</v>
      </c>
    </row>
    <row r="123" spans="1:47">
      <c r="A123" s="25" t="s">
        <v>325</v>
      </c>
      <c r="B123">
        <v>0.282468885464354</v>
      </c>
      <c r="C123">
        <v>0.28700401478763399</v>
      </c>
      <c r="D123">
        <v>0.29161195707912801</v>
      </c>
      <c r="E123">
        <v>0.296293881374594</v>
      </c>
      <c r="F123">
        <v>0.30105097547903398</v>
      </c>
      <c r="G123">
        <v>0.30588444626804701</v>
      </c>
      <c r="H123">
        <v>0.31079551999400801</v>
      </c>
      <c r="I123">
        <v>0.31578544259717201</v>
      </c>
      <c r="J123">
        <v>0.320855480021765</v>
      </c>
      <c r="K123">
        <v>0.32600691853716002</v>
      </c>
      <c r="L123">
        <v>0.33124106506419998</v>
      </c>
      <c r="M123">
        <v>0.33655924750676403</v>
      </c>
      <c r="N123">
        <v>0.341962815088658</v>
      </c>
      <c r="O123">
        <v>0.34745313869591299</v>
      </c>
      <c r="P123">
        <v>0.35303161122457799</v>
      </c>
      <c r="Q123">
        <v>0.35869964793409898</v>
      </c>
      <c r="R123">
        <v>0.364458686806369</v>
      </c>
      <c r="S123">
        <v>0.37031018891054801</v>
      </c>
      <c r="T123">
        <v>0.37625563877373103</v>
      </c>
      <c r="U123">
        <v>0.38229654475757802</v>
      </c>
      <c r="V123">
        <v>0.38843443944098199</v>
      </c>
      <c r="W123">
        <v>0.394670880008887</v>
      </c>
      <c r="X123">
        <v>0.401007448647343</v>
      </c>
      <c r="Y123">
        <v>0.40744575294490998</v>
      </c>
      <c r="Z123">
        <v>0.413987426300504</v>
      </c>
      <c r="AA123">
        <v>0.42063412833778502</v>
      </c>
      <c r="AB123">
        <v>0.42738754532621298</v>
      </c>
      <c r="AC123">
        <v>0.43424939060884299</v>
      </c>
      <c r="AD123">
        <v>0.44122140503701401</v>
      </c>
      <c r="AE123">
        <v>0.44830535741199001</v>
      </c>
      <c r="AF123">
        <v>0.45550304493371602</v>
      </c>
      <c r="AG123">
        <v>0.46281629365676202</v>
      </c>
      <c r="AH123">
        <v>0.47024695895359298</v>
      </c>
      <c r="AI123">
        <v>0.47779692598528101</v>
      </c>
      <c r="AJ123">
        <v>0.48546811017976998</v>
      </c>
      <c r="AK123">
        <v>0.49326245771781502</v>
      </c>
      <c r="AL123">
        <v>0.50118194602673805</v>
      </c>
      <c r="AM123">
        <v>0.50922858428209095</v>
      </c>
      <c r="AN123">
        <v>0.517404413917392</v>
      </c>
      <c r="AO123">
        <v>0.52571150914203602</v>
      </c>
      <c r="AP123">
        <v>0.53415197746751697</v>
      </c>
      <c r="AQ123">
        <v>0.54272796024211001</v>
      </c>
      <c r="AR123">
        <v>0.55144163319412998</v>
      </c>
      <c r="AS123">
        <v>0.560295206983912</v>
      </c>
      <c r="AT123">
        <v>0.56929092776465895</v>
      </c>
      <c r="AU123" s="64">
        <f>B123-'calibration bloc bus'!D13</f>
        <v>1.2407360614374863E-3</v>
      </c>
    </row>
    <row r="124" spans="1:47">
      <c r="A124" s="25" t="s">
        <v>326</v>
      </c>
      <c r="B124">
        <v>1.3868719715368899E-2</v>
      </c>
      <c r="C124">
        <v>1.40913864963636E-2</v>
      </c>
      <c r="D124">
        <v>1.43176282645508E-2</v>
      </c>
      <c r="E124">
        <v>1.4547502417506301E-2</v>
      </c>
      <c r="F124">
        <v>1.4781067274342301E-2</v>
      </c>
      <c r="G124">
        <v>1.50183820905036E-2</v>
      </c>
      <c r="H124">
        <v>1.52595070727999E-2</v>
      </c>
      <c r="I124">
        <v>1.55045033946812E-2</v>
      </c>
      <c r="J124">
        <v>1.5753433211756498E-2</v>
      </c>
      <c r="K124">
        <v>1.60063596775636E-2</v>
      </c>
      <c r="L124">
        <v>1.6263346959590599E-2</v>
      </c>
      <c r="M124">
        <v>1.6524460255555502E-2</v>
      </c>
      <c r="N124">
        <v>1.67897658099465E-2</v>
      </c>
      <c r="O124">
        <v>1.70593309308288E-2</v>
      </c>
      <c r="P124">
        <v>1.7333224006920198E-2</v>
      </c>
      <c r="Q124">
        <v>1.7611514524941502E-2</v>
      </c>
      <c r="R124">
        <v>1.7894273087245199E-2</v>
      </c>
      <c r="S124">
        <v>1.8181571429727601E-2</v>
      </c>
      <c r="T124">
        <v>1.8473482440027798E-2</v>
      </c>
      <c r="U124">
        <v>1.87700801760196E-2</v>
      </c>
      <c r="V124">
        <v>1.9071439884600101E-2</v>
      </c>
      <c r="W124">
        <v>1.9377638020779301E-2</v>
      </c>
      <c r="X124">
        <v>1.96887522670776E-2</v>
      </c>
      <c r="Y124">
        <v>2.0004861553232899E-2</v>
      </c>
      <c r="Z124">
        <v>2.03260460762258E-2</v>
      </c>
      <c r="AA124">
        <v>2.06523873206255E-2</v>
      </c>
      <c r="AB124">
        <v>2.0983968079262099E-2</v>
      </c>
      <c r="AC124">
        <v>2.1320872474231499E-2</v>
      </c>
      <c r="AD124">
        <v>2.1663185978236899E-2</v>
      </c>
      <c r="AE124">
        <v>2.2010995436273498E-2</v>
      </c>
      <c r="AF124">
        <v>2.2364389087661099E-2</v>
      </c>
      <c r="AG124">
        <v>2.2723456588430099E-2</v>
      </c>
      <c r="AH124">
        <v>2.3088289034067601E-2</v>
      </c>
      <c r="AI124">
        <v>2.34589789826283E-2</v>
      </c>
      <c r="AJ124">
        <v>2.38356204782161E-2</v>
      </c>
      <c r="AK124">
        <v>2.4218309074843802E-2</v>
      </c>
      <c r="AL124">
        <v>2.4607141860674399E-2</v>
      </c>
      <c r="AM124">
        <v>2.5002217482653102E-2</v>
      </c>
      <c r="AN124">
        <v>2.5403636171533499E-2</v>
      </c>
      <c r="AO124">
        <v>2.5811499767306401E-2</v>
      </c>
      <c r="AP124">
        <v>2.62259117450367E-2</v>
      </c>
      <c r="AQ124">
        <v>2.6646977241114801E-2</v>
      </c>
      <c r="AR124">
        <v>2.7074803079929901E-2</v>
      </c>
      <c r="AS124">
        <v>2.7509497800971301E-2</v>
      </c>
      <c r="AT124">
        <v>2.7951171686365101E-2</v>
      </c>
      <c r="AU124" s="64">
        <f>B124-'calibration bloc bus'!D14</f>
        <v>-5.5914120422895924E-4</v>
      </c>
    </row>
    <row r="125" spans="1:47">
      <c r="A125" s="25" t="s">
        <v>327</v>
      </c>
      <c r="B125">
        <v>0.85775220148922504</v>
      </c>
      <c r="C125">
        <v>0.87152369053194501</v>
      </c>
      <c r="D125">
        <v>0.88551628528576098</v>
      </c>
      <c r="E125">
        <v>0.89973353567438197</v>
      </c>
      <c r="F125">
        <v>0.91417904861669197</v>
      </c>
      <c r="G125">
        <v>0.92885648894182504</v>
      </c>
      <c r="H125">
        <v>0.94376958031892999</v>
      </c>
      <c r="I125">
        <v>0.95892210620187102</v>
      </c>
      <c r="J125">
        <v>0.97431791078908603</v>
      </c>
      <c r="K125">
        <v>0.98996089999886205</v>
      </c>
      <c r="L125">
        <v>1.0058550424602699</v>
      </c>
      <c r="M125">
        <v>1.0220043705199999</v>
      </c>
      <c r="N125">
        <v>1.03841298126538</v>
      </c>
      <c r="O125">
        <v>1.0550850375637899</v>
      </c>
      <c r="P125">
        <v>1.0720247691188001</v>
      </c>
      <c r="Q125">
        <v>1.08923647354324</v>
      </c>
      <c r="R125">
        <v>1.1067245174495</v>
      </c>
      <c r="S125">
        <v>1.12449333755734</v>
      </c>
      <c r="T125">
        <v>1.1425474418194901</v>
      </c>
      <c r="U125">
        <v>1.1608914105653501</v>
      </c>
      <c r="V125">
        <v>1.17952989766294</v>
      </c>
      <c r="W125">
        <v>1.1984676316996801</v>
      </c>
      <c r="X125">
        <v>1.21770941718195</v>
      </c>
      <c r="Y125">
        <v>1.23726013575408</v>
      </c>
      <c r="Z125">
        <v>1.25712474743674</v>
      </c>
      <c r="AA125">
        <v>1.27730829188536</v>
      </c>
      <c r="AB125">
        <v>1.29781588966865</v>
      </c>
      <c r="AC125">
        <v>1.31865274356773</v>
      </c>
      <c r="AD125">
        <v>1.33982413989602</v>
      </c>
      <c r="AE125">
        <v>1.36133544984045</v>
      </c>
      <c r="AF125">
        <v>1.38319213082407</v>
      </c>
      <c r="AG125">
        <v>1.4053997278906201</v>
      </c>
      <c r="AH125">
        <v>1.4279638751113299</v>
      </c>
      <c r="AI125">
        <v>1.4508902970142401</v>
      </c>
      <c r="AJ125">
        <v>1.47418481003657</v>
      </c>
      <c r="AK125">
        <v>1.49785332400029</v>
      </c>
      <c r="AL125">
        <v>1.5219018436114999</v>
      </c>
      <c r="AM125">
        <v>1.54633646998379</v>
      </c>
      <c r="AN125">
        <v>1.5711634021860801</v>
      </c>
      <c r="AO125">
        <v>1.59638893881538</v>
      </c>
      <c r="AP125">
        <v>1.6220194795946901</v>
      </c>
      <c r="AQ125">
        <v>1.6480615269966501</v>
      </c>
      <c r="AR125">
        <v>1.6745216878931899</v>
      </c>
      <c r="AS125">
        <v>1.7014066752317001</v>
      </c>
      <c r="AT125">
        <v>1.72872330973813</v>
      </c>
      <c r="AU125" s="64">
        <f>B125-'calibration bloc bus'!D15</f>
        <v>0.14020432230146729</v>
      </c>
    </row>
    <row r="126" spans="1:47">
      <c r="A126" s="25" t="s">
        <v>328</v>
      </c>
      <c r="B126">
        <v>3.2822742516770099E-3</v>
      </c>
      <c r="C126">
        <v>3.33497222646937E-3</v>
      </c>
      <c r="D126">
        <v>3.38851628429267E-3</v>
      </c>
      <c r="E126">
        <v>3.4429200092836302E-3</v>
      </c>
      <c r="F126">
        <v>3.4981972036767098E-3</v>
      </c>
      <c r="G126">
        <v>3.5543618913056901E-3</v>
      </c>
      <c r="H126">
        <v>3.61142832116153E-3</v>
      </c>
      <c r="I126">
        <v>3.6694109710073701E-3</v>
      </c>
      <c r="J126">
        <v>3.7283245510514999E-3</v>
      </c>
      <c r="K126">
        <v>3.7881840076793801E-3</v>
      </c>
      <c r="L126">
        <v>3.8490045272455099E-3</v>
      </c>
      <c r="M126">
        <v>3.9108015399262203E-3</v>
      </c>
      <c r="N126">
        <v>3.9735907236343399E-3</v>
      </c>
      <c r="O126">
        <v>4.0373880079966297E-3</v>
      </c>
      <c r="P126">
        <v>4.1022095783951702E-3</v>
      </c>
      <c r="Q126">
        <v>4.1680718800735901E-3</v>
      </c>
      <c r="R126">
        <v>4.2349916223092202E-3</v>
      </c>
      <c r="S126">
        <v>4.3029857826522499E-3</v>
      </c>
      <c r="T126">
        <v>4.3720716112329201E-3</v>
      </c>
      <c r="U126">
        <v>4.4422666351378896E-3</v>
      </c>
      <c r="V126">
        <v>4.5135886628568898E-3</v>
      </c>
      <c r="W126">
        <v>4.5860557888006701E-3</v>
      </c>
      <c r="X126">
        <v>4.6596863978916499E-3</v>
      </c>
      <c r="Y126">
        <v>4.73449917022807E-3</v>
      </c>
      <c r="Z126">
        <v>4.8105130858232302E-3</v>
      </c>
      <c r="AA126">
        <v>4.8877474294206601E-3</v>
      </c>
      <c r="AB126">
        <v>4.9662217953867199E-3</v>
      </c>
      <c r="AC126">
        <v>5.0459560926816001E-3</v>
      </c>
      <c r="AD126">
        <v>5.1269705499103497E-3</v>
      </c>
      <c r="AE126">
        <v>5.2092857204547698E-3</v>
      </c>
      <c r="AF126">
        <v>5.2929224876878799E-3</v>
      </c>
      <c r="AG126">
        <v>5.3779020702720004E-3</v>
      </c>
      <c r="AH126">
        <v>5.4642460275419304E-3</v>
      </c>
      <c r="AI126">
        <v>5.5519762649745702E-3</v>
      </c>
      <c r="AJ126">
        <v>5.6411150397463498E-3</v>
      </c>
      <c r="AK126">
        <v>5.7316849663798398E-3</v>
      </c>
      <c r="AL126">
        <v>5.8237090224811001E-3</v>
      </c>
      <c r="AM126">
        <v>5.9172105545690903E-3</v>
      </c>
      <c r="AN126">
        <v>6.0122132839986802E-3</v>
      </c>
      <c r="AO126">
        <v>6.1087413129787696E-3</v>
      </c>
      <c r="AP126">
        <v>6.206819130687E-3</v>
      </c>
      <c r="AQ126">
        <v>6.3064716194827196E-3</v>
      </c>
      <c r="AR126">
        <v>6.4077240612195599E-3</v>
      </c>
      <c r="AS126">
        <v>6.5106021436595104E-3</v>
      </c>
      <c r="AT126">
        <v>6.6151319669899003E-3</v>
      </c>
      <c r="AU126" s="64">
        <f>B126-'calibration bloc bus'!D16</f>
        <v>1.7311569879268933E-3</v>
      </c>
    </row>
    <row r="127" spans="1:47">
      <c r="A127" s="25" t="s">
        <v>329</v>
      </c>
      <c r="B127">
        <v>1.1903615482214599E-2</v>
      </c>
      <c r="C127">
        <v>1.2094731879115099E-2</v>
      </c>
      <c r="D127">
        <v>1.2288916711586099E-2</v>
      </c>
      <c r="E127">
        <v>1.24862192443534E-2</v>
      </c>
      <c r="F127">
        <v>1.26866895331035E-2</v>
      </c>
      <c r="G127">
        <v>1.28903784371835E-2</v>
      </c>
      <c r="H127">
        <v>1.30973376325035E-2</v>
      </c>
      <c r="I127">
        <v>1.3307619624647301E-2</v>
      </c>
      <c r="J127">
        <v>1.35212777621925E-2</v>
      </c>
      <c r="K127">
        <v>1.3738366250245699E-2</v>
      </c>
      <c r="L127">
        <v>1.3958940164193899E-2</v>
      </c>
      <c r="M127">
        <v>1.4183055463677201E-2</v>
      </c>
      <c r="N127">
        <v>1.44107690067858E-2</v>
      </c>
      <c r="O127">
        <v>1.4642138564484999E-2</v>
      </c>
      <c r="P127">
        <v>1.48772228352718E-2</v>
      </c>
      <c r="Q127">
        <v>1.51160814600661E-2</v>
      </c>
      <c r="R127">
        <v>1.5358775037342599E-2</v>
      </c>
      <c r="S127">
        <v>1.5605365138503699E-2</v>
      </c>
      <c r="T127">
        <v>1.5855914323500701E-2</v>
      </c>
      <c r="U127">
        <v>1.6110486156705298E-2</v>
      </c>
      <c r="V127">
        <v>1.6369145223035599E-2</v>
      </c>
      <c r="W127">
        <v>1.66319571443415E-2</v>
      </c>
      <c r="X127">
        <v>1.6898988596052902E-2</v>
      </c>
      <c r="Y127">
        <v>1.7170307324095201E-2</v>
      </c>
      <c r="Z127">
        <v>1.7445982162076899E-2</v>
      </c>
      <c r="AA127">
        <v>1.7726083048751801E-2</v>
      </c>
      <c r="AB127">
        <v>1.8010681045763598E-2</v>
      </c>
      <c r="AC127">
        <v>1.8299848355673099E-2</v>
      </c>
      <c r="AD127">
        <v>1.8593658340277101E-2</v>
      </c>
      <c r="AE127">
        <v>1.8892185539219501E-2</v>
      </c>
      <c r="AF127">
        <v>1.9195505688902201E-2</v>
      </c>
      <c r="AG127">
        <v>1.95036957416998E-2</v>
      </c>
      <c r="AH127">
        <v>1.9816833885481899E-2</v>
      </c>
      <c r="AI127">
        <v>2.0134999563449898E-2</v>
      </c>
      <c r="AJ127">
        <v>2.0458273494291201E-2</v>
      </c>
      <c r="AK127">
        <v>2.0786737692658101E-2</v>
      </c>
      <c r="AL127">
        <v>2.1120475489974599E-2</v>
      </c>
      <c r="AM127">
        <v>2.1459571555577501E-2</v>
      </c>
      <c r="AN127">
        <v>2.1804111918197401E-2</v>
      </c>
      <c r="AO127">
        <v>2.21541839877838E-2</v>
      </c>
      <c r="AP127">
        <v>2.2509876577681599E-2</v>
      </c>
      <c r="AQ127">
        <v>2.2871279927162098E-2</v>
      </c>
      <c r="AR127">
        <v>2.32384857243178E-2</v>
      </c>
      <c r="AS127">
        <v>2.3611587129322899E-2</v>
      </c>
      <c r="AT127">
        <v>2.3990678798068502E-2</v>
      </c>
      <c r="AU127" s="64">
        <f>B127-'calibration bloc bus'!D17</f>
        <v>5.5914120422892108E-4</v>
      </c>
    </row>
    <row r="128" spans="1:47">
      <c r="A128" s="25" t="s">
        <v>330</v>
      </c>
      <c r="B128">
        <v>1042.9470581804201</v>
      </c>
      <c r="C128">
        <v>1059.6919105503</v>
      </c>
      <c r="D128">
        <v>1076.7056069412399</v>
      </c>
      <c r="E128">
        <v>1093.99246373098</v>
      </c>
      <c r="F128">
        <v>1111.55686659807</v>
      </c>
      <c r="G128">
        <v>1129.40327163456</v>
      </c>
      <c r="H128">
        <v>1147.53620647649</v>
      </c>
      <c r="I128">
        <v>1165.9602714525699</v>
      </c>
      <c r="J128">
        <v>1184.6801407512801</v>
      </c>
      <c r="K128">
        <v>1203.7005636066899</v>
      </c>
      <c r="L128">
        <v>1223.02636550338</v>
      </c>
      <c r="M128">
        <v>1242.6624494006201</v>
      </c>
      <c r="N128">
        <v>1262.6137969762999</v>
      </c>
      <c r="O128">
        <v>1282.8854698907601</v>
      </c>
      <c r="P128">
        <v>1303.48261107092</v>
      </c>
      <c r="Q128">
        <v>1324.41044601506</v>
      </c>
      <c r="R128">
        <v>1345.6742841185301</v>
      </c>
      <c r="S128">
        <v>1367.2795200207399</v>
      </c>
      <c r="T128">
        <v>1389.23163497376</v>
      </c>
      <c r="U128">
        <v>1411.53619823297</v>
      </c>
      <c r="V128">
        <v>1434.1988684699199</v>
      </c>
      <c r="W128">
        <v>1457.22539520797</v>
      </c>
      <c r="X128">
        <v>1480.6216202809401</v>
      </c>
      <c r="Y128">
        <v>1504.39347931519</v>
      </c>
      <c r="Z128">
        <v>1528.5470032354499</v>
      </c>
      <c r="AA128">
        <v>1553.0883197949399</v>
      </c>
      <c r="AB128">
        <v>1578.0236551298899</v>
      </c>
      <c r="AC128">
        <v>1603.35933533922</v>
      </c>
      <c r="AD128">
        <v>1629.1017880893601</v>
      </c>
      <c r="AE128">
        <v>1655.25754424504</v>
      </c>
      <c r="AF128">
        <v>1681.83323952612</v>
      </c>
      <c r="AG128">
        <v>1708.8356161910799</v>
      </c>
      <c r="AH128">
        <v>1736.2715247475701</v>
      </c>
      <c r="AI128">
        <v>1764.1479256903301</v>
      </c>
      <c r="AJ128">
        <v>1792.4718912671101</v>
      </c>
      <c r="AK128">
        <v>1821.25060727286</v>
      </c>
      <c r="AL128">
        <v>1850.49137487283</v>
      </c>
      <c r="AM128">
        <v>1880.2016124548099</v>
      </c>
      <c r="AN128">
        <v>1910.3888575112101</v>
      </c>
      <c r="AO128">
        <v>1941.0607685513401</v>
      </c>
      <c r="AP128">
        <v>1972.2251270443301</v>
      </c>
      <c r="AQ128">
        <v>2003.88983939331</v>
      </c>
      <c r="AR128">
        <v>2036.06293894131</v>
      </c>
      <c r="AS128">
        <v>2068.7525880092298</v>
      </c>
      <c r="AT128">
        <v>2101.9670799667001</v>
      </c>
      <c r="AU128" s="64">
        <f>B128-'calibration bloc bus'!D18</f>
        <v>-331.07960563228153</v>
      </c>
    </row>
    <row r="129" spans="1:47">
      <c r="A129" s="25" t="s">
        <v>331</v>
      </c>
      <c r="B129">
        <v>1.64256627499342</v>
      </c>
      <c r="C129">
        <v>1.66893820784156</v>
      </c>
      <c r="D129">
        <v>1.6957335506018101</v>
      </c>
      <c r="E129">
        <v>1.72295910125728</v>
      </c>
      <c r="F129">
        <v>1.75062176693488</v>
      </c>
      <c r="G129">
        <v>1.7787285656576699</v>
      </c>
      <c r="H129">
        <v>1.8072866281253599</v>
      </c>
      <c r="I129">
        <v>1.8363031995233401</v>
      </c>
      <c r="J129">
        <v>1.8657856413607901</v>
      </c>
      <c r="K129">
        <v>1.8957414333383</v>
      </c>
      <c r="L129">
        <v>1.9261781752454901</v>
      </c>
      <c r="M129">
        <v>1.95710358888904</v>
      </c>
      <c r="N129">
        <v>1.98852552005174</v>
      </c>
      <c r="O129">
        <v>2.0204519404829799</v>
      </c>
      <c r="P129">
        <v>2.0528909499211299</v>
      </c>
      <c r="Q129">
        <v>2.0858507781485098</v>
      </c>
      <c r="R129">
        <v>2.1193397870792299</v>
      </c>
      <c r="S129">
        <v>2.1533664728806698</v>
      </c>
      <c r="T129">
        <v>2.18793946812889</v>
      </c>
      <c r="U129">
        <v>2.2230675439987699</v>
      </c>
      <c r="V129">
        <v>2.2587596124892402</v>
      </c>
      <c r="W129">
        <v>2.2950247286842602</v>
      </c>
      <c r="X129">
        <v>2.3318720930500598</v>
      </c>
      <c r="Y129">
        <v>2.3693110537693798</v>
      </c>
      <c r="Z129">
        <v>2.4073511091130202</v>
      </c>
      <c r="AA129">
        <v>2.4460019098496102</v>
      </c>
      <c r="AB129">
        <v>2.4852732616939801</v>
      </c>
      <c r="AC129">
        <v>2.5251751277948999</v>
      </c>
      <c r="AD129">
        <v>2.5657176312626802</v>
      </c>
      <c r="AE129">
        <v>2.6069110577374901</v>
      </c>
      <c r="AF129">
        <v>2.6487658579987299</v>
      </c>
      <c r="AG129">
        <v>2.6912926506165</v>
      </c>
      <c r="AH129">
        <v>2.73450222464542</v>
      </c>
      <c r="AI129">
        <v>2.7784055423619098</v>
      </c>
      <c r="AJ129">
        <v>2.8230137420452599</v>
      </c>
      <c r="AK129">
        <v>2.8683381408034698</v>
      </c>
      <c r="AL129">
        <v>2.91439023744433</v>
      </c>
      <c r="AM129">
        <v>2.9611817153927298</v>
      </c>
      <c r="AN129">
        <v>3.0087244456547202</v>
      </c>
      <c r="AO129">
        <v>3.0570304898292102</v>
      </c>
      <c r="AP129">
        <v>3.1061121031679502</v>
      </c>
      <c r="AQ129">
        <v>3.1559817376847299</v>
      </c>
      <c r="AR129">
        <v>3.2066520453144798</v>
      </c>
      <c r="AS129">
        <v>3.2581358811230001</v>
      </c>
      <c r="AT129">
        <v>3.3104463065683398</v>
      </c>
      <c r="AU129" s="64">
        <f>B129-'calibration bloc bus'!D19</f>
        <v>0.85817444091127038</v>
      </c>
    </row>
    <row r="130" spans="1:47">
      <c r="A130" s="25" t="s">
        <v>332</v>
      </c>
      <c r="B130">
        <v>29.098169398706101</v>
      </c>
      <c r="C130">
        <v>29.565349920471899</v>
      </c>
      <c r="D130">
        <v>30.0400311766284</v>
      </c>
      <c r="E130">
        <v>30.522333593892601</v>
      </c>
      <c r="F130">
        <v>31.012379532471101</v>
      </c>
      <c r="G130">
        <v>31.510293317103301</v>
      </c>
      <c r="H130">
        <v>32.0162012686026</v>
      </c>
      <c r="I130">
        <v>32.530231735903698</v>
      </c>
      <c r="J130">
        <v>33.052515128625203</v>
      </c>
      <c r="K130">
        <v>33.5831839501543</v>
      </c>
      <c r="L130">
        <v>34.122372831262602</v>
      </c>
      <c r="M130">
        <v>34.670218564262797</v>
      </c>
      <c r="N130">
        <v>35.226860137711903</v>
      </c>
      <c r="O130">
        <v>35.792438771673702</v>
      </c>
      <c r="P130">
        <v>36.367097953545198</v>
      </c>
      <c r="Q130">
        <v>36.9509834744606</v>
      </c>
      <c r="R130">
        <v>37.544243466277301</v>
      </c>
      <c r="S130">
        <v>38.147028439157999</v>
      </c>
      <c r="T130">
        <v>38.759491319754602</v>
      </c>
      <c r="U130">
        <v>39.381787490005998</v>
      </c>
      <c r="V130">
        <v>40.0140748265582</v>
      </c>
      <c r="W130">
        <v>40.6565137408178</v>
      </c>
      <c r="X130">
        <v>41.309267219648603</v>
      </c>
      <c r="Y130">
        <v>41.972500866721099</v>
      </c>
      <c r="Z130">
        <v>42.646382944526401</v>
      </c>
      <c r="AA130">
        <v>43.331084417064197</v>
      </c>
      <c r="AB130">
        <v>44.026778993216503</v>
      </c>
      <c r="AC130">
        <v>44.7336431708178</v>
      </c>
      <c r="AD130">
        <v>45.4518562814322</v>
      </c>
      <c r="AE130">
        <v>46.181600535850002</v>
      </c>
      <c r="AF130">
        <v>46.923061070315001</v>
      </c>
      <c r="AG130">
        <v>47.676425993493098</v>
      </c>
      <c r="AH130">
        <v>48.441886434195602</v>
      </c>
      <c r="AI130">
        <v>49.219636589868699</v>
      </c>
      <c r="AJ130">
        <v>50.0098737758616</v>
      </c>
      <c r="AK130">
        <v>50.812798475485103</v>
      </c>
      <c r="AL130">
        <v>51.628614390874397</v>
      </c>
      <c r="AM130">
        <v>52.457528494668303</v>
      </c>
      <c r="AN130">
        <v>53.299751082518597</v>
      </c>
      <c r="AO130">
        <v>54.155495826441403</v>
      </c>
      <c r="AP130">
        <v>55.0249798290264</v>
      </c>
      <c r="AQ130">
        <v>55.908423678515398</v>
      </c>
      <c r="AR130">
        <v>56.806051504766003</v>
      </c>
      <c r="AS130">
        <v>57.718091036113002</v>
      </c>
      <c r="AT130">
        <v>58.644773657143404</v>
      </c>
      <c r="AU130" s="64">
        <f>B130-'calibration bloc bus'!D20</f>
        <v>1.366812146454027</v>
      </c>
    </row>
    <row r="131" spans="1:47">
      <c r="A131" s="25" t="s">
        <v>333</v>
      </c>
      <c r="B131">
        <v>271.41500000000002</v>
      </c>
      <c r="C131">
        <v>271.41500000000002</v>
      </c>
      <c r="D131">
        <v>271.41500000000002</v>
      </c>
      <c r="E131">
        <v>271.41500000000002</v>
      </c>
      <c r="F131">
        <v>271.41500000000002</v>
      </c>
      <c r="G131">
        <v>271.41500000000002</v>
      </c>
      <c r="H131">
        <v>271.41500000000002</v>
      </c>
      <c r="I131">
        <v>271.41500000000002</v>
      </c>
      <c r="J131">
        <v>271.41500000000002</v>
      </c>
      <c r="K131">
        <v>271.41500000000002</v>
      </c>
      <c r="L131">
        <v>271.41500000000002</v>
      </c>
      <c r="M131">
        <v>271.41500000000002</v>
      </c>
      <c r="N131">
        <v>271.41500000000002</v>
      </c>
      <c r="O131">
        <v>271.41500000000002</v>
      </c>
      <c r="P131">
        <v>271.41500000000002</v>
      </c>
      <c r="Q131">
        <v>260.02895995842499</v>
      </c>
      <c r="R131">
        <v>251.42503920543601</v>
      </c>
      <c r="S131">
        <v>238.99718555649801</v>
      </c>
      <c r="T131">
        <v>238.99718555649801</v>
      </c>
      <c r="U131">
        <v>238.99718555649801</v>
      </c>
      <c r="V131">
        <v>238.99718555649801</v>
      </c>
      <c r="W131">
        <v>238.99718555649801</v>
      </c>
      <c r="X131">
        <v>238.99718555649801</v>
      </c>
      <c r="Y131">
        <v>238.99718555649801</v>
      </c>
      <c r="Z131">
        <v>238.99718555649801</v>
      </c>
      <c r="AA131">
        <v>238.99718555649801</v>
      </c>
      <c r="AB131">
        <v>238.99718555649801</v>
      </c>
      <c r="AC131">
        <v>238.99718555649801</v>
      </c>
      <c r="AD131">
        <v>238.99718555649801</v>
      </c>
      <c r="AE131">
        <v>238.99718555649801</v>
      </c>
      <c r="AF131">
        <v>238.99718555649801</v>
      </c>
      <c r="AG131">
        <v>238.99718555649801</v>
      </c>
      <c r="AH131">
        <v>238.99718555649801</v>
      </c>
      <c r="AI131">
        <v>238.99718555649801</v>
      </c>
      <c r="AJ131">
        <v>238.99718555649801</v>
      </c>
      <c r="AK131">
        <v>238.99718555649801</v>
      </c>
      <c r="AL131">
        <v>238.99718555649801</v>
      </c>
      <c r="AM131">
        <v>238.99718555649801</v>
      </c>
      <c r="AN131">
        <v>238.99718555649801</v>
      </c>
      <c r="AO131">
        <v>238.99718555649801</v>
      </c>
      <c r="AP131">
        <v>238.99718555649801</v>
      </c>
      <c r="AQ131">
        <v>238.99718555649801</v>
      </c>
      <c r="AR131">
        <v>238.99718555649801</v>
      </c>
      <c r="AS131">
        <v>238.99718555649801</v>
      </c>
      <c r="AT131">
        <v>238.99718555649801</v>
      </c>
      <c r="AU131" s="64">
        <f>B131-'calibration bloc bus'!D21</f>
        <v>57.702174299563779</v>
      </c>
    </row>
    <row r="132" spans="1:47">
      <c r="A132" s="25" t="s">
        <v>334</v>
      </c>
      <c r="B132">
        <v>499.55500000000001</v>
      </c>
      <c r="C132">
        <v>499.55500000000001</v>
      </c>
      <c r="D132">
        <v>499.55500000000001</v>
      </c>
      <c r="E132">
        <v>499.55500000000001</v>
      </c>
      <c r="F132">
        <v>499.55500000000001</v>
      </c>
      <c r="G132">
        <v>499.55500000000001</v>
      </c>
      <c r="H132">
        <v>499.55500000000001</v>
      </c>
      <c r="I132">
        <v>499.55500000000001</v>
      </c>
      <c r="J132">
        <v>499.55500000000001</v>
      </c>
      <c r="K132">
        <v>499.55500000000001</v>
      </c>
      <c r="L132">
        <v>499.55500000000001</v>
      </c>
      <c r="M132">
        <v>499.55500000000001</v>
      </c>
      <c r="N132">
        <v>499.55500000000001</v>
      </c>
      <c r="O132">
        <v>499.55500000000001</v>
      </c>
      <c r="P132">
        <v>499.55500000000001</v>
      </c>
      <c r="Q132">
        <v>457.44337092094997</v>
      </c>
      <c r="R132">
        <v>441.42045454545399</v>
      </c>
      <c r="S132">
        <v>419.60119253370198</v>
      </c>
      <c r="T132">
        <v>411.32473654986399</v>
      </c>
      <c r="U132">
        <v>385.63490563644598</v>
      </c>
      <c r="V132">
        <v>374.25916637837901</v>
      </c>
      <c r="W132">
        <v>364.02100104611901</v>
      </c>
      <c r="X132">
        <v>354.80665224708503</v>
      </c>
      <c r="Y132">
        <v>346.51373832795502</v>
      </c>
      <c r="Z132">
        <v>339.05011580073699</v>
      </c>
      <c r="AA132">
        <v>332.33285552624102</v>
      </c>
      <c r="AB132">
        <v>326.287321279195</v>
      </c>
      <c r="AC132">
        <v>322.62240935427099</v>
      </c>
      <c r="AD132">
        <v>318.95749742934697</v>
      </c>
      <c r="AE132">
        <v>315.29258550442199</v>
      </c>
      <c r="AF132">
        <v>313.09363834946799</v>
      </c>
      <c r="AG132">
        <v>310.894691194514</v>
      </c>
      <c r="AH132">
        <v>308.69574403955897</v>
      </c>
      <c r="AI132">
        <v>306.49679688460498</v>
      </c>
      <c r="AJ132">
        <v>304.29784972965001</v>
      </c>
      <c r="AK132">
        <v>302.09890257469601</v>
      </c>
      <c r="AL132">
        <v>299.89995541974099</v>
      </c>
      <c r="AM132">
        <v>297.70100826478699</v>
      </c>
      <c r="AN132">
        <v>295.50206110983203</v>
      </c>
      <c r="AO132">
        <v>293.30311395487797</v>
      </c>
      <c r="AP132">
        <v>291.10416679992301</v>
      </c>
      <c r="AQ132">
        <v>288.90521964496901</v>
      </c>
      <c r="AR132">
        <v>286.70627249001399</v>
      </c>
      <c r="AS132">
        <v>284.50732533505999</v>
      </c>
      <c r="AT132">
        <v>282.30837818010502</v>
      </c>
      <c r="AU132" s="64">
        <f>B132-'calibration bloc bus'!D22</f>
        <v>106.20441205170891</v>
      </c>
    </row>
    <row r="133" spans="1:47">
      <c r="A133" s="25" t="s">
        <v>335</v>
      </c>
      <c r="B133">
        <v>311.39499999999998</v>
      </c>
      <c r="C133">
        <v>311.39499999999998</v>
      </c>
      <c r="D133">
        <v>311.39499999999998</v>
      </c>
      <c r="E133">
        <v>311.39499999999998</v>
      </c>
      <c r="F133">
        <v>311.39499999999998</v>
      </c>
      <c r="G133">
        <v>311.39499999999998</v>
      </c>
      <c r="H133">
        <v>311.39499999999998</v>
      </c>
      <c r="I133">
        <v>311.39499999999998</v>
      </c>
      <c r="J133">
        <v>311.39499999999998</v>
      </c>
      <c r="K133">
        <v>311.39499999999998</v>
      </c>
      <c r="L133">
        <v>311.39499999999998</v>
      </c>
      <c r="M133">
        <v>311.39499999999998</v>
      </c>
      <c r="N133">
        <v>311.39499999999998</v>
      </c>
      <c r="O133">
        <v>311.39499999999998</v>
      </c>
      <c r="P133">
        <v>311.39499999999998</v>
      </c>
      <c r="Q133">
        <v>298.85483720077002</v>
      </c>
      <c r="R133">
        <v>290.3</v>
      </c>
      <c r="S133">
        <v>275.95057034220503</v>
      </c>
      <c r="T133">
        <v>275.95057034220503</v>
      </c>
      <c r="U133">
        <v>275.95057034220503</v>
      </c>
      <c r="V133">
        <v>275.95057034220503</v>
      </c>
      <c r="W133">
        <v>275.95057034220503</v>
      </c>
      <c r="X133">
        <v>275.95057034220503</v>
      </c>
      <c r="Y133">
        <v>275.95057034220503</v>
      </c>
      <c r="Z133">
        <v>275.95057034220503</v>
      </c>
      <c r="AA133">
        <v>275.95057034220503</v>
      </c>
      <c r="AB133">
        <v>275.95057034220503</v>
      </c>
      <c r="AC133">
        <v>275.95057034220503</v>
      </c>
      <c r="AD133">
        <v>275.95057034220503</v>
      </c>
      <c r="AE133">
        <v>275.95057034220503</v>
      </c>
      <c r="AF133">
        <v>275.95057034220503</v>
      </c>
      <c r="AG133">
        <v>275.95057034220503</v>
      </c>
      <c r="AH133">
        <v>275.95057034220503</v>
      </c>
      <c r="AI133">
        <v>275.95057034220503</v>
      </c>
      <c r="AJ133">
        <v>275.95057034220503</v>
      </c>
      <c r="AK133">
        <v>275.95057034220503</v>
      </c>
      <c r="AL133">
        <v>275.95057034220503</v>
      </c>
      <c r="AM133">
        <v>275.95057034220503</v>
      </c>
      <c r="AN133">
        <v>275.95057034220503</v>
      </c>
      <c r="AO133">
        <v>275.95057034220503</v>
      </c>
      <c r="AP133">
        <v>275.95057034220503</v>
      </c>
      <c r="AQ133">
        <v>275.95057034220503</v>
      </c>
      <c r="AR133">
        <v>275.95057034220503</v>
      </c>
      <c r="AS133">
        <v>275.95057034220503</v>
      </c>
      <c r="AT133">
        <v>275.95057034220503</v>
      </c>
      <c r="AU133" s="64">
        <f>B133-'calibration bloc bus'!D23</f>
        <v>66.201790917692591</v>
      </c>
    </row>
    <row r="134" spans="1:47">
      <c r="A134" s="25" t="s">
        <v>336</v>
      </c>
      <c r="B134">
        <v>1613</v>
      </c>
      <c r="C134">
        <v>1638.89723673963</v>
      </c>
      <c r="D134">
        <v>1665.2102619918101</v>
      </c>
      <c r="E134">
        <v>1691.9457513756099</v>
      </c>
      <c r="F134">
        <v>1719.11048768931</v>
      </c>
      <c r="G134">
        <v>1746.7113626312</v>
      </c>
      <c r="H134">
        <v>1774.75537854805</v>
      </c>
      <c r="I134">
        <v>1803.24965021153</v>
      </c>
      <c r="J134">
        <v>1832.2014066233</v>
      </c>
      <c r="K134">
        <v>1861.6179928489801</v>
      </c>
      <c r="L134">
        <v>1891.5068718815701</v>
      </c>
      <c r="M134">
        <v>1921.87562653486</v>
      </c>
      <c r="N134">
        <v>1952.73196136716</v>
      </c>
      <c r="O134">
        <v>1984.08370463596</v>
      </c>
      <c r="P134">
        <v>2015.93881028395</v>
      </c>
      <c r="Q134">
        <v>2048.3053599569398</v>
      </c>
      <c r="R134">
        <v>2081.1915650541901</v>
      </c>
      <c r="S134">
        <v>2114.6057688116198</v>
      </c>
      <c r="T134">
        <v>2148.5564484185102</v>
      </c>
      <c r="U134">
        <v>2183.05221716814</v>
      </c>
      <c r="V134">
        <v>2218.1018266430301</v>
      </c>
      <c r="W134">
        <v>2253.7141689351402</v>
      </c>
      <c r="X134">
        <v>2289.8982789019001</v>
      </c>
      <c r="Y134">
        <v>2326.6633364582599</v>
      </c>
      <c r="Z134">
        <v>2364.01866890567</v>
      </c>
      <c r="AA134">
        <v>2401.97375329846</v>
      </c>
      <c r="AB134">
        <v>2440.5382188480899</v>
      </c>
      <c r="AC134">
        <v>2479.7218493661499</v>
      </c>
      <c r="AD134">
        <v>2519.5345857464799</v>
      </c>
      <c r="AE134">
        <v>2559.9865284871998</v>
      </c>
      <c r="AF134">
        <v>2601.08794025316</v>
      </c>
      <c r="AG134">
        <v>2642.8492484796602</v>
      </c>
      <c r="AH134">
        <v>2685.28104801781</v>
      </c>
      <c r="AI134">
        <v>2728.3941038224998</v>
      </c>
      <c r="AJ134">
        <v>2772.1993536834502</v>
      </c>
      <c r="AK134">
        <v>2816.70791100013</v>
      </c>
      <c r="AL134">
        <v>2861.9310676012301</v>
      </c>
      <c r="AM134">
        <v>2907.8802966093999</v>
      </c>
      <c r="AN134">
        <v>2954.5672553519898</v>
      </c>
      <c r="AO134">
        <v>3002.00378831853</v>
      </c>
      <c r="AP134">
        <v>3050.2019301656201</v>
      </c>
      <c r="AQ134">
        <v>3099.1739087701999</v>
      </c>
      <c r="AR134">
        <v>3148.9321483317099</v>
      </c>
      <c r="AS134">
        <v>3199.4892725241398</v>
      </c>
      <c r="AT134">
        <v>3250.8581076986402</v>
      </c>
      <c r="AU134" s="64">
        <f>B134-'calibration bloc bus'!D24</f>
        <v>7.8959105599997201</v>
      </c>
    </row>
    <row r="135" spans="1:47">
      <c r="A135" s="25" t="s">
        <v>337</v>
      </c>
      <c r="B135">
        <v>1407</v>
      </c>
      <c r="C135">
        <v>1429.5898401070399</v>
      </c>
      <c r="D135">
        <v>1452.5423674039</v>
      </c>
      <c r="E135">
        <v>1475.86340495071</v>
      </c>
      <c r="F135">
        <v>1499.5588692987301</v>
      </c>
      <c r="G135">
        <v>1523.6347719913799</v>
      </c>
      <c r="H135">
        <v>1548.0972210893401</v>
      </c>
      <c r="I135">
        <v>1572.95242272016</v>
      </c>
      <c r="J135">
        <v>1598.2066826528101</v>
      </c>
      <c r="K135">
        <v>1623.8664078974</v>
      </c>
      <c r="L135">
        <v>1649.93810833067</v>
      </c>
      <c r="M135">
        <v>1676.42839834752</v>
      </c>
      <c r="N135">
        <v>1703.3439985391201</v>
      </c>
      <c r="O135">
        <v>1730.6917373978899</v>
      </c>
      <c r="P135">
        <v>1758.47855304992</v>
      </c>
      <c r="Q135">
        <v>1786.7114950151399</v>
      </c>
      <c r="R135">
        <v>1815.3977259958101</v>
      </c>
      <c r="S135">
        <v>1844.5445236937101</v>
      </c>
      <c r="T135">
        <v>1874.1592826564399</v>
      </c>
      <c r="U135">
        <v>1904.24951615349</v>
      </c>
      <c r="V135">
        <v>1934.8228580822899</v>
      </c>
      <c r="W135">
        <v>1965.88706490499</v>
      </c>
      <c r="X135">
        <v>1997.4500176162301</v>
      </c>
      <c r="Y135">
        <v>2029.51972374257</v>
      </c>
      <c r="Z135">
        <v>2062.1043193740102</v>
      </c>
      <c r="AA135">
        <v>2095.2120712280998</v>
      </c>
      <c r="AB135">
        <v>2128.8513787472202</v>
      </c>
      <c r="AC135">
        <v>2163.0307762294901</v>
      </c>
      <c r="AD135">
        <v>2197.7589349939899</v>
      </c>
      <c r="AE135">
        <v>2233.0446655805899</v>
      </c>
      <c r="AF135">
        <v>2268.8969199852399</v>
      </c>
      <c r="AG135">
        <v>2305.32479393111</v>
      </c>
      <c r="AH135">
        <v>2342.3375291761099</v>
      </c>
      <c r="AI135">
        <v>2379.94451585757</v>
      </c>
      <c r="AJ135">
        <v>2418.1552948745302</v>
      </c>
      <c r="AK135">
        <v>2456.9795603082298</v>
      </c>
      <c r="AL135">
        <v>2496.4271618815401</v>
      </c>
      <c r="AM135">
        <v>2536.5081074577902</v>
      </c>
      <c r="AN135">
        <v>2577.2325655798199</v>
      </c>
      <c r="AO135">
        <v>2618.6108680497</v>
      </c>
      <c r="AP135">
        <v>2660.6535125499199</v>
      </c>
      <c r="AQ135">
        <v>2703.3711653066698</v>
      </c>
      <c r="AR135">
        <v>2746.7746637958498</v>
      </c>
      <c r="AS135">
        <v>2790.8750194925301</v>
      </c>
      <c r="AT135">
        <v>2835.6834206645899</v>
      </c>
      <c r="AU135" s="64">
        <f>B135-'calibration bloc bus'!D25</f>
        <v>7.8958929999998873</v>
      </c>
    </row>
    <row r="136" spans="1:47">
      <c r="A136" s="25" t="s">
        <v>338</v>
      </c>
      <c r="B136">
        <v>143</v>
      </c>
      <c r="C136">
        <v>145.29591125466001</v>
      </c>
      <c r="D136">
        <v>147.62868410714799</v>
      </c>
      <c r="E136">
        <v>149.99891038233901</v>
      </c>
      <c r="F136">
        <v>152.40719140704999</v>
      </c>
      <c r="G136">
        <v>154.85413816259299</v>
      </c>
      <c r="H136">
        <v>157.34037143978301</v>
      </c>
      <c r="I136">
        <v>159.86652199643399</v>
      </c>
      <c r="J136">
        <v>162.43323071737899</v>
      </c>
      <c r="K136">
        <v>165.041148777063</v>
      </c>
      <c r="L136">
        <v>167.690937804751</v>
      </c>
      <c r="M136">
        <v>170.38327005237699</v>
      </c>
      <c r="N136">
        <v>173.11882856509899</v>
      </c>
      <c r="O136">
        <v>175.89830735458301</v>
      </c>
      <c r="P136">
        <v>178.72241157508</v>
      </c>
      <c r="Q136">
        <v>181.59185770232</v>
      </c>
      <c r="R136">
        <v>184.507373715282</v>
      </c>
      <c r="S136">
        <v>187.469699280882</v>
      </c>
      <c r="T136">
        <v>190.47958594162901</v>
      </c>
      <c r="U136">
        <v>193.53779730628901</v>
      </c>
      <c r="V136">
        <v>196.64510924361599</v>
      </c>
      <c r="W136">
        <v>199.80231007918499</v>
      </c>
      <c r="X136">
        <v>203.01020079539501</v>
      </c>
      <c r="Y136">
        <v>206.26959523467499</v>
      </c>
      <c r="Z136">
        <v>209.581320305959</v>
      </c>
      <c r="AA136">
        <v>212.94621619447</v>
      </c>
      <c r="AB136">
        <v>216.365136574877</v>
      </c>
      <c r="AC136">
        <v>219.838948827873</v>
      </c>
      <c r="AD136">
        <v>223.36853426022799</v>
      </c>
      <c r="AE136">
        <v>226.954788328375</v>
      </c>
      <c r="AF136">
        <v>230.59862086559301</v>
      </c>
      <c r="AG136">
        <v>234.30095631282799</v>
      </c>
      <c r="AH136">
        <v>238.06273395322199</v>
      </c>
      <c r="AI136">
        <v>241.88490815041399</v>
      </c>
      <c r="AJ136">
        <v>245.76844859065901</v>
      </c>
      <c r="AK136">
        <v>249.71434052884001</v>
      </c>
      <c r="AL136">
        <v>253.72358503842199</v>
      </c>
      <c r="AM136">
        <v>257.79719926543299</v>
      </c>
      <c r="AN136">
        <v>261.93621668650599</v>
      </c>
      <c r="AO136">
        <v>266.14168737107798</v>
      </c>
      <c r="AP136">
        <v>270.41467824778903</v>
      </c>
      <c r="AQ136">
        <v>274.756273375163</v>
      </c>
      <c r="AR136">
        <v>279.16757421663601</v>
      </c>
      <c r="AS136">
        <v>283.64969991999499</v>
      </c>
      <c r="AT136">
        <v>288.20378760130501</v>
      </c>
      <c r="AU136" s="64">
        <f>B136-'calibration bloc bus'!D26</f>
        <v>1.3599999988400668E-5</v>
      </c>
    </row>
    <row r="137" spans="1:47">
      <c r="A137" s="25" t="s">
        <v>339</v>
      </c>
      <c r="B137">
        <v>63</v>
      </c>
      <c r="C137">
        <v>64.011485377927301</v>
      </c>
      <c r="D137">
        <v>65.039210480771601</v>
      </c>
      <c r="E137">
        <v>66.083436042569105</v>
      </c>
      <c r="F137">
        <v>67.144426983525605</v>
      </c>
      <c r="G137">
        <v>68.222452477226398</v>
      </c>
      <c r="H137">
        <v>69.317786018925702</v>
      </c>
      <c r="I137">
        <v>70.430705494932795</v>
      </c>
      <c r="J137">
        <v>71.561493253111095</v>
      </c>
      <c r="K137">
        <v>72.710436174510605</v>
      </c>
      <c r="L137">
        <v>73.877825746149398</v>
      </c>
      <c r="M137">
        <v>75.063958134963599</v>
      </c>
      <c r="N137">
        <v>76.269134262945698</v>
      </c>
      <c r="O137">
        <v>77.493659883487794</v>
      </c>
      <c r="P137">
        <v>78.737845658951699</v>
      </c>
      <c r="Q137">
        <v>80.002007239484001</v>
      </c>
      <c r="R137">
        <v>81.286465343096296</v>
      </c>
      <c r="S137">
        <v>82.591545837031902</v>
      </c>
      <c r="T137">
        <v>83.917579820437894</v>
      </c>
      <c r="U137">
        <v>85.264903708365395</v>
      </c>
      <c r="V137">
        <v>86.633859317117697</v>
      </c>
      <c r="W137">
        <v>88.024793950969794</v>
      </c>
      <c r="X137">
        <v>89.438060490279</v>
      </c>
      <c r="Y137">
        <v>90.874017481010796</v>
      </c>
      <c r="Z137">
        <v>92.333029225702205</v>
      </c>
      <c r="AA137">
        <v>93.815465875885394</v>
      </c>
      <c r="AB137">
        <v>95.321703525995005</v>
      </c>
      <c r="AC137">
        <v>96.852124308783502</v>
      </c>
      <c r="AD137">
        <v>98.407116492268202</v>
      </c>
      <c r="AE137">
        <v>99.987074578235294</v>
      </c>
      <c r="AF137">
        <v>101.59239940232401</v>
      </c>
      <c r="AG137">
        <v>103.223498235721</v>
      </c>
      <c r="AH137">
        <v>104.880784888482</v>
      </c>
      <c r="AI137">
        <v>106.564679814518</v>
      </c>
      <c r="AJ137">
        <v>108.275610218262</v>
      </c>
      <c r="AK137">
        <v>110.014010163055</v>
      </c>
      <c r="AL137">
        <v>111.78032068126301</v>
      </c>
      <c r="AM137">
        <v>113.57498988617</v>
      </c>
      <c r="AN137">
        <v>115.398473085663</v>
      </c>
      <c r="AO137">
        <v>117.251232897747</v>
      </c>
      <c r="AP137">
        <v>119.133739367907</v>
      </c>
      <c r="AQ137">
        <v>121.04647008835801</v>
      </c>
      <c r="AR137">
        <v>122.989910319217</v>
      </c>
      <c r="AS137">
        <v>124.96455311160599</v>
      </c>
      <c r="AT137">
        <v>126.970899432743</v>
      </c>
      <c r="AU137" s="64">
        <f>B137-'calibration bloc bus'!D27</f>
        <v>3.9600000008022107E-6</v>
      </c>
    </row>
    <row r="138" spans="1:47">
      <c r="A138" s="25" t="s">
        <v>288</v>
      </c>
      <c r="B138">
        <v>18011.049577449299</v>
      </c>
      <c r="C138">
        <v>18300.222804254299</v>
      </c>
      <c r="D138">
        <v>18594.038800751401</v>
      </c>
      <c r="E138">
        <v>18892.5721081097</v>
      </c>
      <c r="F138">
        <v>19195.898464280999</v>
      </c>
      <c r="G138">
        <v>19504.094823214298</v>
      </c>
      <c r="H138">
        <v>19817.239374379202</v>
      </c>
      <c r="I138">
        <v>20135.4115626026</v>
      </c>
      <c r="J138">
        <v>20458.6921082236</v>
      </c>
      <c r="K138">
        <v>20787.163027572598</v>
      </c>
      <c r="L138">
        <v>21120.9076537787</v>
      </c>
      <c r="M138">
        <v>21460.0106579112</v>
      </c>
      <c r="N138">
        <v>21804.558070461098</v>
      </c>
      <c r="O138">
        <v>22154.637303166499</v>
      </c>
      <c r="P138">
        <v>22510.337171189301</v>
      </c>
      <c r="Q138">
        <v>22871.747915647698</v>
      </c>
      <c r="R138">
        <v>23238.961226509899</v>
      </c>
      <c r="S138">
        <v>23612.070265856499</v>
      </c>
      <c r="T138">
        <v>23991.169691515301</v>
      </c>
      <c r="U138">
        <v>24376.3556810763</v>
      </c>
      <c r="V138">
        <v>24767.725956291601</v>
      </c>
      <c r="W138">
        <v>25165.379807867899</v>
      </c>
      <c r="X138">
        <v>25569.418120655901</v>
      </c>
      <c r="Y138">
        <v>25979.943399245702</v>
      </c>
      <c r="Z138">
        <v>26397.059793971399</v>
      </c>
      <c r="AA138">
        <v>26820.8731273345</v>
      </c>
      <c r="AB138">
        <v>27251.490920851102</v>
      </c>
      <c r="AC138">
        <v>27689.022422329901</v>
      </c>
      <c r="AD138">
        <v>28133.5786335884</v>
      </c>
      <c r="AE138">
        <v>28585.272338614501</v>
      </c>
      <c r="AF138">
        <v>29044.2181321793</v>
      </c>
      <c r="AG138">
        <v>29510.532448909998</v>
      </c>
      <c r="AH138">
        <v>29984.3335928294</v>
      </c>
      <c r="AI138">
        <v>30465.7417673698</v>
      </c>
      <c r="AJ138">
        <v>30954.879105868298</v>
      </c>
      <c r="AK138">
        <v>31451.869702552402</v>
      </c>
      <c r="AL138">
        <v>31956.839644022399</v>
      </c>
      <c r="AM138">
        <v>32469.917041239802</v>
      </c>
      <c r="AN138">
        <v>32991.232062029201</v>
      </c>
      <c r="AO138">
        <v>33520.916964101401</v>
      </c>
      <c r="AP138">
        <v>34059.106128607898</v>
      </c>
      <c r="AQ138">
        <v>34605.936094232697</v>
      </c>
      <c r="AR138">
        <v>35161.545591832801</v>
      </c>
      <c r="AS138">
        <v>35726.0755796339</v>
      </c>
      <c r="AT138">
        <v>36299.669278991503</v>
      </c>
      <c r="AU138" s="64">
        <f>B138-'calibration bloc bus'!D28</f>
        <v>-7677.3210225506991</v>
      </c>
    </row>
    <row r="139" spans="1:47">
      <c r="A139" s="25" t="s">
        <v>313</v>
      </c>
      <c r="B139">
        <v>17204</v>
      </c>
      <c r="C139">
        <v>17480.215784791399</v>
      </c>
      <c r="D139">
        <v>17760.866303352301</v>
      </c>
      <c r="E139">
        <v>18046.022756767601</v>
      </c>
      <c r="F139">
        <v>18335.757489278902</v>
      </c>
      <c r="G139">
        <v>18630.1440066381</v>
      </c>
      <c r="H139">
        <v>18929.256994755498</v>
      </c>
      <c r="I139">
        <v>19233.172338648001</v>
      </c>
      <c r="J139">
        <v>19541.967141690799</v>
      </c>
      <c r="K139">
        <v>19855.719745179002</v>
      </c>
      <c r="L139">
        <v>20174.509748202399</v>
      </c>
      <c r="M139">
        <v>20498.4180278399</v>
      </c>
      <c r="N139">
        <v>20827.526759678</v>
      </c>
      <c r="O139">
        <v>21161.919438659101</v>
      </c>
      <c r="P139">
        <v>21501.680900263498</v>
      </c>
      <c r="Q139">
        <v>21846.897342033</v>
      </c>
      <c r="R139">
        <v>22197.6563454385</v>
      </c>
      <c r="S139">
        <v>22554.046898099899</v>
      </c>
      <c r="T139">
        <v>22916.159416362101</v>
      </c>
      <c r="U139">
        <v>23284.085768233599</v>
      </c>
      <c r="V139">
        <v>23657.919296693501</v>
      </c>
      <c r="W139">
        <v>24037.754843372699</v>
      </c>
      <c r="X139">
        <v>24423.688772615202</v>
      </c>
      <c r="Y139">
        <v>24815.8189959255</v>
      </c>
      <c r="Z139">
        <v>25214.244996809201</v>
      </c>
      <c r="AA139">
        <v>25619.067856011599</v>
      </c>
      <c r="AB139">
        <v>26030.390277162202</v>
      </c>
      <c r="AC139">
        <v>26448.316612830298</v>
      </c>
      <c r="AD139">
        <v>26872.952890999699</v>
      </c>
      <c r="AE139">
        <v>27304.4068419676</v>
      </c>
      <c r="AF139">
        <v>27742.787925675999</v>
      </c>
      <c r="AG139">
        <v>28188.207359481799</v>
      </c>
      <c r="AH139">
        <v>28640.7781463723</v>
      </c>
      <c r="AI139">
        <v>29100.6151036345</v>
      </c>
      <c r="AJ139">
        <v>29567.834891983999</v>
      </c>
      <c r="AK139">
        <v>30042.556045162</v>
      </c>
      <c r="AL139">
        <v>30524.899000007099</v>
      </c>
      <c r="AM139">
        <v>31014.986127010601</v>
      </c>
      <c r="AN139">
        <v>31512.941761361199</v>
      </c>
      <c r="AO139">
        <v>32018.8922344897</v>
      </c>
      <c r="AP139">
        <v>32532.965906118599</v>
      </c>
      <c r="AQ139">
        <v>33055.293196827297</v>
      </c>
      <c r="AR139">
        <v>33586.006621139903</v>
      </c>
      <c r="AS139">
        <v>34125.240821143998</v>
      </c>
      <c r="AT139">
        <v>34673.132600649304</v>
      </c>
      <c r="AU139" s="64">
        <f>B139-'calibration bloc bus'!D29</f>
        <v>1.6499999983352609E-3</v>
      </c>
    </row>
    <row r="140" spans="1:47">
      <c r="A140" s="25" t="s">
        <v>340</v>
      </c>
      <c r="B140">
        <v>0.97993971982368999</v>
      </c>
      <c r="C140">
        <v>0.97993971982369099</v>
      </c>
      <c r="D140">
        <v>0.97993971982369099</v>
      </c>
      <c r="E140">
        <v>0.97993971982369099</v>
      </c>
      <c r="F140">
        <v>0.97993971982369099</v>
      </c>
      <c r="G140">
        <v>0.97993971982369099</v>
      </c>
      <c r="H140">
        <v>0.97993971982369099</v>
      </c>
      <c r="I140">
        <v>0.97993971982369099</v>
      </c>
      <c r="J140">
        <v>0.97993971982369099</v>
      </c>
      <c r="K140">
        <v>0.97993971982369099</v>
      </c>
      <c r="L140">
        <v>0.97993971982369099</v>
      </c>
      <c r="M140">
        <v>0.97993971982369099</v>
      </c>
      <c r="N140">
        <v>0.97993971982369099</v>
      </c>
      <c r="O140">
        <v>0.97993971982369099</v>
      </c>
      <c r="P140">
        <v>0.97993971982369099</v>
      </c>
      <c r="Q140">
        <v>0.97993971982369099</v>
      </c>
      <c r="R140">
        <v>0.97993971982369099</v>
      </c>
      <c r="S140">
        <v>0.97993971982369099</v>
      </c>
      <c r="T140">
        <v>0.94307773755340396</v>
      </c>
      <c r="U140">
        <v>0.90621575528311704</v>
      </c>
      <c r="V140">
        <v>0.86935377301283001</v>
      </c>
      <c r="W140">
        <v>0.83249179074254298</v>
      </c>
      <c r="X140">
        <v>0.79562980847225695</v>
      </c>
      <c r="Y140">
        <v>0.75876782620197003</v>
      </c>
      <c r="Z140">
        <v>0.721905843931683</v>
      </c>
      <c r="AA140">
        <v>0.68905905173509896</v>
      </c>
      <c r="AB140">
        <v>0.65621225953851503</v>
      </c>
      <c r="AC140">
        <v>0.62336546734192999</v>
      </c>
      <c r="AD140">
        <v>0.59051867514534595</v>
      </c>
      <c r="AE140">
        <v>0.55767188294876202</v>
      </c>
      <c r="AF140">
        <v>0.52482509075217798</v>
      </c>
      <c r="AG140">
        <v>0.491978298555594</v>
      </c>
      <c r="AH140">
        <v>0.45913150635901001</v>
      </c>
      <c r="AI140">
        <v>0.42628471416242603</v>
      </c>
      <c r="AJ140">
        <v>0.39343792196584099</v>
      </c>
      <c r="AK140">
        <v>0.360591129769257</v>
      </c>
      <c r="AL140">
        <v>0.32774433757267302</v>
      </c>
      <c r="AM140">
        <v>0.29489754537608898</v>
      </c>
      <c r="AN140">
        <v>0.26205075317950499</v>
      </c>
      <c r="AO140">
        <v>0.22920396098292101</v>
      </c>
      <c r="AP140">
        <v>0.19635716878633599</v>
      </c>
      <c r="AQ140">
        <v>0.16351037658975201</v>
      </c>
      <c r="AR140">
        <v>0.130663584393168</v>
      </c>
      <c r="AS140">
        <v>9.7816792196584401E-2</v>
      </c>
      <c r="AT140">
        <v>6.497E-2</v>
      </c>
      <c r="AU140" s="64">
        <f>B140-'calibration bloc bus'!D30</f>
        <v>-3.6827089261810553E-3</v>
      </c>
    </row>
    <row r="141" spans="1:47">
      <c r="A141" s="25" t="s">
        <v>341</v>
      </c>
      <c r="B141">
        <v>8.5284662488224906E-3</v>
      </c>
      <c r="C141">
        <v>8.5284662488224906E-3</v>
      </c>
      <c r="D141">
        <v>8.5284662488224906E-3</v>
      </c>
      <c r="E141">
        <v>8.5284662488224906E-3</v>
      </c>
      <c r="F141">
        <v>8.5284662488224906E-3</v>
      </c>
      <c r="G141">
        <v>8.5284662488224906E-3</v>
      </c>
      <c r="H141">
        <v>8.5284662488224906E-3</v>
      </c>
      <c r="I141">
        <v>8.5284662488224906E-3</v>
      </c>
      <c r="J141">
        <v>8.5284662488224906E-3</v>
      </c>
      <c r="K141">
        <v>8.5284662488224906E-3</v>
      </c>
      <c r="L141">
        <v>8.5284662488224906E-3</v>
      </c>
      <c r="M141">
        <v>8.5284662488224906E-3</v>
      </c>
      <c r="N141">
        <v>8.5284662488224906E-3</v>
      </c>
      <c r="O141">
        <v>8.5284662488224906E-3</v>
      </c>
      <c r="P141">
        <v>8.5284662488224906E-3</v>
      </c>
      <c r="Q141">
        <v>8.5284662488224906E-3</v>
      </c>
      <c r="R141">
        <v>8.5284662488224906E-3</v>
      </c>
      <c r="S141">
        <v>8.5284662488224906E-3</v>
      </c>
      <c r="T141">
        <v>2.8919351927795801E-2</v>
      </c>
      <c r="U141">
        <v>4.9310237606769003E-2</v>
      </c>
      <c r="V141">
        <v>6.9701123285742295E-2</v>
      </c>
      <c r="W141">
        <v>9.00920089647156E-2</v>
      </c>
      <c r="X141">
        <v>0.110482894643689</v>
      </c>
      <c r="Y141">
        <v>0.130873780322662</v>
      </c>
      <c r="Z141">
        <v>0.15126466600163499</v>
      </c>
      <c r="AA141">
        <v>0.181072932701553</v>
      </c>
      <c r="AB141">
        <v>0.21088119940147201</v>
      </c>
      <c r="AC141">
        <v>0.24068946610139</v>
      </c>
      <c r="AD141">
        <v>0.27049773280130801</v>
      </c>
      <c r="AE141">
        <v>0.300305999501226</v>
      </c>
      <c r="AF141">
        <v>0.33011426620114498</v>
      </c>
      <c r="AG141">
        <v>0.35992253290106302</v>
      </c>
      <c r="AH141">
        <v>0.389730799600981</v>
      </c>
      <c r="AI141">
        <v>0.41953906630089899</v>
      </c>
      <c r="AJ141">
        <v>0.44934733300081697</v>
      </c>
      <c r="AK141">
        <v>0.47915559970073601</v>
      </c>
      <c r="AL141">
        <v>0.50896386640065405</v>
      </c>
      <c r="AM141">
        <v>0.53877213310057204</v>
      </c>
      <c r="AN141">
        <v>0.56858039980049002</v>
      </c>
      <c r="AO141">
        <v>0.59838866650040801</v>
      </c>
      <c r="AP141">
        <v>0.62819693320032699</v>
      </c>
      <c r="AQ141">
        <v>0.65800519990024497</v>
      </c>
      <c r="AR141">
        <v>0.68781346660016296</v>
      </c>
      <c r="AS141">
        <v>0.71762173330008105</v>
      </c>
      <c r="AT141">
        <v>0.74743000000000004</v>
      </c>
      <c r="AU141" s="64">
        <f>B141-'calibration bloc bus'!D31</f>
        <v>4.1508949986935701E-3</v>
      </c>
    </row>
    <row r="142" spans="1:47">
      <c r="A142" s="25" t="s">
        <v>342</v>
      </c>
      <c r="B142">
        <v>1.15318139274864E-2</v>
      </c>
      <c r="C142">
        <v>1.15318139274864E-2</v>
      </c>
      <c r="D142">
        <v>1.15318139274864E-2</v>
      </c>
      <c r="E142">
        <v>1.15318139274864E-2</v>
      </c>
      <c r="F142">
        <v>1.15318139274864E-2</v>
      </c>
      <c r="G142">
        <v>1.15318139274864E-2</v>
      </c>
      <c r="H142">
        <v>1.15318139274864E-2</v>
      </c>
      <c r="I142">
        <v>1.15318139274864E-2</v>
      </c>
      <c r="J142">
        <v>1.15318139274864E-2</v>
      </c>
      <c r="K142">
        <v>1.15318139274864E-2</v>
      </c>
      <c r="L142">
        <v>1.15318139274864E-2</v>
      </c>
      <c r="M142">
        <v>1.15318139274864E-2</v>
      </c>
      <c r="N142">
        <v>1.15318139274864E-2</v>
      </c>
      <c r="O142">
        <v>1.15318139274864E-2</v>
      </c>
      <c r="P142">
        <v>1.15318139274864E-2</v>
      </c>
      <c r="Q142">
        <v>1.15318139274864E-2</v>
      </c>
      <c r="R142">
        <v>1.15318139274864E-2</v>
      </c>
      <c r="S142">
        <v>1.15318139274864E-2</v>
      </c>
      <c r="T142">
        <v>2.8002910518799901E-2</v>
      </c>
      <c r="U142">
        <v>4.44740071101134E-2</v>
      </c>
      <c r="V142">
        <v>6.0945103701426903E-2</v>
      </c>
      <c r="W142">
        <v>7.7416200292740503E-2</v>
      </c>
      <c r="X142">
        <v>9.3887296884054006E-2</v>
      </c>
      <c r="Y142">
        <v>0.11035839347536699</v>
      </c>
      <c r="Z142">
        <v>0.12682949006668101</v>
      </c>
      <c r="AA142">
        <v>0.12986801556334701</v>
      </c>
      <c r="AB142">
        <v>0.13290654106001301</v>
      </c>
      <c r="AC142">
        <v>0.13594506655667801</v>
      </c>
      <c r="AD142">
        <v>0.13898359205334401</v>
      </c>
      <c r="AE142">
        <v>0.14202211755001001</v>
      </c>
      <c r="AF142">
        <v>0.14506064304667601</v>
      </c>
      <c r="AG142">
        <v>0.14809916854334201</v>
      </c>
      <c r="AH142">
        <v>0.15113769404000801</v>
      </c>
      <c r="AI142">
        <v>0.15417621953667399</v>
      </c>
      <c r="AJ142">
        <v>0.15721474503333999</v>
      </c>
      <c r="AK142">
        <v>0.16025327053000599</v>
      </c>
      <c r="AL142">
        <v>0.16329179602667199</v>
      </c>
      <c r="AM142">
        <v>0.16633032152333799</v>
      </c>
      <c r="AN142">
        <v>0.16936884702000399</v>
      </c>
      <c r="AO142">
        <v>0.17240737251666999</v>
      </c>
      <c r="AP142">
        <v>0.17544589801333599</v>
      </c>
      <c r="AQ142">
        <v>0.17848442351000199</v>
      </c>
      <c r="AR142">
        <v>0.18152294900666799</v>
      </c>
      <c r="AS142">
        <v>0.18456147450333399</v>
      </c>
      <c r="AT142">
        <v>0.18759999999999999</v>
      </c>
      <c r="AU142" s="64">
        <f>B142-'calibration bloc bus'!D32</f>
        <v>-4.6818607251359994E-4</v>
      </c>
    </row>
    <row r="143" spans="1:47">
      <c r="A143" s="25" t="s">
        <v>343</v>
      </c>
      <c r="B143">
        <v>1.1571606996052799</v>
      </c>
      <c r="C143">
        <v>1.17573928893168</v>
      </c>
      <c r="D143">
        <v>1.1946161635191199</v>
      </c>
      <c r="E143">
        <v>1.21379611243397</v>
      </c>
      <c r="F143">
        <v>1.2332840016325699</v>
      </c>
      <c r="G143">
        <v>1.2530847751958001</v>
      </c>
      <c r="H143">
        <v>1.2732034565833199</v>
      </c>
      <c r="I143">
        <v>1.2936451499080901</v>
      </c>
      <c r="J143">
        <v>1.3144150412312501</v>
      </c>
      <c r="K143">
        <v>1.33551839987781</v>
      </c>
      <c r="L143">
        <v>1.35696057977351</v>
      </c>
      <c r="M143">
        <v>1.3787470208031101</v>
      </c>
      <c r="N143">
        <v>1.40088325019047</v>
      </c>
      <c r="O143">
        <v>1.4233748839008</v>
      </c>
      <c r="P143">
        <v>1.44622762806548</v>
      </c>
      <c r="Q143">
        <v>1.4694472804296499</v>
      </c>
      <c r="R143">
        <v>1.4930397318231401</v>
      </c>
      <c r="S143">
        <v>1.5170109676549499</v>
      </c>
      <c r="T143">
        <v>1.5413670694317501</v>
      </c>
      <c r="U143">
        <v>1.56611421630078</v>
      </c>
      <c r="V143">
        <v>1.59125868661749</v>
      </c>
      <c r="W143">
        <v>1.61680685953834</v>
      </c>
      <c r="X143">
        <v>1.6427652166392199</v>
      </c>
      <c r="Y143">
        <v>1.66914034355983</v>
      </c>
      <c r="Z143">
        <v>1.69593893167442</v>
      </c>
      <c r="AA143">
        <v>1.72316777978945</v>
      </c>
      <c r="AB143">
        <v>1.7508337958683799</v>
      </c>
      <c r="AC143">
        <v>1.7789439987842799</v>
      </c>
      <c r="AD143">
        <v>1.8075055201004999</v>
      </c>
      <c r="AE143">
        <v>1.83652560587994</v>
      </c>
      <c r="AF143">
        <v>1.8660116185233799</v>
      </c>
      <c r="AG143">
        <v>1.8959710386373401</v>
      </c>
      <c r="AH143">
        <v>1.9264114669318699</v>
      </c>
      <c r="AI143">
        <v>1.9573406261488999</v>
      </c>
      <c r="AJ143">
        <v>1.98876636302149</v>
      </c>
      <c r="AK143">
        <v>2.0206966502645098</v>
      </c>
      <c r="AL143">
        <v>2.0531395885973498</v>
      </c>
      <c r="AM143">
        <v>2.0861034087990999</v>
      </c>
      <c r="AN143">
        <v>2.1195964737966402</v>
      </c>
      <c r="AO143">
        <v>2.1536272807863499</v>
      </c>
      <c r="AP143">
        <v>2.1882044633898601</v>
      </c>
      <c r="AQ143">
        <v>2.22333679384437</v>
      </c>
      <c r="AR143">
        <v>2.2590331852282</v>
      </c>
      <c r="AS143">
        <v>2.29530269372203</v>
      </c>
      <c r="AT143">
        <v>2.3321545209064301</v>
      </c>
      <c r="AU143" s="64">
        <f>B143-'calibration bloc bus'!D33</f>
        <v>0.42651681096704586</v>
      </c>
    </row>
    <row r="144" spans="1:47">
      <c r="A144" s="25" t="s">
        <v>344</v>
      </c>
      <c r="B144">
        <v>0.28575115971603099</v>
      </c>
      <c r="C144">
        <v>0.29033898701410299</v>
      </c>
      <c r="D144">
        <v>0.295000473363421</v>
      </c>
      <c r="E144">
        <v>0.29973680138387698</v>
      </c>
      <c r="F144">
        <v>0.30454917268271098</v>
      </c>
      <c r="G144">
        <v>0.30943880815935298</v>
      </c>
      <c r="H144">
        <v>0.31440694831517002</v>
      </c>
      <c r="I144">
        <v>0.31945485356817899</v>
      </c>
      <c r="J144">
        <v>0.32458380457281599</v>
      </c>
      <c r="K144">
        <v>0.32979510254483901</v>
      </c>
      <c r="L144">
        <v>0.33509006959144499</v>
      </c>
      <c r="M144">
        <v>0.34047004904668998</v>
      </c>
      <c r="N144">
        <v>0.34593640581229201</v>
      </c>
      <c r="O144">
        <v>0.35149052670390901</v>
      </c>
      <c r="P144">
        <v>0.35713382080297301</v>
      </c>
      <c r="Q144">
        <v>0.36286771981417199</v>
      </c>
      <c r="R144">
        <v>0.36869367842867801</v>
      </c>
      <c r="S144">
        <v>0.37461317469319999</v>
      </c>
      <c r="T144">
        <v>0.38062771038496401</v>
      </c>
      <c r="U144">
        <v>0.38673881139271599</v>
      </c>
      <c r="V144">
        <v>0.392948028103839</v>
      </c>
      <c r="W144">
        <v>0.39925693579768701</v>
      </c>
      <c r="X144">
        <v>0.405667135045234</v>
      </c>
      <c r="Y144">
        <v>0.41218025211513798</v>
      </c>
      <c r="Z144">
        <v>0.41879793938632698</v>
      </c>
      <c r="AA144">
        <v>0.42552187576720601</v>
      </c>
      <c r="AB144">
        <v>0.43235376712159901</v>
      </c>
      <c r="AC144">
        <v>0.43929534670152498</v>
      </c>
      <c r="AD144">
        <v>0.44634837558692397</v>
      </c>
      <c r="AE144">
        <v>0.45351464313244499</v>
      </c>
      <c r="AF144">
        <v>0.460795967421404</v>
      </c>
      <c r="AG144">
        <v>0.46819419572703402</v>
      </c>
      <c r="AH144">
        <v>0.47571120498113501</v>
      </c>
      <c r="AI144">
        <v>0.48334890225025601</v>
      </c>
      <c r="AJ144">
        <v>0.491109225219516</v>
      </c>
      <c r="AK144">
        <v>0.49899414268419501</v>
      </c>
      <c r="AL144">
        <v>0.50700565504921902</v>
      </c>
      <c r="AM144">
        <v>0.51514579483666001</v>
      </c>
      <c r="AN144">
        <v>0.52341662720139104</v>
      </c>
      <c r="AO144">
        <v>0.53182025045501402</v>
      </c>
      <c r="AP144">
        <v>0.54035879659820396</v>
      </c>
      <c r="AQ144">
        <v>0.54903443186159295</v>
      </c>
      <c r="AR144">
        <v>0.55784935725535001</v>
      </c>
      <c r="AS144">
        <v>0.56680580912757195</v>
      </c>
      <c r="AT144">
        <v>0.57590605973164899</v>
      </c>
      <c r="AU144" s="64">
        <f>B144-'calibration bloc bus'!D34</f>
        <v>2.9718930493643492E-3</v>
      </c>
    </row>
    <row r="145" spans="1:47">
      <c r="A145" s="25" t="s">
        <v>345</v>
      </c>
      <c r="B145">
        <v>2.5772335197583499E-2</v>
      </c>
      <c r="C145">
        <v>2.6186118375478701E-2</v>
      </c>
      <c r="D145">
        <v>2.6606544976137E-2</v>
      </c>
      <c r="E145">
        <v>2.7033721661859699E-2</v>
      </c>
      <c r="F145">
        <v>2.7467756807445901E-2</v>
      </c>
      <c r="G145">
        <v>2.79087605276871E-2</v>
      </c>
      <c r="H145">
        <v>2.8356844705303499E-2</v>
      </c>
      <c r="I145">
        <v>2.8812123019328499E-2</v>
      </c>
      <c r="J145">
        <v>2.9274710973949101E-2</v>
      </c>
      <c r="K145">
        <v>2.9744725927809398E-2</v>
      </c>
      <c r="L145">
        <v>3.0222287123784601E-2</v>
      </c>
      <c r="M145">
        <v>3.0707515719232699E-2</v>
      </c>
      <c r="N145">
        <v>3.1200534816732399E-2</v>
      </c>
      <c r="O145">
        <v>3.1701469495313897E-2</v>
      </c>
      <c r="P145">
        <v>3.2210446842192E-2</v>
      </c>
      <c r="Q145">
        <v>3.2727595985007699E-2</v>
      </c>
      <c r="R145">
        <v>3.3253048124587799E-2</v>
      </c>
      <c r="S145">
        <v>3.3786936568231299E-2</v>
      </c>
      <c r="T145">
        <v>3.4329396763528502E-2</v>
      </c>
      <c r="U145">
        <v>3.4880566332725002E-2</v>
      </c>
      <c r="V145">
        <v>3.5440585107635703E-2</v>
      </c>
      <c r="W145">
        <v>3.6009595165120901E-2</v>
      </c>
      <c r="X145">
        <v>3.6587740863130498E-2</v>
      </c>
      <c r="Y145">
        <v>3.7175168877328198E-2</v>
      </c>
      <c r="Z145">
        <v>3.77720282383028E-2</v>
      </c>
      <c r="AA145">
        <v>3.8378470369377402E-2</v>
      </c>
      <c r="AB145">
        <v>3.8994649125025697E-2</v>
      </c>
      <c r="AC145">
        <v>3.9620720829904699E-2</v>
      </c>
      <c r="AD145">
        <v>4.0256844318514097E-2</v>
      </c>
      <c r="AE145">
        <v>4.09031809754931E-2</v>
      </c>
      <c r="AF145">
        <v>4.1559894776563397E-2</v>
      </c>
      <c r="AG145">
        <v>4.22271523301299E-2</v>
      </c>
      <c r="AH145">
        <v>4.29051229195496E-2</v>
      </c>
      <c r="AI145">
        <v>4.3593978546078202E-2</v>
      </c>
      <c r="AJ145">
        <v>4.4293893972507402E-2</v>
      </c>
      <c r="AK145">
        <v>4.5005046767501999E-2</v>
      </c>
      <c r="AL145">
        <v>4.5727617350649098E-2</v>
      </c>
      <c r="AM145">
        <v>4.6461789038230603E-2</v>
      </c>
      <c r="AN145">
        <v>4.7207748089730897E-2</v>
      </c>
      <c r="AO145">
        <v>4.7965683755090298E-2</v>
      </c>
      <c r="AP145">
        <v>4.8735788322718299E-2</v>
      </c>
      <c r="AQ145">
        <v>4.9518257168277E-2</v>
      </c>
      <c r="AR145">
        <v>5.0313288804247798E-2</v>
      </c>
      <c r="AS145">
        <v>5.1121084930294297E-2</v>
      </c>
      <c r="AT145">
        <v>5.1941850484433699E-2</v>
      </c>
      <c r="AU145" s="64">
        <f>B145-'calibration bloc bus'!D35</f>
        <v>-3.8163916471489756E-17</v>
      </c>
    </row>
    <row r="146" spans="1:47">
      <c r="A146" s="25" t="s">
        <v>424</v>
      </c>
      <c r="B146">
        <v>8.0731311787142199E-2</v>
      </c>
      <c r="C146">
        <v>8.0731311787142199E-2</v>
      </c>
      <c r="D146">
        <v>8.0731311787142199E-2</v>
      </c>
      <c r="E146">
        <v>8.0731311787142199E-2</v>
      </c>
      <c r="F146">
        <v>8.0731311787142199E-2</v>
      </c>
      <c r="G146">
        <v>8.0731311787142199E-2</v>
      </c>
      <c r="H146">
        <v>8.0731311787142199E-2</v>
      </c>
      <c r="I146">
        <v>8.0731311787142199E-2</v>
      </c>
      <c r="J146">
        <v>8.0731311787142199E-2</v>
      </c>
      <c r="K146">
        <v>8.0731311787142199E-2</v>
      </c>
      <c r="L146">
        <v>8.0731311787142199E-2</v>
      </c>
      <c r="M146">
        <v>8.0731311787142199E-2</v>
      </c>
      <c r="N146">
        <v>8.0731311787142199E-2</v>
      </c>
      <c r="O146">
        <v>8.0731311787142199E-2</v>
      </c>
      <c r="P146">
        <v>8.0731311787142199E-2</v>
      </c>
      <c r="Q146">
        <v>8.0731311787142199E-2</v>
      </c>
      <c r="R146">
        <v>8.0731311787142199E-2</v>
      </c>
      <c r="S146">
        <v>8.0731311787142199E-2</v>
      </c>
      <c r="T146">
        <v>8.0731311787142199E-2</v>
      </c>
      <c r="U146">
        <v>8.0731311787142199E-2</v>
      </c>
      <c r="V146">
        <v>8.0731311787142199E-2</v>
      </c>
      <c r="W146">
        <v>8.0731311787142199E-2</v>
      </c>
      <c r="X146">
        <v>8.0731311787142199E-2</v>
      </c>
      <c r="Y146">
        <v>8.0731311787142199E-2</v>
      </c>
      <c r="Z146">
        <v>8.0731311787142199E-2</v>
      </c>
      <c r="AA146">
        <v>8.0731311787142199E-2</v>
      </c>
      <c r="AB146">
        <v>8.0731311787142199E-2</v>
      </c>
      <c r="AC146">
        <v>8.0731311787142199E-2</v>
      </c>
      <c r="AD146">
        <v>8.0731311787142199E-2</v>
      </c>
      <c r="AE146">
        <v>8.0731311787142199E-2</v>
      </c>
      <c r="AF146">
        <v>8.0731311787142199E-2</v>
      </c>
      <c r="AG146">
        <v>8.0731311787142199E-2</v>
      </c>
      <c r="AH146">
        <v>8.0731311787142199E-2</v>
      </c>
      <c r="AI146">
        <v>8.0731311787142199E-2</v>
      </c>
      <c r="AJ146">
        <v>8.0731311787142199E-2</v>
      </c>
      <c r="AK146">
        <v>8.0731311787142199E-2</v>
      </c>
      <c r="AL146">
        <v>8.0731311787142199E-2</v>
      </c>
      <c r="AM146">
        <v>8.0731311787142199E-2</v>
      </c>
      <c r="AN146">
        <v>8.0731311787142199E-2</v>
      </c>
      <c r="AO146">
        <v>8.0731311787142199E-2</v>
      </c>
      <c r="AP146">
        <v>8.0731311787142199E-2</v>
      </c>
      <c r="AQ146">
        <v>8.0731311787142199E-2</v>
      </c>
      <c r="AR146">
        <v>8.0731311787142199E-2</v>
      </c>
      <c r="AS146">
        <v>8.0731311787142199E-2</v>
      </c>
      <c r="AT146">
        <v>8.0731311787142199E-2</v>
      </c>
      <c r="AU146" s="64">
        <f>B146-'calibration bloc bus'!D36</f>
        <v>2.8918874508680248E-2</v>
      </c>
    </row>
    <row r="147" spans="1:47">
      <c r="A147" s="25" t="s">
        <v>423</v>
      </c>
      <c r="B147">
        <v>1715.6830396999501</v>
      </c>
      <c r="C147">
        <v>1743.2288858557399</v>
      </c>
      <c r="D147">
        <v>1771.2169894815099</v>
      </c>
      <c r="E147">
        <v>1799.65445116401</v>
      </c>
      <c r="F147">
        <v>1828.5484854921699</v>
      </c>
      <c r="G147">
        <v>1857.90642288751</v>
      </c>
      <c r="H147">
        <v>1887.7357114638301</v>
      </c>
      <c r="I147">
        <v>1918.0439189168001</v>
      </c>
      <c r="J147">
        <v>1948.83873444389</v>
      </c>
      <c r="K147">
        <v>1980.12797069514</v>
      </c>
      <c r="L147">
        <v>2011.91956575519</v>
      </c>
      <c r="M147">
        <v>2044.22158515721</v>
      </c>
      <c r="N147">
        <v>2077.0422239291202</v>
      </c>
      <c r="O147">
        <v>2110.3898086726399</v>
      </c>
      <c r="P147">
        <v>2144.2727996758099</v>
      </c>
      <c r="Q147">
        <v>2178.6997930592902</v>
      </c>
      <c r="R147">
        <v>2213.6795229572799</v>
      </c>
      <c r="S147">
        <v>2249.2208637332901</v>
      </c>
      <c r="T147">
        <v>2285.3328322316302</v>
      </c>
      <c r="U147">
        <v>2322.0245900649502</v>
      </c>
      <c r="V147">
        <v>2359.3054459385799</v>
      </c>
      <c r="W147">
        <v>2397.1848580121</v>
      </c>
      <c r="X147">
        <v>2435.6724362988898</v>
      </c>
      <c r="Y147">
        <v>2474.7779451042402</v>
      </c>
      <c r="Z147">
        <v>2514.5113055024999</v>
      </c>
      <c r="AA147">
        <v>2554.8825978540699</v>
      </c>
      <c r="AB147">
        <v>2595.9020643628101</v>
      </c>
      <c r="AC147">
        <v>2637.5801116744701</v>
      </c>
      <c r="AD147">
        <v>2679.9273135168601</v>
      </c>
      <c r="AE147">
        <v>2722.9544133824202</v>
      </c>
      <c r="AF147">
        <v>2766.6723272538402</v>
      </c>
      <c r="AG147">
        <v>2811.0921463734198</v>
      </c>
      <c r="AH147">
        <v>2856.2251400569698</v>
      </c>
      <c r="AI147">
        <v>2902.08275855278</v>
      </c>
      <c r="AJ147">
        <v>2948.6766359466101</v>
      </c>
      <c r="AK147">
        <v>2996.01859311322</v>
      </c>
      <c r="AL147">
        <v>3044.12064071532</v>
      </c>
      <c r="AM147">
        <v>3092.9949822507201</v>
      </c>
      <c r="AN147">
        <v>3142.6540171483298</v>
      </c>
      <c r="AO147">
        <v>3193.1103439138901</v>
      </c>
      <c r="AP147">
        <v>3244.3767633262401</v>
      </c>
      <c r="AQ147">
        <v>3296.4662816848399</v>
      </c>
      <c r="AR147">
        <v>3349.3921141095202</v>
      </c>
      <c r="AS147">
        <v>3403.1676878931198</v>
      </c>
      <c r="AT147">
        <v>3457.8066459080301</v>
      </c>
      <c r="AU147" s="64">
        <f>B147-'calibration bloc bus'!D37</f>
        <v>-5.9117155615240335E-12</v>
      </c>
    </row>
    <row r="148" spans="1:47">
      <c r="A148" t="s">
        <v>444</v>
      </c>
      <c r="B148">
        <v>273.82172621082702</v>
      </c>
      <c r="C148">
        <v>273.82172621082702</v>
      </c>
      <c r="D148">
        <v>273.82172621082702</v>
      </c>
      <c r="E148">
        <v>273.82172621082702</v>
      </c>
      <c r="F148">
        <v>273.82172621082702</v>
      </c>
      <c r="G148">
        <v>273.82172621082702</v>
      </c>
      <c r="H148">
        <v>273.82172621082702</v>
      </c>
      <c r="I148">
        <v>273.82172621082702</v>
      </c>
      <c r="J148">
        <v>273.82172621082702</v>
      </c>
      <c r="K148">
        <v>273.82172621082702</v>
      </c>
      <c r="L148">
        <v>273.82172621082702</v>
      </c>
      <c r="M148">
        <v>273.82172621082702</v>
      </c>
      <c r="N148">
        <v>273.82172621082702</v>
      </c>
      <c r="O148">
        <v>273.82172621082702</v>
      </c>
      <c r="P148">
        <v>273.82172621082702</v>
      </c>
      <c r="Q148">
        <v>273.82172621082702</v>
      </c>
      <c r="R148">
        <v>273.82172621082702</v>
      </c>
      <c r="S148">
        <v>273.82172621082702</v>
      </c>
      <c r="T148">
        <v>273.82172621082702</v>
      </c>
      <c r="U148">
        <v>273.82172621082702</v>
      </c>
      <c r="V148">
        <v>273.82172621082702</v>
      </c>
      <c r="W148">
        <v>273.82172621082702</v>
      </c>
      <c r="X148">
        <v>273.82172621082702</v>
      </c>
      <c r="Y148">
        <v>273.82172621082702</v>
      </c>
      <c r="Z148">
        <v>273.82172621082702</v>
      </c>
      <c r="AA148">
        <v>273.82172621082702</v>
      </c>
      <c r="AB148">
        <v>273.82172621082702</v>
      </c>
      <c r="AC148">
        <v>273.82172621082702</v>
      </c>
      <c r="AD148">
        <v>273.82172621082702</v>
      </c>
      <c r="AE148">
        <v>273.82172621082702</v>
      </c>
      <c r="AF148">
        <v>273.82172621082702</v>
      </c>
      <c r="AG148">
        <v>273.82172621082702</v>
      </c>
      <c r="AH148">
        <v>273.82172621082702</v>
      </c>
      <c r="AI148">
        <v>273.82172621082702</v>
      </c>
      <c r="AJ148">
        <v>273.82172621082702</v>
      </c>
      <c r="AK148">
        <v>273.82172621082702</v>
      </c>
      <c r="AL148">
        <v>273.82172621082702</v>
      </c>
      <c r="AM148">
        <v>273.82172621082702</v>
      </c>
      <c r="AN148">
        <v>273.82172621082702</v>
      </c>
      <c r="AO148">
        <v>273.82172621082702</v>
      </c>
      <c r="AP148">
        <v>273.82172621082702</v>
      </c>
      <c r="AQ148">
        <v>273.82172621082702</v>
      </c>
      <c r="AR148">
        <v>273.82172621082702</v>
      </c>
      <c r="AS148">
        <v>273.82172621082702</v>
      </c>
      <c r="AT148">
        <v>273.82172621082702</v>
      </c>
      <c r="AU148" s="64"/>
    </row>
    <row r="149" spans="1:47">
      <c r="A149" t="s">
        <v>425</v>
      </c>
      <c r="B149">
        <v>90553.864650000003</v>
      </c>
      <c r="C149">
        <v>92617.117750000005</v>
      </c>
      <c r="D149">
        <v>89899.277350000004</v>
      </c>
      <c r="E149">
        <v>84267.001459999999</v>
      </c>
      <c r="F149">
        <v>86764.101869999999</v>
      </c>
      <c r="G149">
        <v>86735.18836</v>
      </c>
      <c r="H149">
        <v>85345.698529999994</v>
      </c>
      <c r="I149">
        <v>85863.242379999996</v>
      </c>
      <c r="J149">
        <v>85943.313939999905</v>
      </c>
      <c r="K149">
        <v>80059.56035</v>
      </c>
      <c r="L149">
        <v>82863.271789999999</v>
      </c>
      <c r="M149">
        <v>85883.849820000003</v>
      </c>
      <c r="N149">
        <v>89215.69932</v>
      </c>
      <c r="O149">
        <v>92639.254910000003</v>
      </c>
      <c r="P149">
        <v>93102.144220000002</v>
      </c>
      <c r="Q149">
        <v>95236.996150000006</v>
      </c>
      <c r="R149">
        <v>96771.240030000001</v>
      </c>
      <c r="S149">
        <v>97230.453750000001</v>
      </c>
      <c r="T149">
        <v>97552.072620000006</v>
      </c>
      <c r="U149">
        <v>97898.051240000001</v>
      </c>
      <c r="V149">
        <v>98142.560089999999</v>
      </c>
      <c r="W149">
        <v>98483.799129999999</v>
      </c>
      <c r="X149">
        <v>98932.473589999994</v>
      </c>
      <c r="Y149">
        <v>99464.885460000005</v>
      </c>
      <c r="Z149">
        <v>100060.9195</v>
      </c>
      <c r="AA149">
        <v>100718.3509</v>
      </c>
      <c r="AB149">
        <v>101303.2386</v>
      </c>
      <c r="AC149">
        <v>101927.4366</v>
      </c>
      <c r="AD149">
        <v>102548.28479999999</v>
      </c>
      <c r="AE149">
        <v>103064.72040000001</v>
      </c>
      <c r="AF149">
        <v>103701.2069</v>
      </c>
      <c r="AG149">
        <v>104299.9684</v>
      </c>
      <c r="AH149">
        <v>104894.62089999999</v>
      </c>
      <c r="AI149">
        <v>105498.20540000001</v>
      </c>
      <c r="AJ149">
        <v>106117.5622</v>
      </c>
      <c r="AK149">
        <v>106864.3569</v>
      </c>
      <c r="AL149">
        <v>107592.4857</v>
      </c>
      <c r="AM149">
        <v>108331.6995</v>
      </c>
      <c r="AN149">
        <v>109098.1853</v>
      </c>
      <c r="AO149">
        <v>109881.4659</v>
      </c>
      <c r="AP149">
        <v>110189.8564</v>
      </c>
      <c r="AQ149">
        <v>110760.7671</v>
      </c>
      <c r="AR149">
        <v>111441.30130000001</v>
      </c>
      <c r="AS149">
        <v>112173.1961</v>
      </c>
      <c r="AT149">
        <v>112969.2369</v>
      </c>
      <c r="AU149" s="60">
        <f t="shared" ref="AU149:AU182" si="4">B149-B112</f>
        <v>1.2882499999250285E-2</v>
      </c>
    </row>
    <row r="150" spans="1:47">
      <c r="A150" t="s">
        <v>426</v>
      </c>
      <c r="B150">
        <v>88737.328750000001</v>
      </c>
      <c r="C150">
        <v>90759.192420000007</v>
      </c>
      <c r="D150">
        <v>88095.872659999906</v>
      </c>
      <c r="E150">
        <v>82576.5818</v>
      </c>
      <c r="F150">
        <v>85023.589680000005</v>
      </c>
      <c r="G150">
        <v>84995.256179999997</v>
      </c>
      <c r="H150">
        <v>83633.639909999998</v>
      </c>
      <c r="I150">
        <v>84140.801680000004</v>
      </c>
      <c r="J150">
        <v>84219.26698</v>
      </c>
      <c r="K150">
        <v>78453.543139999994</v>
      </c>
      <c r="L150">
        <v>81201.011350000001</v>
      </c>
      <c r="M150">
        <v>84160.995729999995</v>
      </c>
      <c r="N150">
        <v>87426.007400000002</v>
      </c>
      <c r="O150">
        <v>90780.885500000004</v>
      </c>
      <c r="P150">
        <v>91234.489119999998</v>
      </c>
      <c r="Q150">
        <v>93326.515320000006</v>
      </c>
      <c r="R150">
        <v>94829.981849999996</v>
      </c>
      <c r="S150">
        <v>95279.983600000007</v>
      </c>
      <c r="T150">
        <v>95595.150710000002</v>
      </c>
      <c r="U150">
        <v>95934.188909999997</v>
      </c>
      <c r="V150">
        <v>96173.792830000006</v>
      </c>
      <c r="W150">
        <v>96508.186530000006</v>
      </c>
      <c r="X150">
        <v>96947.860449999906</v>
      </c>
      <c r="Y150">
        <v>97469.591990000001</v>
      </c>
      <c r="Z150">
        <v>98053.669450000001</v>
      </c>
      <c r="AA150">
        <v>98697.912549999906</v>
      </c>
      <c r="AB150">
        <v>99271.067209999994</v>
      </c>
      <c r="AC150">
        <v>99882.743629999997</v>
      </c>
      <c r="AD150">
        <v>100491.1375</v>
      </c>
      <c r="AE150">
        <v>100997.2132</v>
      </c>
      <c r="AF150">
        <v>101620.9316</v>
      </c>
      <c r="AG150">
        <v>102207.68180000001</v>
      </c>
      <c r="AH150">
        <v>102790.4054</v>
      </c>
      <c r="AI150">
        <v>103381.88189999999</v>
      </c>
      <c r="AJ150">
        <v>103988.81419999999</v>
      </c>
      <c r="AK150">
        <v>104720.628</v>
      </c>
      <c r="AL150">
        <v>105434.15029999999</v>
      </c>
      <c r="AM150">
        <v>106158.5353</v>
      </c>
      <c r="AN150">
        <v>106909.6452</v>
      </c>
      <c r="AO150">
        <v>107677.2129</v>
      </c>
      <c r="AP150">
        <v>107979.417</v>
      </c>
      <c r="AQ150">
        <v>108538.875</v>
      </c>
      <c r="AR150">
        <v>109205.7576</v>
      </c>
      <c r="AS150">
        <v>109922.9703</v>
      </c>
      <c r="AT150">
        <v>110703.04240000001</v>
      </c>
      <c r="AU150" s="60">
        <f t="shared" si="4"/>
        <v>1.2619999994058162E-2</v>
      </c>
    </row>
    <row r="151" spans="1:47">
      <c r="A151" t="s">
        <v>427</v>
      </c>
      <c r="B151">
        <v>772.2855783</v>
      </c>
      <c r="C151">
        <v>789.8819628</v>
      </c>
      <c r="D151">
        <v>766.70295269999997</v>
      </c>
      <c r="E151">
        <v>718.66827780000006</v>
      </c>
      <c r="F151">
        <v>739.96471440000005</v>
      </c>
      <c r="G151">
        <v>739.71812650000004</v>
      </c>
      <c r="H151">
        <v>727.86790940000003</v>
      </c>
      <c r="I151">
        <v>732.28176459999997</v>
      </c>
      <c r="J151">
        <v>732.96465230000001</v>
      </c>
      <c r="K151">
        <v>682.78525830000001</v>
      </c>
      <c r="L151">
        <v>706.69661680000002</v>
      </c>
      <c r="M151">
        <v>732.4575145</v>
      </c>
      <c r="N151">
        <v>760.87308050000001</v>
      </c>
      <c r="O151">
        <v>790.07075880000002</v>
      </c>
      <c r="P151">
        <v>794.01849470000002</v>
      </c>
      <c r="Q151">
        <v>812.2255073</v>
      </c>
      <c r="R151">
        <v>825.31025450000004</v>
      </c>
      <c r="S151">
        <v>829.22664310000005</v>
      </c>
      <c r="T151">
        <v>831.96955890000004</v>
      </c>
      <c r="U151">
        <v>834.92022580000003</v>
      </c>
      <c r="V151">
        <v>837.00551129999997</v>
      </c>
      <c r="W151">
        <v>839.91575699999999</v>
      </c>
      <c r="X151">
        <v>843.74226190000002</v>
      </c>
      <c r="Y151">
        <v>848.28291860000002</v>
      </c>
      <c r="Z151">
        <v>853.366175</v>
      </c>
      <c r="AA151">
        <v>858.97305619999997</v>
      </c>
      <c r="AB151">
        <v>863.96125099999995</v>
      </c>
      <c r="AC151">
        <v>869.28470259999995</v>
      </c>
      <c r="AD151">
        <v>874.57958599999995</v>
      </c>
      <c r="AE151">
        <v>878.9839892</v>
      </c>
      <c r="AF151">
        <v>884.41224309999996</v>
      </c>
      <c r="AG151">
        <v>889.51876030000005</v>
      </c>
      <c r="AH151">
        <v>894.59023420000005</v>
      </c>
      <c r="AI151">
        <v>899.73788420000005</v>
      </c>
      <c r="AJ151">
        <v>905.02004799999997</v>
      </c>
      <c r="AK151">
        <v>911.38906099999997</v>
      </c>
      <c r="AL151">
        <v>917.59888279999996</v>
      </c>
      <c r="AM151">
        <v>923.90324329999999</v>
      </c>
      <c r="AN151">
        <v>930.44019130000004</v>
      </c>
      <c r="AO151">
        <v>937.12037320000002</v>
      </c>
      <c r="AP151">
        <v>939.75047089999998</v>
      </c>
      <c r="AQ151">
        <v>944.61946350000005</v>
      </c>
      <c r="AR151">
        <v>950.4233772</v>
      </c>
      <c r="AS151">
        <v>956.66531659999998</v>
      </c>
      <c r="AT151">
        <v>963.45432400000004</v>
      </c>
      <c r="AU151" s="60">
        <f t="shared" si="4"/>
        <v>1.0980000001836743E-4</v>
      </c>
    </row>
    <row r="152" spans="1:47">
      <c r="A152" t="s">
        <v>428</v>
      </c>
      <c r="B152">
        <v>1044.2503180000001</v>
      </c>
      <c r="C152">
        <v>1068.0433680000001</v>
      </c>
      <c r="D152">
        <v>1036.7017390000001</v>
      </c>
      <c r="E152">
        <v>971.7513811</v>
      </c>
      <c r="F152">
        <v>1000.547478</v>
      </c>
      <c r="G152">
        <v>1000.214053</v>
      </c>
      <c r="H152">
        <v>984.19071499999995</v>
      </c>
      <c r="I152">
        <v>990.15893430000006</v>
      </c>
      <c r="J152">
        <v>991.08230470000001</v>
      </c>
      <c r="K152">
        <v>923.23195310000006</v>
      </c>
      <c r="L152">
        <v>955.56383170000004</v>
      </c>
      <c r="M152">
        <v>990.39657550000004</v>
      </c>
      <c r="N152">
        <v>1028.8188439999999</v>
      </c>
      <c r="O152">
        <v>1068.29865</v>
      </c>
      <c r="P152">
        <v>1073.6366029999999</v>
      </c>
      <c r="Q152">
        <v>1098.2553190000001</v>
      </c>
      <c r="R152">
        <v>1115.947934</v>
      </c>
      <c r="S152">
        <v>1121.2435009999999</v>
      </c>
      <c r="T152">
        <v>1124.95235</v>
      </c>
      <c r="U152">
        <v>1128.9421110000001</v>
      </c>
      <c r="V152">
        <v>1131.761741</v>
      </c>
      <c r="W152">
        <v>1135.6968460000001</v>
      </c>
      <c r="X152">
        <v>1140.8708770000001</v>
      </c>
      <c r="Y152">
        <v>1147.0105510000001</v>
      </c>
      <c r="Z152">
        <v>1153.8839049999999</v>
      </c>
      <c r="AA152">
        <v>1161.4652819999999</v>
      </c>
      <c r="AB152">
        <v>1168.2100969999999</v>
      </c>
      <c r="AC152">
        <v>1175.4082330000001</v>
      </c>
      <c r="AD152">
        <v>1182.5677390000001</v>
      </c>
      <c r="AE152">
        <v>1188.5231779999999</v>
      </c>
      <c r="AF152">
        <v>1195.863022</v>
      </c>
      <c r="AG152">
        <v>1202.767828</v>
      </c>
      <c r="AH152">
        <v>1209.6252500000001</v>
      </c>
      <c r="AI152">
        <v>1216.585675</v>
      </c>
      <c r="AJ152">
        <v>1223.7279820000001</v>
      </c>
      <c r="AK152">
        <v>1232.3398790000001</v>
      </c>
      <c r="AL152">
        <v>1240.736525</v>
      </c>
      <c r="AM152">
        <v>1249.261002</v>
      </c>
      <c r="AN152">
        <v>1258.0999730000001</v>
      </c>
      <c r="AO152">
        <v>1267.132619</v>
      </c>
      <c r="AP152">
        <v>1270.6889200000001</v>
      </c>
      <c r="AQ152">
        <v>1277.2725559999999</v>
      </c>
      <c r="AR152">
        <v>1285.120351</v>
      </c>
      <c r="AS152">
        <v>1293.5604249999999</v>
      </c>
      <c r="AT152">
        <v>1302.740219</v>
      </c>
      <c r="AU152" s="60">
        <f t="shared" si="4"/>
        <v>1.4900000019224535E-4</v>
      </c>
    </row>
    <row r="153" spans="1:47">
      <c r="A153" t="s">
        <v>318</v>
      </c>
      <c r="B153">
        <v>9.6661950000000001</v>
      </c>
      <c r="C153">
        <v>9.6661950000000001</v>
      </c>
      <c r="D153">
        <v>9.6661950000000001</v>
      </c>
      <c r="E153">
        <v>9.6661950000000001</v>
      </c>
      <c r="F153">
        <v>9.6661950000000001</v>
      </c>
      <c r="G153">
        <v>9.6661950000000001</v>
      </c>
      <c r="H153">
        <v>9.6661950000000001</v>
      </c>
      <c r="I153">
        <v>9.6661950000000001</v>
      </c>
      <c r="J153">
        <v>9.6661950000000001</v>
      </c>
      <c r="K153">
        <v>9.6661950000000001</v>
      </c>
      <c r="L153">
        <v>9.6661950000000001</v>
      </c>
      <c r="M153">
        <v>9.6661950000000001</v>
      </c>
      <c r="N153">
        <v>9.6661950000000001</v>
      </c>
      <c r="O153">
        <v>9.6661950000000001</v>
      </c>
      <c r="P153">
        <v>9.6661950000000001</v>
      </c>
      <c r="Q153">
        <v>9.6661950000000001</v>
      </c>
      <c r="R153">
        <v>9.6661950000000001</v>
      </c>
      <c r="S153">
        <v>9.6661950000000001</v>
      </c>
      <c r="T153">
        <v>9.6661950000000001</v>
      </c>
      <c r="U153">
        <v>9.6661950000000001</v>
      </c>
      <c r="V153">
        <v>9.6661950000000001</v>
      </c>
      <c r="W153">
        <v>9.6661950000000001</v>
      </c>
      <c r="X153">
        <v>9.6661950000000001</v>
      </c>
      <c r="Y153">
        <v>9.6661950000000001</v>
      </c>
      <c r="Z153">
        <v>9.6661950000000001</v>
      </c>
      <c r="AA153">
        <v>9.6661950000000001</v>
      </c>
      <c r="AB153">
        <v>9.6661950000000001</v>
      </c>
      <c r="AC153">
        <v>9.6661950000000001</v>
      </c>
      <c r="AD153">
        <v>9.6661950000000001</v>
      </c>
      <c r="AE153">
        <v>9.6661950000000001</v>
      </c>
      <c r="AF153">
        <v>9.6661950000000001</v>
      </c>
      <c r="AG153">
        <v>9.6661950000000001</v>
      </c>
      <c r="AH153">
        <v>9.6661950000000001</v>
      </c>
      <c r="AI153">
        <v>9.6661950000000001</v>
      </c>
      <c r="AJ153">
        <v>9.6661950000000001</v>
      </c>
      <c r="AK153">
        <v>9.6661950000000001</v>
      </c>
      <c r="AL153">
        <v>9.6661950000000001</v>
      </c>
      <c r="AM153">
        <v>9.6661950000000001</v>
      </c>
      <c r="AN153">
        <v>9.6661950000000001</v>
      </c>
      <c r="AO153">
        <v>9.6661950000000001</v>
      </c>
      <c r="AP153">
        <v>9.6661950000000001</v>
      </c>
      <c r="AQ153">
        <v>9.6661950000000001</v>
      </c>
      <c r="AR153">
        <v>9.6661950000000001</v>
      </c>
      <c r="AS153">
        <v>9.6661950000000001</v>
      </c>
      <c r="AT153">
        <v>9.6661950000000001</v>
      </c>
      <c r="AU153" s="60">
        <f t="shared" si="4"/>
        <v>0</v>
      </c>
    </row>
    <row r="154" spans="1:47">
      <c r="A154" t="s">
        <v>319</v>
      </c>
      <c r="B154">
        <v>4.2500790000000004</v>
      </c>
      <c r="C154">
        <v>4.2500790000000004</v>
      </c>
      <c r="D154">
        <v>4.2500790000000004</v>
      </c>
      <c r="E154">
        <v>4.2500790000000004</v>
      </c>
      <c r="F154">
        <v>4.2500790000000004</v>
      </c>
      <c r="G154">
        <v>4.2500790000000004</v>
      </c>
      <c r="H154">
        <v>4.2500790000000004</v>
      </c>
      <c r="I154">
        <v>4.2500790000000004</v>
      </c>
      <c r="J154">
        <v>4.2500790000000004</v>
      </c>
      <c r="K154">
        <v>4.2500790000000004</v>
      </c>
      <c r="L154">
        <v>4.2500790000000004</v>
      </c>
      <c r="M154">
        <v>4.2500790000000004</v>
      </c>
      <c r="N154">
        <v>4.2500790000000004</v>
      </c>
      <c r="O154">
        <v>4.2500790000000004</v>
      </c>
      <c r="P154">
        <v>4.2500790000000004</v>
      </c>
      <c r="Q154">
        <v>4.2500790000000004</v>
      </c>
      <c r="R154">
        <v>4.2500790000000004</v>
      </c>
      <c r="S154">
        <v>4.2500790000000004</v>
      </c>
      <c r="T154">
        <v>4.2500790000000004</v>
      </c>
      <c r="U154">
        <v>4.2500790000000004</v>
      </c>
      <c r="V154">
        <v>4.2500790000000004</v>
      </c>
      <c r="W154">
        <v>4.2500790000000004</v>
      </c>
      <c r="X154">
        <v>4.2500790000000004</v>
      </c>
      <c r="Y154">
        <v>4.2500790000000004</v>
      </c>
      <c r="Z154">
        <v>4.2500790000000004</v>
      </c>
      <c r="AA154">
        <v>4.2500790000000004</v>
      </c>
      <c r="AB154">
        <v>4.2500790000000004</v>
      </c>
      <c r="AC154">
        <v>4.2500790000000004</v>
      </c>
      <c r="AD154">
        <v>4.2500790000000004</v>
      </c>
      <c r="AE154">
        <v>4.2500790000000004</v>
      </c>
      <c r="AF154">
        <v>4.2500790000000004</v>
      </c>
      <c r="AG154">
        <v>4.2500790000000004</v>
      </c>
      <c r="AH154">
        <v>4.2500790000000004</v>
      </c>
      <c r="AI154">
        <v>4.2500790000000004</v>
      </c>
      <c r="AJ154">
        <v>4.2500790000000004</v>
      </c>
      <c r="AK154">
        <v>4.2500790000000004</v>
      </c>
      <c r="AL154">
        <v>4.2500790000000004</v>
      </c>
      <c r="AM154">
        <v>4.2500790000000004</v>
      </c>
      <c r="AN154">
        <v>4.2500790000000004</v>
      </c>
      <c r="AO154">
        <v>4.2500790000000004</v>
      </c>
      <c r="AP154">
        <v>4.2500790000000004</v>
      </c>
      <c r="AQ154">
        <v>4.2500790000000004</v>
      </c>
      <c r="AR154">
        <v>4.2500790000000004</v>
      </c>
      <c r="AS154">
        <v>4.2500790000000004</v>
      </c>
      <c r="AT154">
        <v>4.2500790000000004</v>
      </c>
      <c r="AU154" s="60">
        <f t="shared" si="4"/>
        <v>0</v>
      </c>
    </row>
    <row r="155" spans="1:47">
      <c r="A155" t="s">
        <v>320</v>
      </c>
      <c r="B155">
        <v>11.399198999999999</v>
      </c>
      <c r="C155">
        <v>11.399198999999999</v>
      </c>
      <c r="D155">
        <v>11.399198999999999</v>
      </c>
      <c r="E155">
        <v>11.399198999999999</v>
      </c>
      <c r="F155">
        <v>11.399198999999999</v>
      </c>
      <c r="G155">
        <v>11.399198999999999</v>
      </c>
      <c r="H155">
        <v>11.399198999999999</v>
      </c>
      <c r="I155">
        <v>11.399198999999999</v>
      </c>
      <c r="J155">
        <v>11.399198999999999</v>
      </c>
      <c r="K155">
        <v>11.399198999999999</v>
      </c>
      <c r="L155">
        <v>11.399198999999999</v>
      </c>
      <c r="M155">
        <v>11.399198999999999</v>
      </c>
      <c r="N155">
        <v>11.399198999999999</v>
      </c>
      <c r="O155">
        <v>11.399198999999999</v>
      </c>
      <c r="P155">
        <v>11.399198999999999</v>
      </c>
      <c r="Q155">
        <v>11.399198999999999</v>
      </c>
      <c r="R155">
        <v>11.399198999999999</v>
      </c>
      <c r="S155">
        <v>11.399198999999999</v>
      </c>
      <c r="T155">
        <v>11.399198999999999</v>
      </c>
      <c r="U155">
        <v>11.399198999999999</v>
      </c>
      <c r="V155">
        <v>11.399198999999999</v>
      </c>
      <c r="W155">
        <v>11.399198999999999</v>
      </c>
      <c r="X155">
        <v>11.399198999999999</v>
      </c>
      <c r="Y155">
        <v>11.399198999999999</v>
      </c>
      <c r="Z155">
        <v>11.399198999999999</v>
      </c>
      <c r="AA155">
        <v>11.399198999999999</v>
      </c>
      <c r="AB155">
        <v>11.399198999999999</v>
      </c>
      <c r="AC155">
        <v>11.399198999999999</v>
      </c>
      <c r="AD155">
        <v>11.399198999999999</v>
      </c>
      <c r="AE155">
        <v>11.399198999999999</v>
      </c>
      <c r="AF155">
        <v>11.399198999999999</v>
      </c>
      <c r="AG155">
        <v>11.399198999999999</v>
      </c>
      <c r="AH155">
        <v>11.399198999999999</v>
      </c>
      <c r="AI155">
        <v>11.399198999999999</v>
      </c>
      <c r="AJ155">
        <v>11.399198999999999</v>
      </c>
      <c r="AK155">
        <v>11.399198999999999</v>
      </c>
      <c r="AL155">
        <v>11.399198999999999</v>
      </c>
      <c r="AM155">
        <v>11.399198999999999</v>
      </c>
      <c r="AN155">
        <v>11.399198999999999</v>
      </c>
      <c r="AO155">
        <v>11.399198999999999</v>
      </c>
      <c r="AP155">
        <v>11.399198999999999</v>
      </c>
      <c r="AQ155">
        <v>11.399198999999999</v>
      </c>
      <c r="AR155">
        <v>11.399198999999999</v>
      </c>
      <c r="AS155">
        <v>11.399198999999999</v>
      </c>
      <c r="AT155">
        <v>11.399198999999999</v>
      </c>
      <c r="AU155" s="60">
        <f t="shared" si="4"/>
        <v>0</v>
      </c>
    </row>
    <row r="156" spans="1:47">
      <c r="A156" t="s">
        <v>429</v>
      </c>
      <c r="B156">
        <v>364.05299359999998</v>
      </c>
      <c r="C156">
        <v>372.34787390000002</v>
      </c>
      <c r="D156">
        <v>361.42136140000002</v>
      </c>
      <c r="E156">
        <v>338.77796669999998</v>
      </c>
      <c r="F156">
        <v>348.81704000000002</v>
      </c>
      <c r="G156">
        <v>348.70079920000001</v>
      </c>
      <c r="H156">
        <v>343.11464410000002</v>
      </c>
      <c r="I156">
        <v>345.1953216</v>
      </c>
      <c r="J156">
        <v>345.51723270000002</v>
      </c>
      <c r="K156">
        <v>321.86282410000001</v>
      </c>
      <c r="L156">
        <v>333.13456330000002</v>
      </c>
      <c r="M156">
        <v>345.27816949999999</v>
      </c>
      <c r="N156">
        <v>358.67317800000001</v>
      </c>
      <c r="O156">
        <v>372.43687169999998</v>
      </c>
      <c r="P156">
        <v>374.297822</v>
      </c>
      <c r="Q156">
        <v>382.88055050000003</v>
      </c>
      <c r="R156">
        <v>389.04865919999997</v>
      </c>
      <c r="S156">
        <v>390.89483250000001</v>
      </c>
      <c r="T156">
        <v>392.18783439999999</v>
      </c>
      <c r="U156">
        <v>393.57876950000002</v>
      </c>
      <c r="V156">
        <v>394.56176649999998</v>
      </c>
      <c r="W156">
        <v>395.9336472</v>
      </c>
      <c r="X156">
        <v>397.73744959999999</v>
      </c>
      <c r="Y156">
        <v>399.87790089999999</v>
      </c>
      <c r="Z156">
        <v>402.27413200000001</v>
      </c>
      <c r="AA156">
        <v>404.91719810000001</v>
      </c>
      <c r="AB156">
        <v>407.2686175</v>
      </c>
      <c r="AC156">
        <v>409.77807580000001</v>
      </c>
      <c r="AD156">
        <v>412.27406719999999</v>
      </c>
      <c r="AE156">
        <v>414.35028899999998</v>
      </c>
      <c r="AF156">
        <v>416.90915089999999</v>
      </c>
      <c r="AG156">
        <v>419.31634700000001</v>
      </c>
      <c r="AH156">
        <v>421.7070238</v>
      </c>
      <c r="AI156">
        <v>424.13360990000001</v>
      </c>
      <c r="AJ156">
        <v>426.62360530000001</v>
      </c>
      <c r="AK156">
        <v>429.62593800000002</v>
      </c>
      <c r="AL156">
        <v>432.55322849999999</v>
      </c>
      <c r="AM156">
        <v>435.52508419999998</v>
      </c>
      <c r="AN156">
        <v>438.60658089999998</v>
      </c>
      <c r="AO156">
        <v>441.75559770000001</v>
      </c>
      <c r="AP156">
        <v>442.99541740000001</v>
      </c>
      <c r="AQ156">
        <v>445.29064519999997</v>
      </c>
      <c r="AR156">
        <v>448.02659190000003</v>
      </c>
      <c r="AS156">
        <v>450.96902249999999</v>
      </c>
      <c r="AT156">
        <v>454.16933929999999</v>
      </c>
      <c r="AU156" s="60">
        <f t="shared" si="4"/>
        <v>5.1780429998871114E-5</v>
      </c>
    </row>
    <row r="157" spans="1:47">
      <c r="A157" t="s">
        <v>430</v>
      </c>
      <c r="B157">
        <v>141.3574538</v>
      </c>
      <c r="C157">
        <v>144.57825729999999</v>
      </c>
      <c r="D157">
        <v>140.33562230000001</v>
      </c>
      <c r="E157">
        <v>131.5434611</v>
      </c>
      <c r="F157">
        <v>135.44151400000001</v>
      </c>
      <c r="G157">
        <v>135.39637909999999</v>
      </c>
      <c r="H157">
        <v>133.2273414</v>
      </c>
      <c r="I157">
        <v>134.0352437</v>
      </c>
      <c r="J157">
        <v>134.16023799999999</v>
      </c>
      <c r="K157">
        <v>124.9755121</v>
      </c>
      <c r="L157">
        <v>129.3521945</v>
      </c>
      <c r="M157">
        <v>134.06741260000001</v>
      </c>
      <c r="N157">
        <v>139.2685353</v>
      </c>
      <c r="O157">
        <v>144.61281410000001</v>
      </c>
      <c r="P157">
        <v>145.335399</v>
      </c>
      <c r="Q157">
        <v>148.66797059999999</v>
      </c>
      <c r="R157">
        <v>151.0629739</v>
      </c>
      <c r="S157">
        <v>151.77982109999999</v>
      </c>
      <c r="T157">
        <v>152.28187840000001</v>
      </c>
      <c r="U157">
        <v>152.82196200000001</v>
      </c>
      <c r="V157">
        <v>153.20364799999999</v>
      </c>
      <c r="W157">
        <v>153.736333</v>
      </c>
      <c r="X157">
        <v>154.43672799999999</v>
      </c>
      <c r="Y157">
        <v>155.26783990000001</v>
      </c>
      <c r="Z157">
        <v>156.19826789999999</v>
      </c>
      <c r="AA157">
        <v>157.22453909999999</v>
      </c>
      <c r="AB157">
        <v>158.1375673</v>
      </c>
      <c r="AC157">
        <v>159.1119602</v>
      </c>
      <c r="AD157">
        <v>160.08112399999999</v>
      </c>
      <c r="AE157">
        <v>160.8872963</v>
      </c>
      <c r="AF157">
        <v>161.88087200000001</v>
      </c>
      <c r="AG157">
        <v>162.81555760000001</v>
      </c>
      <c r="AH157">
        <v>163.7438291</v>
      </c>
      <c r="AI157">
        <v>164.6860436</v>
      </c>
      <c r="AJ157">
        <v>165.6528792</v>
      </c>
      <c r="AK157">
        <v>166.8186494</v>
      </c>
      <c r="AL157">
        <v>167.95528150000001</v>
      </c>
      <c r="AM157">
        <v>169.10921780000001</v>
      </c>
      <c r="AN157">
        <v>170.3057264</v>
      </c>
      <c r="AO157">
        <v>171.5284522</v>
      </c>
      <c r="AP157">
        <v>172.0098595</v>
      </c>
      <c r="AQ157">
        <v>172.90106919999999</v>
      </c>
      <c r="AR157">
        <v>173.96340480000001</v>
      </c>
      <c r="AS157">
        <v>175.1059156</v>
      </c>
      <c r="AT157">
        <v>176.34856060000001</v>
      </c>
      <c r="AU157" s="60">
        <f t="shared" si="4"/>
        <v>2.0074994012020397E-5</v>
      </c>
    </row>
    <row r="158" spans="1:47">
      <c r="A158" t="s">
        <v>431</v>
      </c>
      <c r="B158">
        <v>33.901835419999998</v>
      </c>
      <c r="C158">
        <v>34.674282490000003</v>
      </c>
      <c r="D158">
        <v>33.656769009999998</v>
      </c>
      <c r="E158">
        <v>31.54814017</v>
      </c>
      <c r="F158">
        <v>32.483012340000002</v>
      </c>
      <c r="G158">
        <v>32.472187609999999</v>
      </c>
      <c r="H158">
        <v>31.95198611</v>
      </c>
      <c r="I158">
        <v>32.145745779999999</v>
      </c>
      <c r="J158">
        <v>32.175723220000002</v>
      </c>
      <c r="K158">
        <v>29.972945379999999</v>
      </c>
      <c r="L158">
        <v>31.022607529999998</v>
      </c>
      <c r="M158">
        <v>32.153460850000002</v>
      </c>
      <c r="N158">
        <v>33.400848959999998</v>
      </c>
      <c r="O158">
        <v>34.682570269999999</v>
      </c>
      <c r="P158">
        <v>34.855868200000003</v>
      </c>
      <c r="Q158">
        <v>35.655120650000001</v>
      </c>
      <c r="R158">
        <v>36.229515620000001</v>
      </c>
      <c r="S158">
        <v>36.401437459999997</v>
      </c>
      <c r="T158">
        <v>36.52184613</v>
      </c>
      <c r="U158">
        <v>36.651374680000004</v>
      </c>
      <c r="V158">
        <v>36.742914650000003</v>
      </c>
      <c r="W158">
        <v>36.870668780000003</v>
      </c>
      <c r="X158">
        <v>37.038644910000002</v>
      </c>
      <c r="Y158">
        <v>37.237970910000001</v>
      </c>
      <c r="Z158">
        <v>37.461115980000002</v>
      </c>
      <c r="AA158">
        <v>37.707247170000002</v>
      </c>
      <c r="AB158">
        <v>37.92621922</v>
      </c>
      <c r="AC158">
        <v>38.159908389999998</v>
      </c>
      <c r="AD158">
        <v>38.392343480000001</v>
      </c>
      <c r="AE158">
        <v>38.585688220000002</v>
      </c>
      <c r="AF158">
        <v>38.823978009999998</v>
      </c>
      <c r="AG158">
        <v>39.048144190000002</v>
      </c>
      <c r="AH158">
        <v>39.270772030000003</v>
      </c>
      <c r="AI158">
        <v>39.496743860000002</v>
      </c>
      <c r="AJ158">
        <v>39.728620579999998</v>
      </c>
      <c r="AK158">
        <v>40.00820787</v>
      </c>
      <c r="AL158">
        <v>40.28080697</v>
      </c>
      <c r="AM158">
        <v>40.557556140000003</v>
      </c>
      <c r="AN158">
        <v>40.844515450000003</v>
      </c>
      <c r="AO158">
        <v>41.137762449999997</v>
      </c>
      <c r="AP158">
        <v>41.253218619999998</v>
      </c>
      <c r="AQ158">
        <v>41.46695793</v>
      </c>
      <c r="AR158">
        <v>41.721738459999997</v>
      </c>
      <c r="AS158">
        <v>41.995747459999997</v>
      </c>
      <c r="AT158">
        <v>42.29377169</v>
      </c>
      <c r="AU158" s="60">
        <f t="shared" si="4"/>
        <v>4.8187060954774097E-6</v>
      </c>
    </row>
    <row r="159" spans="1:47">
      <c r="A159" t="s">
        <v>432</v>
      </c>
      <c r="B159">
        <v>1.157159842</v>
      </c>
      <c r="C159">
        <v>1.1835255149999999</v>
      </c>
      <c r="D159">
        <v>1.1487950730000001</v>
      </c>
      <c r="E159">
        <v>1.076821961</v>
      </c>
      <c r="F159">
        <v>1.108731635</v>
      </c>
      <c r="G159">
        <v>1.108362158</v>
      </c>
      <c r="H159">
        <v>1.0906062969999999</v>
      </c>
      <c r="I159">
        <v>1.09721983</v>
      </c>
      <c r="J159">
        <v>1.0982430400000001</v>
      </c>
      <c r="K159">
        <v>1.0230563720000001</v>
      </c>
      <c r="L159">
        <v>1.0588841330000001</v>
      </c>
      <c r="M159">
        <v>1.097483166</v>
      </c>
      <c r="N159">
        <v>1.140059841</v>
      </c>
      <c r="O159">
        <v>1.1838083989999999</v>
      </c>
      <c r="P159">
        <v>1.189723519</v>
      </c>
      <c r="Q159">
        <v>1.217004132</v>
      </c>
      <c r="R159">
        <v>1.2366097599999999</v>
      </c>
      <c r="S159">
        <v>1.2424779100000001</v>
      </c>
      <c r="T159">
        <v>1.2465877780000001</v>
      </c>
      <c r="U159">
        <v>1.251008932</v>
      </c>
      <c r="V159">
        <v>1.254133435</v>
      </c>
      <c r="W159">
        <v>1.2584940229999999</v>
      </c>
      <c r="X159">
        <v>1.2642274950000001</v>
      </c>
      <c r="Y159">
        <v>1.2710310220000001</v>
      </c>
      <c r="Z159">
        <v>1.278647557</v>
      </c>
      <c r="AA159">
        <v>1.287048669</v>
      </c>
      <c r="AB159">
        <v>1.294522768</v>
      </c>
      <c r="AC159">
        <v>1.3024992010000001</v>
      </c>
      <c r="AD159">
        <v>1.310432829</v>
      </c>
      <c r="AE159">
        <v>1.3170322000000001</v>
      </c>
      <c r="AF159">
        <v>1.325165664</v>
      </c>
      <c r="AG159">
        <v>1.332817052</v>
      </c>
      <c r="AH159">
        <v>1.3404159330000001</v>
      </c>
      <c r="AI159">
        <v>1.348128953</v>
      </c>
      <c r="AJ159">
        <v>1.356043522</v>
      </c>
      <c r="AK159">
        <v>1.36558658</v>
      </c>
      <c r="AL159">
        <v>1.3748911130000001</v>
      </c>
      <c r="AM159">
        <v>1.3843372979999999</v>
      </c>
      <c r="AN159">
        <v>1.3941319830000001</v>
      </c>
      <c r="AO159">
        <v>1.404141283</v>
      </c>
      <c r="AP159">
        <v>1.408082109</v>
      </c>
      <c r="AQ159">
        <v>1.4153776010000001</v>
      </c>
      <c r="AR159">
        <v>1.424073938</v>
      </c>
      <c r="AS159">
        <v>1.4334265939999999</v>
      </c>
      <c r="AT159">
        <v>1.443598954</v>
      </c>
      <c r="AU159" s="60">
        <f t="shared" si="4"/>
        <v>0.85775134388393992</v>
      </c>
    </row>
    <row r="160" spans="1:47">
      <c r="A160" t="s">
        <v>433</v>
      </c>
      <c r="B160">
        <v>0.28575115639999998</v>
      </c>
      <c r="C160">
        <v>0.29226194379999998</v>
      </c>
      <c r="D160">
        <v>0.2836855452</v>
      </c>
      <c r="E160">
        <v>0.2659123739</v>
      </c>
      <c r="F160">
        <v>0.2737922069</v>
      </c>
      <c r="G160">
        <v>0.27370096760000001</v>
      </c>
      <c r="H160">
        <v>0.26931630299999998</v>
      </c>
      <c r="I160">
        <v>0.27094946089999999</v>
      </c>
      <c r="J160">
        <v>0.27120213409999999</v>
      </c>
      <c r="K160">
        <v>0.25263540150000002</v>
      </c>
      <c r="L160">
        <v>0.26148277419999999</v>
      </c>
      <c r="M160">
        <v>0.27101448960000002</v>
      </c>
      <c r="N160">
        <v>0.28152845110000002</v>
      </c>
      <c r="O160">
        <v>0.29233179970000001</v>
      </c>
      <c r="P160">
        <v>0.29379249000000002</v>
      </c>
      <c r="Q160">
        <v>0.30052921420000001</v>
      </c>
      <c r="R160">
        <v>0.30537066369999999</v>
      </c>
      <c r="S160">
        <v>0.3068197554</v>
      </c>
      <c r="T160">
        <v>0.30783465370000002</v>
      </c>
      <c r="U160">
        <v>0.30892642149999999</v>
      </c>
      <c r="V160">
        <v>0.30969799190000002</v>
      </c>
      <c r="W160">
        <v>0.31077480349999997</v>
      </c>
      <c r="X160">
        <v>0.31219063749999998</v>
      </c>
      <c r="Y160">
        <v>0.31387071280000001</v>
      </c>
      <c r="Z160">
        <v>0.31575155379999997</v>
      </c>
      <c r="AA160">
        <v>0.31782613980000002</v>
      </c>
      <c r="AB160">
        <v>0.3196718073</v>
      </c>
      <c r="AC160">
        <v>0.32164152219999997</v>
      </c>
      <c r="AD160">
        <v>0.32360066679999999</v>
      </c>
      <c r="AE160">
        <v>0.32523032730000001</v>
      </c>
      <c r="AF160">
        <v>0.32723881980000002</v>
      </c>
      <c r="AG160">
        <v>0.32912826750000002</v>
      </c>
      <c r="AH160">
        <v>0.33100474889999998</v>
      </c>
      <c r="AI160">
        <v>0.33290941600000001</v>
      </c>
      <c r="AJ160">
        <v>0.33486385419999998</v>
      </c>
      <c r="AK160">
        <v>0.33722043429999998</v>
      </c>
      <c r="AL160">
        <v>0.33951811259999998</v>
      </c>
      <c r="AM160">
        <v>0.34185077069999997</v>
      </c>
      <c r="AN160">
        <v>0.34426948800000001</v>
      </c>
      <c r="AO160">
        <v>0.34674120279999998</v>
      </c>
      <c r="AP160">
        <v>0.34771435769999998</v>
      </c>
      <c r="AQ160">
        <v>0.3495159196</v>
      </c>
      <c r="AR160">
        <v>0.35166340889999997</v>
      </c>
      <c r="AS160">
        <v>0.35397297090000002</v>
      </c>
      <c r="AT160">
        <v>0.35648495190000001</v>
      </c>
      <c r="AU160" s="60">
        <f t="shared" si="4"/>
        <v>3.2822709356459812E-3</v>
      </c>
    </row>
    <row r="161" spans="1:47">
      <c r="A161" t="s">
        <v>434</v>
      </c>
      <c r="B161">
        <v>2.57723233E-2</v>
      </c>
      <c r="C161">
        <v>2.6359540899999999E-2</v>
      </c>
      <c r="D161">
        <v>2.5586022699999999E-2</v>
      </c>
      <c r="E161">
        <v>2.3983033899999999E-2</v>
      </c>
      <c r="F161">
        <v>2.4693727799999999E-2</v>
      </c>
      <c r="G161">
        <v>2.46854988E-2</v>
      </c>
      <c r="H161">
        <v>2.42900393E-2</v>
      </c>
      <c r="I161">
        <v>2.4437336300000001E-2</v>
      </c>
      <c r="J161">
        <v>2.44601253E-2</v>
      </c>
      <c r="K161">
        <v>2.27855639E-2</v>
      </c>
      <c r="L161">
        <v>2.3583521699999999E-2</v>
      </c>
      <c r="M161">
        <v>2.4443201299999998E-2</v>
      </c>
      <c r="N161">
        <v>2.5391471200000001E-2</v>
      </c>
      <c r="O161">
        <v>2.6365841300000002E-2</v>
      </c>
      <c r="P161">
        <v>2.6497583200000001E-2</v>
      </c>
      <c r="Q161">
        <v>2.7105178399999999E-2</v>
      </c>
      <c r="R161">
        <v>2.7541835899999999E-2</v>
      </c>
      <c r="S161">
        <v>2.7672531699999999E-2</v>
      </c>
      <c r="T161">
        <v>2.7764066899999999E-2</v>
      </c>
      <c r="U161">
        <v>2.7862535000000001E-2</v>
      </c>
      <c r="V161">
        <v>2.79321241E-2</v>
      </c>
      <c r="W161">
        <v>2.8029243400000001E-2</v>
      </c>
      <c r="X161">
        <v>2.81569396E-2</v>
      </c>
      <c r="Y161">
        <v>2.8308468100000001E-2</v>
      </c>
      <c r="Z161">
        <v>2.8478103899999999E-2</v>
      </c>
      <c r="AA161">
        <v>2.86652139E-2</v>
      </c>
      <c r="AB161">
        <v>2.8831677399999998E-2</v>
      </c>
      <c r="AC161">
        <v>2.9009329E-2</v>
      </c>
      <c r="AD161">
        <v>2.9186027100000001E-2</v>
      </c>
      <c r="AE161">
        <v>2.9333008599999998E-2</v>
      </c>
      <c r="AF161">
        <v>2.95141576E-2</v>
      </c>
      <c r="AG161">
        <v>2.96845697E-2</v>
      </c>
      <c r="AH161">
        <v>2.9853812300000001E-2</v>
      </c>
      <c r="AI161">
        <v>3.0025597099999999E-2</v>
      </c>
      <c r="AJ161">
        <v>3.0201870799999999E-2</v>
      </c>
      <c r="AK161">
        <v>3.0414414300000001E-2</v>
      </c>
      <c r="AL161">
        <v>3.06216453E-2</v>
      </c>
      <c r="AM161">
        <v>3.0832031199999999E-2</v>
      </c>
      <c r="AN161">
        <v>3.1050179000000001E-2</v>
      </c>
      <c r="AO161">
        <v>3.1273106600000003E-2</v>
      </c>
      <c r="AP161">
        <v>3.1360876900000001E-2</v>
      </c>
      <c r="AQ161">
        <v>3.1523362499999999E-2</v>
      </c>
      <c r="AR161">
        <v>3.1717047700000001E-2</v>
      </c>
      <c r="AS161">
        <v>3.1925350599999999E-2</v>
      </c>
      <c r="AT161">
        <v>3.2151909899999997E-2</v>
      </c>
      <c r="AU161" s="60">
        <f t="shared" si="4"/>
        <v>1.1903603584631101E-2</v>
      </c>
    </row>
    <row r="162" spans="1:47">
      <c r="A162" t="s">
        <v>435</v>
      </c>
      <c r="B162">
        <v>0.85775232349999997</v>
      </c>
      <c r="C162">
        <v>0.87729605200000005</v>
      </c>
      <c r="D162">
        <v>0.85155188380000002</v>
      </c>
      <c r="E162">
        <v>0.79820134210000004</v>
      </c>
      <c r="F162">
        <v>0.8218545974</v>
      </c>
      <c r="G162">
        <v>0.82158072029999996</v>
      </c>
      <c r="H162">
        <v>0.80841907189999995</v>
      </c>
      <c r="I162">
        <v>0.81332139650000002</v>
      </c>
      <c r="J162">
        <v>0.8140798574</v>
      </c>
      <c r="K162">
        <v>0.75834724639999995</v>
      </c>
      <c r="L162">
        <v>0.7849048099</v>
      </c>
      <c r="M162">
        <v>0.81351659610000004</v>
      </c>
      <c r="N162">
        <v>0.84507683560000002</v>
      </c>
      <c r="O162">
        <v>0.87750574150000005</v>
      </c>
      <c r="P162">
        <v>0.88189036259999998</v>
      </c>
      <c r="Q162">
        <v>0.90211229579999996</v>
      </c>
      <c r="R162">
        <v>0.91664509640000003</v>
      </c>
      <c r="S162">
        <v>0.92099490110000004</v>
      </c>
      <c r="T162">
        <v>0.92404136790000002</v>
      </c>
      <c r="U162">
        <v>0.92731857709999999</v>
      </c>
      <c r="V162">
        <v>0.92963463540000002</v>
      </c>
      <c r="W162">
        <v>0.93286695009999998</v>
      </c>
      <c r="X162">
        <v>0.93711692390000001</v>
      </c>
      <c r="Y162">
        <v>0.94216008269999996</v>
      </c>
      <c r="Z162">
        <v>0.94780588929999998</v>
      </c>
      <c r="AA162">
        <v>0.95403326879999995</v>
      </c>
      <c r="AB162">
        <v>0.95957349359999999</v>
      </c>
      <c r="AC162">
        <v>0.965486077</v>
      </c>
      <c r="AD162">
        <v>0.97136693080000003</v>
      </c>
      <c r="AE162">
        <v>0.97625875740000001</v>
      </c>
      <c r="AF162">
        <v>0.98228774139999997</v>
      </c>
      <c r="AG162">
        <v>0.98795938299999997</v>
      </c>
      <c r="AH162">
        <v>0.993592103</v>
      </c>
      <c r="AI162">
        <v>0.99930942950000001</v>
      </c>
      <c r="AJ162">
        <v>1.0051761560000001</v>
      </c>
      <c r="AK162">
        <v>1.01225001</v>
      </c>
      <c r="AL162">
        <v>1.019147056</v>
      </c>
      <c r="AM162">
        <v>1.0261491030000001</v>
      </c>
      <c r="AN162">
        <v>1.033409477</v>
      </c>
      <c r="AO162">
        <v>1.0408289369999999</v>
      </c>
      <c r="AP162">
        <v>1.0437501</v>
      </c>
      <c r="AQ162">
        <v>1.0491579310000001</v>
      </c>
      <c r="AR162">
        <v>1.055604148</v>
      </c>
      <c r="AS162">
        <v>1.0625368660000001</v>
      </c>
      <c r="AT162">
        <v>1.070077194</v>
      </c>
      <c r="AU162" s="60">
        <f t="shared" si="4"/>
        <v>1.2201077492779433E-7</v>
      </c>
    </row>
    <row r="163" spans="1:47">
      <c r="A163" t="s">
        <v>436</v>
      </c>
      <c r="B163">
        <v>3.2822747200000001E-3</v>
      </c>
      <c r="C163">
        <v>3.3570607399999999E-3</v>
      </c>
      <c r="D163">
        <v>3.25854812E-3</v>
      </c>
      <c r="E163">
        <v>3.0543969600000001E-3</v>
      </c>
      <c r="F163">
        <v>3.1449084899999999E-3</v>
      </c>
      <c r="G163">
        <v>3.1438604799999999E-3</v>
      </c>
      <c r="H163">
        <v>3.0934961199999998E-3</v>
      </c>
      <c r="I163">
        <v>3.1122553499999999E-3</v>
      </c>
      <c r="J163">
        <v>3.1151576799999998E-3</v>
      </c>
      <c r="K163">
        <v>2.9018912899999999E-3</v>
      </c>
      <c r="L163">
        <v>3.0035164499999998E-3</v>
      </c>
      <c r="M163">
        <v>3.1130022999999998E-3</v>
      </c>
      <c r="N163">
        <v>3.2337707000000002E-3</v>
      </c>
      <c r="O163">
        <v>3.3578631399999999E-3</v>
      </c>
      <c r="P163">
        <v>3.3746413299999998E-3</v>
      </c>
      <c r="Q163">
        <v>3.4520225699999998E-3</v>
      </c>
      <c r="R163">
        <v>3.5076337799999999E-3</v>
      </c>
      <c r="S163">
        <v>3.5242787400000001E-3</v>
      </c>
      <c r="T163">
        <v>3.5359363499999998E-3</v>
      </c>
      <c r="U163">
        <v>3.5484769199999999E-3</v>
      </c>
      <c r="V163">
        <v>3.55733955E-3</v>
      </c>
      <c r="W163">
        <v>3.56970832E-3</v>
      </c>
      <c r="X163">
        <v>3.5859712700000001E-3</v>
      </c>
      <c r="Y163">
        <v>3.60526942E-3</v>
      </c>
      <c r="Z163">
        <v>3.62687366E-3</v>
      </c>
      <c r="AA163">
        <v>3.6507033499999998E-3</v>
      </c>
      <c r="AB163">
        <v>3.6719035700000001E-3</v>
      </c>
      <c r="AC163">
        <v>3.6945286599999998E-3</v>
      </c>
      <c r="AD163">
        <v>3.7170323299999999E-3</v>
      </c>
      <c r="AE163">
        <v>3.73575139E-3</v>
      </c>
      <c r="AF163">
        <v>3.7588219000000002E-3</v>
      </c>
      <c r="AG163">
        <v>3.7805249999999999E-3</v>
      </c>
      <c r="AH163">
        <v>3.8020791700000001E-3</v>
      </c>
      <c r="AI163">
        <v>3.8239570899999999E-3</v>
      </c>
      <c r="AJ163">
        <v>3.8464066999999999E-3</v>
      </c>
      <c r="AK163">
        <v>3.8734755100000001E-3</v>
      </c>
      <c r="AL163">
        <v>3.8998677400000001E-3</v>
      </c>
      <c r="AM163">
        <v>3.9266617700000001E-3</v>
      </c>
      <c r="AN163">
        <v>3.9544443200000001E-3</v>
      </c>
      <c r="AO163">
        <v>3.9828356199999998E-3</v>
      </c>
      <c r="AP163">
        <v>3.9940137399999999E-3</v>
      </c>
      <c r="AQ163">
        <v>4.0147073399999997E-3</v>
      </c>
      <c r="AR163">
        <v>4.0393744400000001E-3</v>
      </c>
      <c r="AS163">
        <v>4.0659031700000002E-3</v>
      </c>
      <c r="AT163">
        <v>4.0947569900000001E-3</v>
      </c>
      <c r="AU163" s="60">
        <f t="shared" si="4"/>
        <v>4.6832299019708423E-10</v>
      </c>
    </row>
    <row r="164" spans="1:47">
      <c r="A164" t="s">
        <v>437</v>
      </c>
      <c r="B164">
        <v>1.1903617199999999E-2</v>
      </c>
      <c r="C164">
        <v>1.21748389E-2</v>
      </c>
      <c r="D164">
        <v>1.18175694E-2</v>
      </c>
      <c r="E164">
        <v>1.1077187400000001E-2</v>
      </c>
      <c r="F164">
        <v>1.14054398E-2</v>
      </c>
      <c r="G164">
        <v>1.1401639E-2</v>
      </c>
      <c r="H164">
        <v>1.1218985799999999E-2</v>
      </c>
      <c r="I164">
        <v>1.12870187E-2</v>
      </c>
      <c r="J164">
        <v>1.12975444E-2</v>
      </c>
      <c r="K164">
        <v>1.05241048E-2</v>
      </c>
      <c r="L164">
        <v>1.08926623E-2</v>
      </c>
      <c r="M164">
        <v>1.12897277E-2</v>
      </c>
      <c r="N164">
        <v>1.17277107E-2</v>
      </c>
      <c r="O164">
        <v>1.21777489E-2</v>
      </c>
      <c r="P164">
        <v>1.2238597299999999E-2</v>
      </c>
      <c r="Q164">
        <v>1.2519230900000001E-2</v>
      </c>
      <c r="R164">
        <v>1.27209126E-2</v>
      </c>
      <c r="S164">
        <v>1.2781277799999999E-2</v>
      </c>
      <c r="T164">
        <v>1.2823555699999999E-2</v>
      </c>
      <c r="U164">
        <v>1.2869035799999999E-2</v>
      </c>
      <c r="V164">
        <v>1.29011773E-2</v>
      </c>
      <c r="W164">
        <v>1.29460344E-2</v>
      </c>
      <c r="X164">
        <v>1.30050142E-2</v>
      </c>
      <c r="Y164">
        <v>1.3075001500000001E-2</v>
      </c>
      <c r="Z164">
        <v>1.3153352300000001E-2</v>
      </c>
      <c r="AA164">
        <v>1.32397739E-2</v>
      </c>
      <c r="AB164">
        <v>1.33166594E-2</v>
      </c>
      <c r="AC164">
        <v>1.3398712300000001E-2</v>
      </c>
      <c r="AD164">
        <v>1.3480325E-2</v>
      </c>
      <c r="AE164">
        <v>1.35482122E-2</v>
      </c>
      <c r="AF164">
        <v>1.36318806E-2</v>
      </c>
      <c r="AG164">
        <v>1.3710589800000001E-2</v>
      </c>
      <c r="AH164">
        <v>1.37887589E-2</v>
      </c>
      <c r="AI164">
        <v>1.3868102199999999E-2</v>
      </c>
      <c r="AJ164">
        <v>1.39495188E-2</v>
      </c>
      <c r="AK164">
        <v>1.4047687499999999E-2</v>
      </c>
      <c r="AL164">
        <v>1.41434026E-2</v>
      </c>
      <c r="AM164">
        <v>1.4240574799999999E-2</v>
      </c>
      <c r="AN164">
        <v>1.4341332E-2</v>
      </c>
      <c r="AO164">
        <v>1.44442969E-2</v>
      </c>
      <c r="AP164">
        <v>1.44848359E-2</v>
      </c>
      <c r="AQ164">
        <v>1.4559884E-2</v>
      </c>
      <c r="AR164">
        <v>1.46493426E-2</v>
      </c>
      <c r="AS164">
        <v>1.4745552699999999E-2</v>
      </c>
      <c r="AT164">
        <v>1.4850195E-2</v>
      </c>
      <c r="AU164" s="60">
        <f t="shared" si="4"/>
        <v>1.7177854000349768E-9</v>
      </c>
    </row>
    <row r="165" spans="1:47">
      <c r="A165" t="s">
        <v>438</v>
      </c>
      <c r="B165">
        <v>1042.9472069999999</v>
      </c>
      <c r="C165">
        <v>1066.710566</v>
      </c>
      <c r="D165">
        <v>1035.4080469999999</v>
      </c>
      <c r="E165">
        <v>970.53874089999999</v>
      </c>
      <c r="F165">
        <v>999.29890379999995</v>
      </c>
      <c r="G165">
        <v>998.96589459999996</v>
      </c>
      <c r="H165">
        <v>982.96255189999999</v>
      </c>
      <c r="I165">
        <v>988.92332350000004</v>
      </c>
      <c r="J165">
        <v>989.84554160000005</v>
      </c>
      <c r="K165">
        <v>922.07985980000001</v>
      </c>
      <c r="L165">
        <v>954.37139179999997</v>
      </c>
      <c r="M165">
        <v>989.16066809999995</v>
      </c>
      <c r="N165">
        <v>1027.5349900000001</v>
      </c>
      <c r="O165">
        <v>1066.9655290000001</v>
      </c>
      <c r="P165">
        <v>1072.2968209999999</v>
      </c>
      <c r="Q165">
        <v>1096.8848149999999</v>
      </c>
      <c r="R165">
        <v>1114.5553520000001</v>
      </c>
      <c r="S165">
        <v>1119.8443110000001</v>
      </c>
      <c r="T165">
        <v>1123.5485309999999</v>
      </c>
      <c r="U165">
        <v>1127.533314</v>
      </c>
      <c r="V165">
        <v>1130.349426</v>
      </c>
      <c r="W165">
        <v>1134.27962</v>
      </c>
      <c r="X165">
        <v>1139.4471940000001</v>
      </c>
      <c r="Y165">
        <v>1145.579207</v>
      </c>
      <c r="Z165">
        <v>1152.443984</v>
      </c>
      <c r="AA165">
        <v>1160.015899</v>
      </c>
      <c r="AB165">
        <v>1166.7522980000001</v>
      </c>
      <c r="AC165">
        <v>1173.9414509999999</v>
      </c>
      <c r="AD165">
        <v>1181.0920229999999</v>
      </c>
      <c r="AE165">
        <v>1187.0400299999999</v>
      </c>
      <c r="AF165">
        <v>1194.370715</v>
      </c>
      <c r="AG165">
        <v>1201.266905</v>
      </c>
      <c r="AH165">
        <v>1208.115769</v>
      </c>
      <c r="AI165">
        <v>1215.0675080000001</v>
      </c>
      <c r="AJ165">
        <v>1222.2009029999999</v>
      </c>
      <c r="AK165">
        <v>1230.8020529999999</v>
      </c>
      <c r="AL165">
        <v>1239.1882210000001</v>
      </c>
      <c r="AM165">
        <v>1247.7020600000001</v>
      </c>
      <c r="AN165">
        <v>1256.5300010000001</v>
      </c>
      <c r="AO165">
        <v>1265.551375</v>
      </c>
      <c r="AP165">
        <v>1269.1032379999999</v>
      </c>
      <c r="AQ165">
        <v>1275.6786589999999</v>
      </c>
      <c r="AR165">
        <v>1283.51666</v>
      </c>
      <c r="AS165">
        <v>1291.9462020000001</v>
      </c>
      <c r="AT165">
        <v>1301.1145409999999</v>
      </c>
      <c r="AU165" s="60">
        <f t="shared" si="4"/>
        <v>1.4881957986290217E-4</v>
      </c>
    </row>
    <row r="166" spans="1:47">
      <c r="A166" t="s">
        <v>439</v>
      </c>
      <c r="B166">
        <v>1.6425665089999999</v>
      </c>
      <c r="C166">
        <v>1.679992084</v>
      </c>
      <c r="D166">
        <v>1.6306928780000001</v>
      </c>
      <c r="E166">
        <v>1.528528406</v>
      </c>
      <c r="F166">
        <v>1.573823585</v>
      </c>
      <c r="G166">
        <v>1.5732991199999999</v>
      </c>
      <c r="H166">
        <v>1.548095011</v>
      </c>
      <c r="I166">
        <v>1.5574827950000001</v>
      </c>
      <c r="J166">
        <v>1.5589352219999999</v>
      </c>
      <c r="K166">
        <v>1.4522091690000001</v>
      </c>
      <c r="L166">
        <v>1.5030659989999999</v>
      </c>
      <c r="M166">
        <v>1.5578565959999999</v>
      </c>
      <c r="N166">
        <v>1.618293381</v>
      </c>
      <c r="O166">
        <v>1.6803936319999999</v>
      </c>
      <c r="P166">
        <v>1.688790032</v>
      </c>
      <c r="Q166">
        <v>1.727514346</v>
      </c>
      <c r="R166">
        <v>1.755344164</v>
      </c>
      <c r="S166">
        <v>1.7636738919999999</v>
      </c>
      <c r="T166">
        <v>1.769507773</v>
      </c>
      <c r="U166">
        <v>1.775783517</v>
      </c>
      <c r="V166">
        <v>1.7802186900000001</v>
      </c>
      <c r="W166">
        <v>1.786408462</v>
      </c>
      <c r="X166">
        <v>1.794547018</v>
      </c>
      <c r="Y166">
        <v>1.804204495</v>
      </c>
      <c r="Z166">
        <v>1.8150160230000001</v>
      </c>
      <c r="AA166">
        <v>1.826941242</v>
      </c>
      <c r="AB166">
        <v>1.8375505839999999</v>
      </c>
      <c r="AC166">
        <v>1.8488729800000001</v>
      </c>
      <c r="AD166">
        <v>1.860134615</v>
      </c>
      <c r="AE166">
        <v>1.8695022969999999</v>
      </c>
      <c r="AF166">
        <v>1.8810475959999999</v>
      </c>
      <c r="AG166">
        <v>1.8919085959999999</v>
      </c>
      <c r="AH166">
        <v>1.902695064</v>
      </c>
      <c r="AI166">
        <v>1.9136435490000001</v>
      </c>
      <c r="AJ166">
        <v>1.924878131</v>
      </c>
      <c r="AK166">
        <v>1.9384243210000001</v>
      </c>
      <c r="AL166">
        <v>1.9516319289999999</v>
      </c>
      <c r="AM166">
        <v>1.965040611</v>
      </c>
      <c r="AN166">
        <v>1.978943981</v>
      </c>
      <c r="AO166">
        <v>1.9931519929999999</v>
      </c>
      <c r="AP166">
        <v>1.998745921</v>
      </c>
      <c r="AQ166">
        <v>2.0091017330000001</v>
      </c>
      <c r="AR166">
        <v>2.02144602</v>
      </c>
      <c r="AS166">
        <v>2.0347219380000001</v>
      </c>
      <c r="AT166">
        <v>2.049161411</v>
      </c>
      <c r="AU166" s="60">
        <f t="shared" si="4"/>
        <v>2.3400657989114393E-7</v>
      </c>
    </row>
    <row r="167" spans="1:47">
      <c r="A167" t="s">
        <v>440</v>
      </c>
      <c r="B167">
        <v>29.098173540000001</v>
      </c>
      <c r="C167">
        <v>29.761170060000001</v>
      </c>
      <c r="D167">
        <v>28.887831380000002</v>
      </c>
      <c r="E167">
        <v>27.077981059999999</v>
      </c>
      <c r="F167">
        <v>27.88038813</v>
      </c>
      <c r="G167">
        <v>27.87109719</v>
      </c>
      <c r="H167">
        <v>27.42460475</v>
      </c>
      <c r="I167">
        <v>27.590909969999998</v>
      </c>
      <c r="J167">
        <v>27.616639809999999</v>
      </c>
      <c r="K167">
        <v>25.72598077</v>
      </c>
      <c r="L167">
        <v>26.62691285</v>
      </c>
      <c r="M167">
        <v>27.597531879999998</v>
      </c>
      <c r="N167">
        <v>28.66817348</v>
      </c>
      <c r="O167">
        <v>29.76828351</v>
      </c>
      <c r="P167">
        <v>29.917026289999999</v>
      </c>
      <c r="Q167">
        <v>30.603030050000001</v>
      </c>
      <c r="R167">
        <v>31.096037110000001</v>
      </c>
      <c r="S167">
        <v>31.24359879</v>
      </c>
      <c r="T167">
        <v>31.34694636</v>
      </c>
      <c r="U167">
        <v>31.45812158</v>
      </c>
      <c r="V167">
        <v>31.536690960000001</v>
      </c>
      <c r="W167">
        <v>31.64634319</v>
      </c>
      <c r="X167">
        <v>31.79051823</v>
      </c>
      <c r="Y167">
        <v>31.961601080000001</v>
      </c>
      <c r="Z167">
        <v>32.153128000000002</v>
      </c>
      <c r="AA167">
        <v>32.364384049999998</v>
      </c>
      <c r="AB167">
        <v>32.552329239999999</v>
      </c>
      <c r="AC167">
        <v>32.752906230000001</v>
      </c>
      <c r="AD167">
        <v>32.952406830000001</v>
      </c>
      <c r="AE167">
        <v>33.118355919999999</v>
      </c>
      <c r="AF167">
        <v>33.322881649999999</v>
      </c>
      <c r="AG167">
        <v>33.515284989999998</v>
      </c>
      <c r="AH167">
        <v>33.706367970000002</v>
      </c>
      <c r="AI167">
        <v>33.90032111</v>
      </c>
      <c r="AJ167">
        <v>34.099342460000003</v>
      </c>
      <c r="AK167">
        <v>34.339314109999997</v>
      </c>
      <c r="AL167">
        <v>34.573287759999999</v>
      </c>
      <c r="AM167">
        <v>34.810823429999999</v>
      </c>
      <c r="AN167">
        <v>35.057122540000002</v>
      </c>
      <c r="AO167">
        <v>35.308818410000001</v>
      </c>
      <c r="AP167">
        <v>35.40791522</v>
      </c>
      <c r="AQ167">
        <v>35.591369110000002</v>
      </c>
      <c r="AR167">
        <v>35.810048950000002</v>
      </c>
      <c r="AS167">
        <v>36.045232720000001</v>
      </c>
      <c r="AT167">
        <v>36.30102892</v>
      </c>
      <c r="AU167" s="60">
        <f t="shared" si="4"/>
        <v>4.1412938998064419E-6</v>
      </c>
    </row>
    <row r="168" spans="1:47">
      <c r="A168" t="s">
        <v>333</v>
      </c>
      <c r="B168">
        <v>271.41500000000002</v>
      </c>
      <c r="C168">
        <v>271.41500000000002</v>
      </c>
      <c r="D168">
        <v>271.41500000000002</v>
      </c>
      <c r="E168">
        <v>271.41500000000002</v>
      </c>
      <c r="F168">
        <v>271.41500000000002</v>
      </c>
      <c r="G168">
        <v>271.41500000000002</v>
      </c>
      <c r="H168">
        <v>271.41500000000002</v>
      </c>
      <c r="I168">
        <v>271.41500000000002</v>
      </c>
      <c r="J168">
        <v>271.41500000000002</v>
      </c>
      <c r="K168">
        <v>271.41500000000002</v>
      </c>
      <c r="L168">
        <v>271.41500000000002</v>
      </c>
      <c r="M168">
        <v>271.41500000000002</v>
      </c>
      <c r="N168">
        <v>271.41500000000002</v>
      </c>
      <c r="O168">
        <v>271.41500000000002</v>
      </c>
      <c r="P168">
        <v>271.41500000000002</v>
      </c>
      <c r="Q168">
        <v>260.02895995842499</v>
      </c>
      <c r="R168">
        <v>251.42503920543601</v>
      </c>
      <c r="S168">
        <v>238.99718555649801</v>
      </c>
      <c r="T168">
        <v>238.99718555649801</v>
      </c>
      <c r="U168">
        <v>238.99718555649801</v>
      </c>
      <c r="V168">
        <v>238.99718555649801</v>
      </c>
      <c r="W168">
        <v>238.99718555649801</v>
      </c>
      <c r="X168">
        <v>238.99718555649801</v>
      </c>
      <c r="Y168">
        <v>238.99718555649801</v>
      </c>
      <c r="Z168">
        <v>238.99718555649801</v>
      </c>
      <c r="AA168">
        <v>238.99718555649801</v>
      </c>
      <c r="AB168">
        <v>238.99718555649801</v>
      </c>
      <c r="AC168">
        <v>238.99718555649801</v>
      </c>
      <c r="AD168">
        <v>238.99718555649801</v>
      </c>
      <c r="AE168">
        <v>238.99718555649801</v>
      </c>
      <c r="AF168">
        <v>238.99718555649801</v>
      </c>
      <c r="AG168">
        <v>238.99718555649801</v>
      </c>
      <c r="AH168">
        <v>238.99718555649801</v>
      </c>
      <c r="AI168">
        <v>238.99718555649801</v>
      </c>
      <c r="AJ168">
        <v>238.99718555649801</v>
      </c>
      <c r="AK168">
        <v>238.99718555649801</v>
      </c>
      <c r="AL168">
        <v>238.99718555649801</v>
      </c>
      <c r="AM168">
        <v>238.99718555649801</v>
      </c>
      <c r="AN168">
        <v>238.99718555649801</v>
      </c>
      <c r="AO168">
        <v>238.99718555649801</v>
      </c>
      <c r="AP168">
        <v>238.99718555649801</v>
      </c>
      <c r="AQ168">
        <v>238.99718555649801</v>
      </c>
      <c r="AR168">
        <v>238.99718555649801</v>
      </c>
      <c r="AS168">
        <v>238.99718555649801</v>
      </c>
      <c r="AT168">
        <v>238.99718555649801</v>
      </c>
      <c r="AU168" s="60">
        <f t="shared" si="4"/>
        <v>0</v>
      </c>
    </row>
    <row r="169" spans="1:47">
      <c r="A169" t="s">
        <v>334</v>
      </c>
      <c r="B169">
        <v>499.55500000000001</v>
      </c>
      <c r="C169">
        <v>499.55500000000001</v>
      </c>
      <c r="D169">
        <v>499.55500000000001</v>
      </c>
      <c r="E169">
        <v>499.55500000000001</v>
      </c>
      <c r="F169">
        <v>499.55500000000001</v>
      </c>
      <c r="G169">
        <v>499.55500000000001</v>
      </c>
      <c r="H169">
        <v>499.55500000000001</v>
      </c>
      <c r="I169">
        <v>499.55500000000001</v>
      </c>
      <c r="J169">
        <v>499.55500000000001</v>
      </c>
      <c r="K169">
        <v>499.55500000000001</v>
      </c>
      <c r="L169">
        <v>499.55500000000001</v>
      </c>
      <c r="M169">
        <v>499.55500000000001</v>
      </c>
      <c r="N169">
        <v>499.55500000000001</v>
      </c>
      <c r="O169">
        <v>499.55500000000001</v>
      </c>
      <c r="P169">
        <v>499.55500000000001</v>
      </c>
      <c r="Q169">
        <v>457.44337092094997</v>
      </c>
      <c r="R169">
        <v>441.42045454545399</v>
      </c>
      <c r="S169">
        <v>419.60119253370198</v>
      </c>
      <c r="T169">
        <v>411.32473654986399</v>
      </c>
      <c r="U169">
        <v>385.63490563644598</v>
      </c>
      <c r="V169">
        <v>374.25916637837901</v>
      </c>
      <c r="W169">
        <v>364.02100104611901</v>
      </c>
      <c r="X169">
        <v>354.80665224708503</v>
      </c>
      <c r="Y169">
        <v>346.51373832795502</v>
      </c>
      <c r="Z169">
        <v>339.05011580073699</v>
      </c>
      <c r="AA169">
        <v>332.33285552624102</v>
      </c>
      <c r="AB169">
        <v>326.287321279195</v>
      </c>
      <c r="AC169">
        <v>322.62240935427099</v>
      </c>
      <c r="AD169">
        <v>318.95749742934697</v>
      </c>
      <c r="AE169">
        <v>315.29258550442199</v>
      </c>
      <c r="AF169">
        <v>313.09363834946799</v>
      </c>
      <c r="AG169">
        <v>310.894691194514</v>
      </c>
      <c r="AH169">
        <v>308.69574403955897</v>
      </c>
      <c r="AI169">
        <v>306.49679688460498</v>
      </c>
      <c r="AJ169">
        <v>304.29784972965001</v>
      </c>
      <c r="AK169">
        <v>302.09890257469601</v>
      </c>
      <c r="AL169">
        <v>299.89995541974099</v>
      </c>
      <c r="AM169">
        <v>297.70100826478699</v>
      </c>
      <c r="AN169">
        <v>295.50206110983203</v>
      </c>
      <c r="AO169">
        <v>293.30311395487797</v>
      </c>
      <c r="AP169">
        <v>291.10416679992301</v>
      </c>
      <c r="AQ169">
        <v>288.90521964496901</v>
      </c>
      <c r="AR169">
        <v>286.70627249001399</v>
      </c>
      <c r="AS169">
        <v>284.50732533505999</v>
      </c>
      <c r="AT169">
        <v>282.30837818010502</v>
      </c>
      <c r="AU169" s="60">
        <f t="shared" si="4"/>
        <v>0</v>
      </c>
    </row>
    <row r="170" spans="1:47">
      <c r="A170" t="s">
        <v>335</v>
      </c>
      <c r="B170">
        <v>311.39499999999998</v>
      </c>
      <c r="C170">
        <v>311.39499999999998</v>
      </c>
      <c r="D170">
        <v>311.39499999999998</v>
      </c>
      <c r="E170">
        <v>311.39499999999998</v>
      </c>
      <c r="F170">
        <v>311.39499999999998</v>
      </c>
      <c r="G170">
        <v>311.39499999999998</v>
      </c>
      <c r="H170">
        <v>311.39499999999998</v>
      </c>
      <c r="I170">
        <v>311.39499999999998</v>
      </c>
      <c r="J170">
        <v>311.39499999999998</v>
      </c>
      <c r="K170">
        <v>311.39499999999998</v>
      </c>
      <c r="L170">
        <v>311.39499999999998</v>
      </c>
      <c r="M170">
        <v>311.39499999999998</v>
      </c>
      <c r="N170">
        <v>311.39499999999998</v>
      </c>
      <c r="O170">
        <v>311.39499999999998</v>
      </c>
      <c r="P170">
        <v>311.39499999999998</v>
      </c>
      <c r="Q170">
        <v>298.85483720077002</v>
      </c>
      <c r="R170">
        <v>290.3</v>
      </c>
      <c r="S170">
        <v>275.95057034220503</v>
      </c>
      <c r="T170">
        <v>275.95057034220503</v>
      </c>
      <c r="U170">
        <v>275.95057034220503</v>
      </c>
      <c r="V170">
        <v>275.95057034220503</v>
      </c>
      <c r="W170">
        <v>275.95057034220503</v>
      </c>
      <c r="X170">
        <v>275.95057034220503</v>
      </c>
      <c r="Y170">
        <v>275.95057034220503</v>
      </c>
      <c r="Z170">
        <v>275.95057034220503</v>
      </c>
      <c r="AA170">
        <v>275.95057034220503</v>
      </c>
      <c r="AB170">
        <v>275.95057034220503</v>
      </c>
      <c r="AC170">
        <v>275.95057034220503</v>
      </c>
      <c r="AD170">
        <v>275.95057034220503</v>
      </c>
      <c r="AE170">
        <v>275.95057034220503</v>
      </c>
      <c r="AF170">
        <v>275.95057034220503</v>
      </c>
      <c r="AG170">
        <v>275.95057034220503</v>
      </c>
      <c r="AH170">
        <v>275.95057034220503</v>
      </c>
      <c r="AI170">
        <v>275.95057034220503</v>
      </c>
      <c r="AJ170">
        <v>275.95057034220503</v>
      </c>
      <c r="AK170">
        <v>275.95057034220503</v>
      </c>
      <c r="AL170">
        <v>275.95057034220503</v>
      </c>
      <c r="AM170">
        <v>275.95057034220503</v>
      </c>
      <c r="AN170">
        <v>275.95057034220503</v>
      </c>
      <c r="AO170">
        <v>275.95057034220503</v>
      </c>
      <c r="AP170">
        <v>275.95057034220503</v>
      </c>
      <c r="AQ170">
        <v>275.95057034220503</v>
      </c>
      <c r="AR170">
        <v>275.95057034220503</v>
      </c>
      <c r="AS170">
        <v>275.95057034220503</v>
      </c>
      <c r="AT170">
        <v>275.95057034220503</v>
      </c>
      <c r="AU170" s="60">
        <f t="shared" si="4"/>
        <v>0</v>
      </c>
    </row>
    <row r="171" spans="1:47">
      <c r="A171" t="s">
        <v>298</v>
      </c>
      <c r="B171">
        <v>1613.000229</v>
      </c>
      <c r="C171">
        <v>1649.752142</v>
      </c>
      <c r="D171">
        <v>1601.340324</v>
      </c>
      <c r="E171">
        <v>1501.0148180000001</v>
      </c>
      <c r="F171">
        <v>1545.494682</v>
      </c>
      <c r="G171">
        <v>1544.9796570000001</v>
      </c>
      <c r="H171">
        <v>1520.229223</v>
      </c>
      <c r="I171">
        <v>1529.4480269999999</v>
      </c>
      <c r="J171">
        <v>1530.874311</v>
      </c>
      <c r="K171">
        <v>1426.0693309999999</v>
      </c>
      <c r="L171">
        <v>1476.010736</v>
      </c>
      <c r="M171">
        <v>1529.8151</v>
      </c>
      <c r="N171">
        <v>1589.1640190000001</v>
      </c>
      <c r="O171">
        <v>1650.146463</v>
      </c>
      <c r="P171">
        <v>1658.3917269999999</v>
      </c>
      <c r="Q171">
        <v>1696.419001</v>
      </c>
      <c r="R171">
        <v>1723.7478819999999</v>
      </c>
      <c r="S171">
        <v>1731.927674</v>
      </c>
      <c r="T171">
        <v>1737.6565439999999</v>
      </c>
      <c r="U171">
        <v>1743.8193249999999</v>
      </c>
      <c r="V171">
        <v>1748.1746639999999</v>
      </c>
      <c r="W171">
        <v>1754.253021</v>
      </c>
      <c r="X171">
        <v>1762.2450819999999</v>
      </c>
      <c r="Y171">
        <v>1771.7287240000001</v>
      </c>
      <c r="Z171">
        <v>1782.3456430000001</v>
      </c>
      <c r="AA171">
        <v>1794.0562090000001</v>
      </c>
      <c r="AB171">
        <v>1804.4745820000001</v>
      </c>
      <c r="AC171">
        <v>1815.5931740000001</v>
      </c>
      <c r="AD171">
        <v>1826.6520989999999</v>
      </c>
      <c r="AE171">
        <v>1835.8511619999999</v>
      </c>
      <c r="AF171">
        <v>1847.188645</v>
      </c>
      <c r="AG171">
        <v>1857.854147</v>
      </c>
      <c r="AH171">
        <v>1868.446457</v>
      </c>
      <c r="AI171">
        <v>1879.19787</v>
      </c>
      <c r="AJ171">
        <v>1890.2302279999999</v>
      </c>
      <c r="AK171">
        <v>1903.532586</v>
      </c>
      <c r="AL171">
        <v>1916.502457</v>
      </c>
      <c r="AM171">
        <v>1929.6697819999999</v>
      </c>
      <c r="AN171">
        <v>1943.3228899999999</v>
      </c>
      <c r="AO171">
        <v>1957.275157</v>
      </c>
      <c r="AP171">
        <v>1962.7683950000001</v>
      </c>
      <c r="AQ171">
        <v>1972.9378019999999</v>
      </c>
      <c r="AR171">
        <v>1985.05989</v>
      </c>
      <c r="AS171">
        <v>1998.0968419999999</v>
      </c>
      <c r="AT171">
        <v>2012.2764030000001</v>
      </c>
      <c r="AU171" s="60">
        <f t="shared" si="4"/>
        <v>2.2899999999026477E-4</v>
      </c>
    </row>
    <row r="172" spans="1:47">
      <c r="A172" t="s">
        <v>441</v>
      </c>
      <c r="B172">
        <v>1407.0001999999999</v>
      </c>
      <c r="C172">
        <v>1439.05844</v>
      </c>
      <c r="D172">
        <v>1396.8294089999999</v>
      </c>
      <c r="E172">
        <v>1309.3167080000001</v>
      </c>
      <c r="F172">
        <v>1348.1159439999999</v>
      </c>
      <c r="G172">
        <v>1347.666694</v>
      </c>
      <c r="H172">
        <v>1326.077196</v>
      </c>
      <c r="I172">
        <v>1334.118645</v>
      </c>
      <c r="J172">
        <v>1335.3627739999999</v>
      </c>
      <c r="K172">
        <v>1243.9426840000001</v>
      </c>
      <c r="L172">
        <v>1287.5059550000001</v>
      </c>
      <c r="M172">
        <v>1334.438838</v>
      </c>
      <c r="N172">
        <v>1386.2081679999999</v>
      </c>
      <c r="O172">
        <v>1439.4024010000001</v>
      </c>
      <c r="P172">
        <v>1446.594644</v>
      </c>
      <c r="Q172">
        <v>1479.7653660000001</v>
      </c>
      <c r="R172">
        <v>1503.6040109999999</v>
      </c>
      <c r="S172">
        <v>1510.739143</v>
      </c>
      <c r="T172">
        <v>1515.7363660000001</v>
      </c>
      <c r="U172">
        <v>1521.112083</v>
      </c>
      <c r="V172">
        <v>1524.911192</v>
      </c>
      <c r="W172">
        <v>1530.2132670000001</v>
      </c>
      <c r="X172">
        <v>1537.1846430000001</v>
      </c>
      <c r="Y172">
        <v>1545.4571080000001</v>
      </c>
      <c r="Z172">
        <v>1554.718116</v>
      </c>
      <c r="AA172">
        <v>1564.9330970000001</v>
      </c>
      <c r="AB172">
        <v>1574.0209150000001</v>
      </c>
      <c r="AC172">
        <v>1583.719527</v>
      </c>
      <c r="AD172">
        <v>1593.36609</v>
      </c>
      <c r="AE172">
        <v>1601.3903190000001</v>
      </c>
      <c r="AF172">
        <v>1611.2798660000001</v>
      </c>
      <c r="AG172">
        <v>1620.5832519999999</v>
      </c>
      <c r="AH172">
        <v>1629.822793</v>
      </c>
      <c r="AI172">
        <v>1639.201118</v>
      </c>
      <c r="AJ172">
        <v>1648.8245079999999</v>
      </c>
      <c r="AK172">
        <v>1660.427991</v>
      </c>
      <c r="AL172">
        <v>1671.7414490000001</v>
      </c>
      <c r="AM172">
        <v>1683.227144</v>
      </c>
      <c r="AN172">
        <v>1695.1365820000001</v>
      </c>
      <c r="AO172">
        <v>1707.3069720000001</v>
      </c>
      <c r="AP172">
        <v>1712.0986559999999</v>
      </c>
      <c r="AQ172">
        <v>1720.969304</v>
      </c>
      <c r="AR172">
        <v>1731.5432519999999</v>
      </c>
      <c r="AS172">
        <v>1742.9152240000001</v>
      </c>
      <c r="AT172">
        <v>1755.28388</v>
      </c>
      <c r="AU172" s="60">
        <f t="shared" si="4"/>
        <v>1.9999999994979589E-4</v>
      </c>
    </row>
    <row r="173" spans="1:47">
      <c r="A173" t="s">
        <v>442</v>
      </c>
      <c r="B173">
        <v>143.00002029999999</v>
      </c>
      <c r="C173">
        <v>146.25824940000001</v>
      </c>
      <c r="D173">
        <v>141.9663152</v>
      </c>
      <c r="E173">
        <v>133.0719895</v>
      </c>
      <c r="F173">
        <v>137.01533760000001</v>
      </c>
      <c r="G173">
        <v>136.9696782</v>
      </c>
      <c r="H173">
        <v>134.77543639999999</v>
      </c>
      <c r="I173">
        <v>135.5927265</v>
      </c>
      <c r="J173">
        <v>135.7191732</v>
      </c>
      <c r="K173">
        <v>126.4277213</v>
      </c>
      <c r="L173">
        <v>130.85526050000001</v>
      </c>
      <c r="M173">
        <v>135.62526919999999</v>
      </c>
      <c r="N173">
        <v>140.8868287</v>
      </c>
      <c r="O173">
        <v>146.2932078</v>
      </c>
      <c r="P173">
        <v>147.0241891</v>
      </c>
      <c r="Q173">
        <v>150.39548490000001</v>
      </c>
      <c r="R173">
        <v>152.8183181</v>
      </c>
      <c r="S173">
        <v>153.54349500000001</v>
      </c>
      <c r="T173">
        <v>154.0513861</v>
      </c>
      <c r="U173">
        <v>154.5977455</v>
      </c>
      <c r="V173">
        <v>154.98386669999999</v>
      </c>
      <c r="W173">
        <v>155.5227415</v>
      </c>
      <c r="X173">
        <v>156.2312751</v>
      </c>
      <c r="Y173">
        <v>157.07204429999999</v>
      </c>
      <c r="Z173">
        <v>158.013284</v>
      </c>
      <c r="AA173">
        <v>159.0514804</v>
      </c>
      <c r="AB173">
        <v>159.97511789999999</v>
      </c>
      <c r="AC173">
        <v>160.9608332</v>
      </c>
      <c r="AD173">
        <v>161.9412586</v>
      </c>
      <c r="AE173">
        <v>162.7567986</v>
      </c>
      <c r="AF173">
        <v>163.7619196</v>
      </c>
      <c r="AG173">
        <v>164.7074662</v>
      </c>
      <c r="AH173">
        <v>165.64652409999999</v>
      </c>
      <c r="AI173">
        <v>166.59968710000001</v>
      </c>
      <c r="AJ173">
        <v>167.5777574</v>
      </c>
      <c r="AK173">
        <v>168.75707370000001</v>
      </c>
      <c r="AL173">
        <v>169.90691340000001</v>
      </c>
      <c r="AM173">
        <v>171.07425839999999</v>
      </c>
      <c r="AN173">
        <v>172.28467029999999</v>
      </c>
      <c r="AO173">
        <v>173.52160420000001</v>
      </c>
      <c r="AP173">
        <v>174.00860539999999</v>
      </c>
      <c r="AQ173">
        <v>174.9101709</v>
      </c>
      <c r="AR173">
        <v>175.9848508</v>
      </c>
      <c r="AS173">
        <v>177.14063759999999</v>
      </c>
      <c r="AT173">
        <v>178.39772199999999</v>
      </c>
      <c r="AU173" s="60">
        <f t="shared" si="4"/>
        <v>2.029999998853782E-5</v>
      </c>
    </row>
    <row r="174" spans="1:47">
      <c r="A174" t="s">
        <v>443</v>
      </c>
      <c r="B174">
        <v>63.000008960000002</v>
      </c>
      <c r="C174">
        <v>64.435452549999894</v>
      </c>
      <c r="D174">
        <v>62.544600389999999</v>
      </c>
      <c r="E174">
        <v>58.626121230000003</v>
      </c>
      <c r="F174">
        <v>60.363400470000002</v>
      </c>
      <c r="G174">
        <v>60.343284799999999</v>
      </c>
      <c r="H174">
        <v>59.37659086</v>
      </c>
      <c r="I174">
        <v>59.736655749999997</v>
      </c>
      <c r="J174">
        <v>59.792363029999997</v>
      </c>
      <c r="K174">
        <v>55.698926149999998</v>
      </c>
      <c r="L174">
        <v>57.649520379999998</v>
      </c>
      <c r="M174">
        <v>59.75099273</v>
      </c>
      <c r="N174">
        <v>62.069022439999998</v>
      </c>
      <c r="O174">
        <v>64.450853780000003</v>
      </c>
      <c r="P174">
        <v>64.772894489999999</v>
      </c>
      <c r="Q174">
        <v>66.258150700000002</v>
      </c>
      <c r="R174">
        <v>67.325552729999998</v>
      </c>
      <c r="S174">
        <v>67.645036259999998</v>
      </c>
      <c r="T174">
        <v>67.868792490000004</v>
      </c>
      <c r="U174">
        <v>68.10949626</v>
      </c>
      <c r="V174">
        <v>68.279605610000004</v>
      </c>
      <c r="W174">
        <v>68.517011969999999</v>
      </c>
      <c r="X174">
        <v>68.829163140000006</v>
      </c>
      <c r="Y174">
        <v>69.199571989999995</v>
      </c>
      <c r="Z174">
        <v>69.614243979999998</v>
      </c>
      <c r="AA174">
        <v>70.07163122</v>
      </c>
      <c r="AB174">
        <v>70.478548450000005</v>
      </c>
      <c r="AC174">
        <v>70.912814620000006</v>
      </c>
      <c r="AD174">
        <v>71.344750309999995</v>
      </c>
      <c r="AE174">
        <v>71.704044139999894</v>
      </c>
      <c r="AF174">
        <v>72.146859660000004</v>
      </c>
      <c r="AG174">
        <v>72.56342918</v>
      </c>
      <c r="AH174">
        <v>72.977140000000006</v>
      </c>
      <c r="AI174">
        <v>73.397064970000002</v>
      </c>
      <c r="AJ174">
        <v>73.82796304</v>
      </c>
      <c r="AK174">
        <v>74.347521979999996</v>
      </c>
      <c r="AL174">
        <v>74.85409473</v>
      </c>
      <c r="AM174">
        <v>75.368379570000002</v>
      </c>
      <c r="AN174">
        <v>75.901637989999998</v>
      </c>
      <c r="AO174">
        <v>76.446580859999997</v>
      </c>
      <c r="AP174">
        <v>76.661133840000005</v>
      </c>
      <c r="AQ174">
        <v>77.058327039999995</v>
      </c>
      <c r="AR174">
        <v>77.531787410000007</v>
      </c>
      <c r="AS174">
        <v>78.040980189999999</v>
      </c>
      <c r="AT174">
        <v>78.594800609999893</v>
      </c>
      <c r="AU174" s="60">
        <f t="shared" si="4"/>
        <v>8.960000002389279E-6</v>
      </c>
    </row>
    <row r="175" spans="1:47">
      <c r="A175" t="s">
        <v>290</v>
      </c>
      <c r="B175">
        <v>18011.049579999999</v>
      </c>
      <c r="C175">
        <v>18451.477760000002</v>
      </c>
      <c r="D175">
        <v>18939.723559999999</v>
      </c>
      <c r="E175">
        <v>19052.522280000001</v>
      </c>
      <c r="F175">
        <v>19295.075919999999</v>
      </c>
      <c r="G175">
        <v>19697.321499999998</v>
      </c>
      <c r="H175">
        <v>20024.939310000002</v>
      </c>
      <c r="I175">
        <v>20446.122960000001</v>
      </c>
      <c r="J175">
        <v>20836.65076</v>
      </c>
      <c r="K175">
        <v>21320.179540000001</v>
      </c>
      <c r="L175">
        <v>21415.87729</v>
      </c>
      <c r="M175">
        <v>21211.229080000001</v>
      </c>
      <c r="N175">
        <v>20809.339250000001</v>
      </c>
      <c r="O175">
        <v>20333.111789999999</v>
      </c>
      <c r="P175">
        <v>19916.47221</v>
      </c>
      <c r="Q175">
        <v>19564.78025</v>
      </c>
      <c r="R175">
        <v>19271.05169</v>
      </c>
      <c r="S175">
        <v>19020.227930000001</v>
      </c>
      <c r="T175">
        <v>18802.27678</v>
      </c>
      <c r="U175">
        <v>18614.347949999999</v>
      </c>
      <c r="V175">
        <v>18451.904829999999</v>
      </c>
      <c r="W175">
        <v>18312.74091</v>
      </c>
      <c r="X175">
        <v>18195.892469999999</v>
      </c>
      <c r="Y175">
        <v>18100.860410000001</v>
      </c>
      <c r="Z175">
        <v>18027.257369999999</v>
      </c>
      <c r="AA175">
        <v>17974.759910000001</v>
      </c>
      <c r="AB175">
        <v>17941.783820000001</v>
      </c>
      <c r="AC175">
        <v>17927.414100000002</v>
      </c>
      <c r="AD175">
        <v>17930.529879999998</v>
      </c>
      <c r="AE175">
        <v>17948.902699999999</v>
      </c>
      <c r="AF175">
        <v>17982.202120000002</v>
      </c>
      <c r="AG175">
        <v>18029.19975</v>
      </c>
      <c r="AH175">
        <v>18088.756689999998</v>
      </c>
      <c r="AI175">
        <v>18159.970789999999</v>
      </c>
      <c r="AJ175">
        <v>18242.1639</v>
      </c>
      <c r="AK175">
        <v>18336.219420000001</v>
      </c>
      <c r="AL175">
        <v>18441.949140000001</v>
      </c>
      <c r="AM175">
        <v>18559.099770000001</v>
      </c>
      <c r="AN175">
        <v>18687.552380000001</v>
      </c>
      <c r="AO175">
        <v>18827.09549</v>
      </c>
      <c r="AP175">
        <v>18972.40293</v>
      </c>
      <c r="AQ175">
        <v>19124.173750000002</v>
      </c>
      <c r="AR175">
        <v>19283.516660000001</v>
      </c>
      <c r="AS175">
        <v>19450.929120000001</v>
      </c>
      <c r="AT175">
        <v>19626.740010000001</v>
      </c>
      <c r="AU175" s="60">
        <f t="shared" si="4"/>
        <v>2.5506997189950198E-6</v>
      </c>
    </row>
    <row r="176" spans="1:47">
      <c r="A176" t="s">
        <v>293</v>
      </c>
      <c r="B176">
        <v>17204.00245</v>
      </c>
      <c r="C176">
        <v>17595.992470000001</v>
      </c>
      <c r="D176">
        <v>17079.639759999998</v>
      </c>
      <c r="E176">
        <v>16009.58396</v>
      </c>
      <c r="F176">
        <v>16483.999070000002</v>
      </c>
      <c r="G176">
        <v>16478.5059</v>
      </c>
      <c r="H176">
        <v>16214.52173</v>
      </c>
      <c r="I176">
        <v>16312.848019999999</v>
      </c>
      <c r="J176">
        <v>16328.060530000001</v>
      </c>
      <c r="K176">
        <v>15210.22739</v>
      </c>
      <c r="L176">
        <v>15742.894420000001</v>
      </c>
      <c r="M176">
        <v>16316.76316</v>
      </c>
      <c r="N176">
        <v>16949.769240000001</v>
      </c>
      <c r="O176">
        <v>17600.198230000002</v>
      </c>
      <c r="P176">
        <v>17688.140899999999</v>
      </c>
      <c r="Q176">
        <v>18093.73373</v>
      </c>
      <c r="R176">
        <v>18385.21919</v>
      </c>
      <c r="S176">
        <v>18472.46355</v>
      </c>
      <c r="T176">
        <v>18533.566760000002</v>
      </c>
      <c r="U176">
        <v>18599.297989999999</v>
      </c>
      <c r="V176">
        <v>18645.751349999999</v>
      </c>
      <c r="W176">
        <v>18710.582129999999</v>
      </c>
      <c r="X176">
        <v>18795.82417</v>
      </c>
      <c r="Y176">
        <v>18896.975180000001</v>
      </c>
      <c r="Z176">
        <v>19010.21355</v>
      </c>
      <c r="AA176">
        <v>19135.116559999999</v>
      </c>
      <c r="AB176">
        <v>19246.237260000002</v>
      </c>
      <c r="AC176">
        <v>19364.826389999998</v>
      </c>
      <c r="AD176">
        <v>19482.779119999999</v>
      </c>
      <c r="AE176">
        <v>19580.894850000001</v>
      </c>
      <c r="AF176">
        <v>19701.818630000002</v>
      </c>
      <c r="AG176">
        <v>19815.57517</v>
      </c>
      <c r="AH176">
        <v>19928.551060000002</v>
      </c>
      <c r="AI176">
        <v>20043.223900000001</v>
      </c>
      <c r="AJ176">
        <v>20160.89327</v>
      </c>
      <c r="AK176">
        <v>20302.774099999999</v>
      </c>
      <c r="AL176">
        <v>20441.108660000002</v>
      </c>
      <c r="AM176">
        <v>20581.54924</v>
      </c>
      <c r="AN176">
        <v>20727.171109999999</v>
      </c>
      <c r="AO176">
        <v>20875.983759999999</v>
      </c>
      <c r="AP176">
        <v>20934.573759999999</v>
      </c>
      <c r="AQ176">
        <v>21043.03902</v>
      </c>
      <c r="AR176">
        <v>21172.331279999999</v>
      </c>
      <c r="AS176">
        <v>21311.38132</v>
      </c>
      <c r="AT176">
        <v>21462.61825</v>
      </c>
      <c r="AU176" s="60">
        <f t="shared" si="4"/>
        <v>2.4499999999534339E-3</v>
      </c>
    </row>
    <row r="177" spans="1:47">
      <c r="A177" t="s">
        <v>340</v>
      </c>
      <c r="B177">
        <v>0.97993971982368999</v>
      </c>
      <c r="C177">
        <v>0.97993971982369099</v>
      </c>
      <c r="D177">
        <v>0.97993971982369099</v>
      </c>
      <c r="E177">
        <v>0.97993971982369099</v>
      </c>
      <c r="F177">
        <v>0.97993971982369099</v>
      </c>
      <c r="G177">
        <v>0.97993971982369099</v>
      </c>
      <c r="H177">
        <v>0.97993971982369099</v>
      </c>
      <c r="I177">
        <v>0.97993971982369099</v>
      </c>
      <c r="J177">
        <v>0.97993971982369099</v>
      </c>
      <c r="K177">
        <v>0.97993971982369099</v>
      </c>
      <c r="L177">
        <v>0.97993971982369099</v>
      </c>
      <c r="M177">
        <v>0.97993971982369099</v>
      </c>
      <c r="N177">
        <v>0.97993971982369099</v>
      </c>
      <c r="O177">
        <v>0.97993971982369099</v>
      </c>
      <c r="P177">
        <v>0.97993971982369099</v>
      </c>
      <c r="Q177">
        <v>0.97993971982369099</v>
      </c>
      <c r="R177">
        <v>0.97993971982369099</v>
      </c>
      <c r="S177">
        <v>0.97993971982369099</v>
      </c>
      <c r="T177">
        <v>0.94307773755340396</v>
      </c>
      <c r="U177">
        <v>0.90621575528311704</v>
      </c>
      <c r="V177">
        <v>0.86935377301283001</v>
      </c>
      <c r="W177">
        <v>0.83249179074254298</v>
      </c>
      <c r="X177">
        <v>0.79562980847225695</v>
      </c>
      <c r="Y177">
        <v>0.75876782620197003</v>
      </c>
      <c r="Z177">
        <v>0.721905843931683</v>
      </c>
      <c r="AA177">
        <v>0.68905905173509896</v>
      </c>
      <c r="AB177">
        <v>0.65621225953851503</v>
      </c>
      <c r="AC177">
        <v>0.62336546734192999</v>
      </c>
      <c r="AD177">
        <v>0.59051867514534595</v>
      </c>
      <c r="AE177">
        <v>0.55767188294876202</v>
      </c>
      <c r="AF177">
        <v>0.52482509075217798</v>
      </c>
      <c r="AG177">
        <v>0.491978298555594</v>
      </c>
      <c r="AH177">
        <v>0.45913150635901001</v>
      </c>
      <c r="AI177">
        <v>0.42628471416242603</v>
      </c>
      <c r="AJ177">
        <v>0.39343792196584099</v>
      </c>
      <c r="AK177">
        <v>0.360591129769257</v>
      </c>
      <c r="AL177">
        <v>0.32774433757267302</v>
      </c>
      <c r="AM177">
        <v>0.29489754537608898</v>
      </c>
      <c r="AN177">
        <v>0.26205075317950499</v>
      </c>
      <c r="AO177">
        <v>0.22920396098292101</v>
      </c>
      <c r="AP177">
        <v>0.19635716878633599</v>
      </c>
      <c r="AQ177">
        <v>0.16351037658975201</v>
      </c>
      <c r="AR177">
        <v>0.130663584393168</v>
      </c>
      <c r="AS177">
        <v>9.7816792196584401E-2</v>
      </c>
      <c r="AT177">
        <v>6.497E-2</v>
      </c>
      <c r="AU177" s="60">
        <f t="shared" si="4"/>
        <v>0</v>
      </c>
    </row>
    <row r="178" spans="1:47">
      <c r="A178" t="s">
        <v>341</v>
      </c>
      <c r="B178">
        <v>8.5284662488224906E-3</v>
      </c>
      <c r="C178">
        <v>8.5284662488224906E-3</v>
      </c>
      <c r="D178">
        <v>8.5284662488224906E-3</v>
      </c>
      <c r="E178">
        <v>8.5284662488224906E-3</v>
      </c>
      <c r="F178">
        <v>8.5284662488224906E-3</v>
      </c>
      <c r="G178">
        <v>8.5284662488224906E-3</v>
      </c>
      <c r="H178">
        <v>8.5284662488224906E-3</v>
      </c>
      <c r="I178">
        <v>8.5284662488224906E-3</v>
      </c>
      <c r="J178">
        <v>8.5284662488224906E-3</v>
      </c>
      <c r="K178">
        <v>8.5284662488224906E-3</v>
      </c>
      <c r="L178">
        <v>8.5284662488224906E-3</v>
      </c>
      <c r="M178">
        <v>8.5284662488224906E-3</v>
      </c>
      <c r="N178">
        <v>8.5284662488224906E-3</v>
      </c>
      <c r="O178">
        <v>8.5284662488224906E-3</v>
      </c>
      <c r="P178">
        <v>8.5284662488224906E-3</v>
      </c>
      <c r="Q178">
        <v>8.5284662488224906E-3</v>
      </c>
      <c r="R178">
        <v>8.5284662488224906E-3</v>
      </c>
      <c r="S178">
        <v>8.5284662488224906E-3</v>
      </c>
      <c r="T178">
        <v>2.8919351927795801E-2</v>
      </c>
      <c r="U178">
        <v>4.9310237606769003E-2</v>
      </c>
      <c r="V178">
        <v>6.9701123285742295E-2</v>
      </c>
      <c r="W178">
        <v>9.00920089647156E-2</v>
      </c>
      <c r="X178">
        <v>0.110482894643689</v>
      </c>
      <c r="Y178">
        <v>0.130873780322662</v>
      </c>
      <c r="Z178">
        <v>0.15126466600163499</v>
      </c>
      <c r="AA178">
        <v>0.181072932701553</v>
      </c>
      <c r="AB178">
        <v>0.21088119940147201</v>
      </c>
      <c r="AC178">
        <v>0.24068946610139</v>
      </c>
      <c r="AD178">
        <v>0.27049773280130801</v>
      </c>
      <c r="AE178">
        <v>0.300305999501226</v>
      </c>
      <c r="AF178">
        <v>0.33011426620114498</v>
      </c>
      <c r="AG178">
        <v>0.35992253290106302</v>
      </c>
      <c r="AH178">
        <v>0.389730799600981</v>
      </c>
      <c r="AI178">
        <v>0.41953906630089899</v>
      </c>
      <c r="AJ178">
        <v>0.44934733300081697</v>
      </c>
      <c r="AK178">
        <v>0.47915559970073601</v>
      </c>
      <c r="AL178">
        <v>0.50896386640065405</v>
      </c>
      <c r="AM178">
        <v>0.53877213310057204</v>
      </c>
      <c r="AN178">
        <v>0.56858039980049002</v>
      </c>
      <c r="AO178">
        <v>0.59838866650040801</v>
      </c>
      <c r="AP178">
        <v>0.62819693320032699</v>
      </c>
      <c r="AQ178">
        <v>0.65800519990024497</v>
      </c>
      <c r="AR178">
        <v>0.68781346660016296</v>
      </c>
      <c r="AS178">
        <v>0.71762173330008105</v>
      </c>
      <c r="AT178">
        <v>0.74743000000000004</v>
      </c>
      <c r="AU178" s="60">
        <f t="shared" si="4"/>
        <v>0</v>
      </c>
    </row>
    <row r="179" spans="1:47">
      <c r="A179" t="s">
        <v>342</v>
      </c>
      <c r="B179">
        <v>1.15318139274864E-2</v>
      </c>
      <c r="C179">
        <v>1.15318139274864E-2</v>
      </c>
      <c r="D179">
        <v>1.15318139274864E-2</v>
      </c>
      <c r="E179">
        <v>1.15318139274864E-2</v>
      </c>
      <c r="F179">
        <v>1.15318139274864E-2</v>
      </c>
      <c r="G179">
        <v>1.15318139274864E-2</v>
      </c>
      <c r="H179">
        <v>1.15318139274864E-2</v>
      </c>
      <c r="I179">
        <v>1.15318139274864E-2</v>
      </c>
      <c r="J179">
        <v>1.15318139274864E-2</v>
      </c>
      <c r="K179">
        <v>1.15318139274864E-2</v>
      </c>
      <c r="L179">
        <v>1.15318139274864E-2</v>
      </c>
      <c r="M179">
        <v>1.15318139274864E-2</v>
      </c>
      <c r="N179">
        <v>1.15318139274864E-2</v>
      </c>
      <c r="O179">
        <v>1.15318139274864E-2</v>
      </c>
      <c r="P179">
        <v>1.15318139274864E-2</v>
      </c>
      <c r="Q179">
        <v>1.15318139274864E-2</v>
      </c>
      <c r="R179">
        <v>1.15318139274864E-2</v>
      </c>
      <c r="S179">
        <v>1.15318139274864E-2</v>
      </c>
      <c r="T179">
        <v>2.8002910518799901E-2</v>
      </c>
      <c r="U179">
        <v>4.44740071101134E-2</v>
      </c>
      <c r="V179">
        <v>6.0945103701426903E-2</v>
      </c>
      <c r="W179">
        <v>7.7416200292740503E-2</v>
      </c>
      <c r="X179">
        <v>9.3887296884054006E-2</v>
      </c>
      <c r="Y179">
        <v>0.11035839347536699</v>
      </c>
      <c r="Z179">
        <v>0.12682949006668101</v>
      </c>
      <c r="AA179">
        <v>0.12986801556334701</v>
      </c>
      <c r="AB179">
        <v>0.13290654106001301</v>
      </c>
      <c r="AC179">
        <v>0.13594506655667801</v>
      </c>
      <c r="AD179">
        <v>0.13898359205334401</v>
      </c>
      <c r="AE179">
        <v>0.14202211755001001</v>
      </c>
      <c r="AF179">
        <v>0.14506064304667601</v>
      </c>
      <c r="AG179">
        <v>0.14809916854334201</v>
      </c>
      <c r="AH179">
        <v>0.15113769404000801</v>
      </c>
      <c r="AI179">
        <v>0.15417621953667399</v>
      </c>
      <c r="AJ179">
        <v>0.15721474503333999</v>
      </c>
      <c r="AK179">
        <v>0.16025327053000599</v>
      </c>
      <c r="AL179">
        <v>0.16329179602667199</v>
      </c>
      <c r="AM179">
        <v>0.16633032152333799</v>
      </c>
      <c r="AN179">
        <v>0.16936884702000399</v>
      </c>
      <c r="AO179">
        <v>0.17240737251666999</v>
      </c>
      <c r="AP179">
        <v>0.17544589801333599</v>
      </c>
      <c r="AQ179">
        <v>0.17848442351000199</v>
      </c>
      <c r="AR179">
        <v>0.18152294900666799</v>
      </c>
      <c r="AS179">
        <v>0.18456147450333399</v>
      </c>
      <c r="AT179">
        <v>0.18759999999999999</v>
      </c>
      <c r="AU179" s="60">
        <f t="shared" si="4"/>
        <v>0</v>
      </c>
    </row>
    <row r="180" spans="1:47">
      <c r="A180" t="s">
        <v>95</v>
      </c>
      <c r="B180">
        <v>1.1571606999999999</v>
      </c>
      <c r="C180">
        <v>1.183526393</v>
      </c>
      <c r="D180">
        <v>1.1487959249999999</v>
      </c>
      <c r="E180">
        <v>1.0768227589999999</v>
      </c>
      <c r="F180">
        <v>1.1087324569999999</v>
      </c>
      <c r="G180">
        <v>1.1083629800000001</v>
      </c>
      <c r="H180">
        <v>1.090607106</v>
      </c>
      <c r="I180">
        <v>1.097220643</v>
      </c>
      <c r="J180">
        <v>1.0982438539999999</v>
      </c>
      <c r="K180">
        <v>1.02305713</v>
      </c>
      <c r="L180">
        <v>1.058884918</v>
      </c>
      <c r="M180">
        <v>1.09748398</v>
      </c>
      <c r="N180">
        <v>1.140060686</v>
      </c>
      <c r="O180">
        <v>1.1838092769999999</v>
      </c>
      <c r="P180">
        <v>1.1897244010000001</v>
      </c>
      <c r="Q180">
        <v>1.217005034</v>
      </c>
      <c r="R180">
        <v>1.236610676</v>
      </c>
      <c r="S180">
        <v>1.2424788309999999</v>
      </c>
      <c r="T180">
        <v>1.2465887019999999</v>
      </c>
      <c r="U180">
        <v>1.2510098590000001</v>
      </c>
      <c r="V180">
        <v>1.254134364</v>
      </c>
      <c r="W180">
        <v>1.2584949560000001</v>
      </c>
      <c r="X180">
        <v>1.2642284319999999</v>
      </c>
      <c r="Y180">
        <v>1.2710319640000001</v>
      </c>
      <c r="Z180">
        <v>1.278648505</v>
      </c>
      <c r="AA180">
        <v>1.2870496229999999</v>
      </c>
      <c r="AB180">
        <v>1.2945237279999999</v>
      </c>
      <c r="AC180">
        <v>1.302500167</v>
      </c>
      <c r="AD180">
        <v>1.3104338010000001</v>
      </c>
      <c r="AE180">
        <v>1.317033176</v>
      </c>
      <c r="AF180">
        <v>1.325166646</v>
      </c>
      <c r="AG180">
        <v>1.33281804</v>
      </c>
      <c r="AH180">
        <v>1.3404169260000001</v>
      </c>
      <c r="AI180">
        <v>1.3481299520000001</v>
      </c>
      <c r="AJ180">
        <v>1.3560445270000001</v>
      </c>
      <c r="AK180">
        <v>1.365587592</v>
      </c>
      <c r="AL180">
        <v>1.374892132</v>
      </c>
      <c r="AM180">
        <v>1.384338324</v>
      </c>
      <c r="AN180">
        <v>1.3941330160000001</v>
      </c>
      <c r="AO180">
        <v>1.4041423239999999</v>
      </c>
      <c r="AP180">
        <v>1.408083153</v>
      </c>
      <c r="AQ180">
        <v>1.4153786500000001</v>
      </c>
      <c r="AR180">
        <v>1.4240749939999999</v>
      </c>
      <c r="AS180">
        <v>1.433427657</v>
      </c>
      <c r="AT180">
        <v>1.443600024</v>
      </c>
      <c r="AU180" s="60">
        <f t="shared" si="4"/>
        <v>3.9472003443563608E-10</v>
      </c>
    </row>
    <row r="181" spans="1:47">
      <c r="A181" t="s">
        <v>96</v>
      </c>
      <c r="B181">
        <v>0.28575115969999998</v>
      </c>
      <c r="C181">
        <v>0.29226194719999998</v>
      </c>
      <c r="D181">
        <v>0.2836855485</v>
      </c>
      <c r="E181">
        <v>0.26591237699999998</v>
      </c>
      <c r="F181">
        <v>0.27379221009999999</v>
      </c>
      <c r="G181">
        <v>0.2737009708</v>
      </c>
      <c r="H181">
        <v>0.26931630610000001</v>
      </c>
      <c r="I181">
        <v>0.27094946399999997</v>
      </c>
      <c r="J181">
        <v>0.27120213729999998</v>
      </c>
      <c r="K181">
        <v>0.25263540439999999</v>
      </c>
      <c r="L181">
        <v>0.26148277720000002</v>
      </c>
      <c r="M181">
        <v>0.2710144927</v>
      </c>
      <c r="N181">
        <v>0.28152845430000001</v>
      </c>
      <c r="O181">
        <v>0.292331803</v>
      </c>
      <c r="P181">
        <v>0.29379249340000002</v>
      </c>
      <c r="Q181">
        <v>0.30052921760000001</v>
      </c>
      <c r="R181">
        <v>0.3053706672</v>
      </c>
      <c r="S181">
        <v>0.30681975890000002</v>
      </c>
      <c r="T181">
        <v>0.30783465719999997</v>
      </c>
      <c r="U181">
        <v>0.308926425</v>
      </c>
      <c r="V181">
        <v>0.30969799549999999</v>
      </c>
      <c r="W181">
        <v>0.31077480709999999</v>
      </c>
      <c r="X181">
        <v>0.3121906411</v>
      </c>
      <c r="Y181">
        <v>0.31387071640000003</v>
      </c>
      <c r="Z181">
        <v>0.3157515575</v>
      </c>
      <c r="AA181">
        <v>0.31782614339999998</v>
      </c>
      <c r="AB181">
        <v>0.31967181099999997</v>
      </c>
      <c r="AC181">
        <v>0.3216415259</v>
      </c>
      <c r="AD181">
        <v>0.32360067050000002</v>
      </c>
      <c r="AE181">
        <v>0.32523033099999998</v>
      </c>
      <c r="AF181">
        <v>0.32723882360000001</v>
      </c>
      <c r="AG181">
        <v>0.3291282713</v>
      </c>
      <c r="AH181">
        <v>0.33100475270000002</v>
      </c>
      <c r="AI181">
        <v>0.3329094199</v>
      </c>
      <c r="AJ181">
        <v>0.33486385810000002</v>
      </c>
      <c r="AK181">
        <v>0.33722043819999997</v>
      </c>
      <c r="AL181">
        <v>0.33951811650000002</v>
      </c>
      <c r="AM181">
        <v>0.34185077470000003</v>
      </c>
      <c r="AN181">
        <v>0.34426949200000001</v>
      </c>
      <c r="AO181">
        <v>0.34674120679999998</v>
      </c>
      <c r="AP181">
        <v>0.34771436169999997</v>
      </c>
      <c r="AQ181">
        <v>0.3495159236</v>
      </c>
      <c r="AR181">
        <v>0.35166341299999998</v>
      </c>
      <c r="AS181">
        <v>0.35397297490000001</v>
      </c>
      <c r="AT181">
        <v>0.35648495600000002</v>
      </c>
      <c r="AU181" s="60">
        <f t="shared" si="4"/>
        <v>-1.6031009852923717E-11</v>
      </c>
    </row>
    <row r="182" spans="1:47">
      <c r="A182" t="s">
        <v>97</v>
      </c>
      <c r="B182">
        <v>2.57723352E-2</v>
      </c>
      <c r="C182">
        <v>2.6359553099999999E-2</v>
      </c>
      <c r="D182">
        <v>2.5586034600000002E-2</v>
      </c>
      <c r="E182">
        <v>2.3983045000000001E-2</v>
      </c>
      <c r="F182">
        <v>2.4693739199999998E-2</v>
      </c>
      <c r="G182">
        <v>2.46855102E-2</v>
      </c>
      <c r="H182">
        <v>2.4290050600000002E-2</v>
      </c>
      <c r="I182">
        <v>2.4437347599999999E-2</v>
      </c>
      <c r="J182">
        <v>2.4460136600000001E-2</v>
      </c>
      <c r="K182">
        <v>2.2785574499999999E-2</v>
      </c>
      <c r="L182">
        <v>2.3583532599999998E-2</v>
      </c>
      <c r="M182">
        <v>2.44432126E-2</v>
      </c>
      <c r="N182">
        <v>2.5391482900000002E-2</v>
      </c>
      <c r="O182">
        <v>2.6365853500000001E-2</v>
      </c>
      <c r="P182">
        <v>2.6497595400000001E-2</v>
      </c>
      <c r="Q182">
        <v>2.7105190899999999E-2</v>
      </c>
      <c r="R182">
        <v>2.75418487E-2</v>
      </c>
      <c r="S182">
        <v>2.76725445E-2</v>
      </c>
      <c r="T182">
        <v>2.7764079699999999E-2</v>
      </c>
      <c r="U182">
        <v>2.78625479E-2</v>
      </c>
      <c r="V182">
        <v>2.7932136999999999E-2</v>
      </c>
      <c r="W182">
        <v>2.8029256299999999E-2</v>
      </c>
      <c r="X182">
        <v>2.81569526E-2</v>
      </c>
      <c r="Y182">
        <v>2.8308481100000001E-2</v>
      </c>
      <c r="Z182">
        <v>2.8478117099999999E-2</v>
      </c>
      <c r="AA182">
        <v>2.8665227200000001E-2</v>
      </c>
      <c r="AB182">
        <v>2.8831690699999999E-2</v>
      </c>
      <c r="AC182">
        <v>2.9009342399999999E-2</v>
      </c>
      <c r="AD182">
        <v>2.9186040600000001E-2</v>
      </c>
      <c r="AE182">
        <v>2.9333022199999999E-2</v>
      </c>
      <c r="AF182">
        <v>2.9514171200000001E-2</v>
      </c>
      <c r="AG182">
        <v>2.9684583399999999E-2</v>
      </c>
      <c r="AH182">
        <v>2.9853826100000001E-2</v>
      </c>
      <c r="AI182">
        <v>3.0025611000000001E-2</v>
      </c>
      <c r="AJ182">
        <v>3.0201884799999999E-2</v>
      </c>
      <c r="AK182">
        <v>3.0414428300000001E-2</v>
      </c>
      <c r="AL182">
        <v>3.0621659499999999E-2</v>
      </c>
      <c r="AM182">
        <v>3.0832045499999999E-2</v>
      </c>
      <c r="AN182">
        <v>3.1050193300000001E-2</v>
      </c>
      <c r="AO182">
        <v>3.1273121100000002E-2</v>
      </c>
      <c r="AP182">
        <v>3.13608914E-2</v>
      </c>
      <c r="AQ182">
        <v>3.1523376999999998E-2</v>
      </c>
      <c r="AR182">
        <v>3.1717062400000003E-2</v>
      </c>
      <c r="AS182">
        <v>3.1925365300000001E-2</v>
      </c>
      <c r="AT182">
        <v>3.2151924700000001E-2</v>
      </c>
      <c r="AU182" s="60">
        <f t="shared" si="4"/>
        <v>2.4165010270582599E-12</v>
      </c>
    </row>
    <row r="183" spans="1:47">
      <c r="A183" s="25" t="s">
        <v>424</v>
      </c>
      <c r="B183">
        <v>8.0731311787142199E-2</v>
      </c>
      <c r="C183">
        <v>8.0731311787142199E-2</v>
      </c>
      <c r="D183">
        <v>8.0731311787142199E-2</v>
      </c>
      <c r="E183">
        <v>8.0731311787142199E-2</v>
      </c>
      <c r="F183">
        <v>8.0731311787142199E-2</v>
      </c>
      <c r="G183">
        <v>8.0731311787142199E-2</v>
      </c>
      <c r="H183">
        <v>8.0731311787142199E-2</v>
      </c>
      <c r="I183">
        <v>8.0731311787142199E-2</v>
      </c>
      <c r="J183">
        <v>8.0731311787142199E-2</v>
      </c>
      <c r="K183">
        <v>8.0731311787142199E-2</v>
      </c>
      <c r="L183">
        <v>8.0731311787142199E-2</v>
      </c>
      <c r="M183">
        <v>8.0731311787142199E-2</v>
      </c>
      <c r="N183">
        <v>8.0731311787142199E-2</v>
      </c>
      <c r="O183">
        <v>8.0731311787142199E-2</v>
      </c>
      <c r="P183">
        <v>8.0731311787142199E-2</v>
      </c>
      <c r="Q183">
        <v>8.0731311787142199E-2</v>
      </c>
      <c r="R183">
        <v>8.0731311787142199E-2</v>
      </c>
      <c r="S183">
        <v>8.0731311787142199E-2</v>
      </c>
      <c r="T183">
        <v>8.0731311787142199E-2</v>
      </c>
      <c r="U183">
        <v>8.0731311787142199E-2</v>
      </c>
      <c r="V183">
        <v>8.0731311787142199E-2</v>
      </c>
      <c r="W183">
        <v>8.0731311787142199E-2</v>
      </c>
      <c r="X183">
        <v>8.0731311787142199E-2</v>
      </c>
      <c r="Y183">
        <v>8.0731311787142199E-2</v>
      </c>
      <c r="Z183">
        <v>8.0731311787142199E-2</v>
      </c>
      <c r="AA183">
        <v>8.0731311787142199E-2</v>
      </c>
      <c r="AB183">
        <v>8.0731311787142199E-2</v>
      </c>
      <c r="AC183">
        <v>8.0731311787142199E-2</v>
      </c>
      <c r="AD183">
        <v>8.0731311787142199E-2</v>
      </c>
      <c r="AE183">
        <v>8.0731311787142199E-2</v>
      </c>
      <c r="AF183">
        <v>8.0731311787142199E-2</v>
      </c>
      <c r="AG183">
        <v>8.0731311787142199E-2</v>
      </c>
      <c r="AH183">
        <v>8.0731311787142199E-2</v>
      </c>
      <c r="AI183">
        <v>8.0731311787142199E-2</v>
      </c>
      <c r="AJ183">
        <v>8.0731311787142199E-2</v>
      </c>
      <c r="AK183">
        <v>8.0731311787142199E-2</v>
      </c>
      <c r="AL183">
        <v>8.0731311787142199E-2</v>
      </c>
      <c r="AM183">
        <v>8.0731311787142199E-2</v>
      </c>
      <c r="AN183">
        <v>8.0731311787142199E-2</v>
      </c>
      <c r="AO183">
        <v>8.0731311787142199E-2</v>
      </c>
      <c r="AP183">
        <v>8.0731311787142199E-2</v>
      </c>
      <c r="AQ183">
        <v>8.0731311787142199E-2</v>
      </c>
      <c r="AR183">
        <v>8.0731311787142199E-2</v>
      </c>
      <c r="AS183">
        <v>8.0731311787142199E-2</v>
      </c>
      <c r="AT183">
        <v>8.0731311787142199E-2</v>
      </c>
      <c r="AU183" s="60">
        <f t="shared" ref="AU183" si="5">B183-B146</f>
        <v>0</v>
      </c>
    </row>
    <row r="184" spans="1:47">
      <c r="A184" s="25" t="s">
        <v>87</v>
      </c>
      <c r="B184">
        <v>1715.6830399999999</v>
      </c>
      <c r="C184">
        <v>1894.483845</v>
      </c>
      <c r="D184">
        <v>1977.8577969999999</v>
      </c>
      <c r="E184">
        <v>1641.8274469999999</v>
      </c>
      <c r="F184">
        <v>1780.6887610000001</v>
      </c>
      <c r="G184">
        <v>1959.962374</v>
      </c>
      <c r="H184">
        <v>1917.808415</v>
      </c>
      <c r="I184">
        <v>2037.8232599999999</v>
      </c>
      <c r="J184">
        <v>2041.170136</v>
      </c>
      <c r="K184">
        <v>2165.6989199999998</v>
      </c>
      <c r="L184">
        <v>1816.9038129999999</v>
      </c>
      <c r="M184">
        <v>1524.283655</v>
      </c>
      <c r="N184">
        <v>1310.520526</v>
      </c>
      <c r="O184">
        <v>1203.737795</v>
      </c>
      <c r="P184">
        <v>1224.8792040000001</v>
      </c>
      <c r="Q184">
        <v>1256.1909720000001</v>
      </c>
      <c r="R184">
        <v>1285.7618090000001</v>
      </c>
      <c r="S184">
        <v>1304.9535249999999</v>
      </c>
      <c r="T184">
        <v>1317.5768049999999</v>
      </c>
      <c r="U184">
        <v>1330.003635</v>
      </c>
      <c r="V184">
        <v>1340.3176080000001</v>
      </c>
      <c r="W184">
        <v>1350.4825619999999</v>
      </c>
      <c r="X184">
        <v>1361.5631579999999</v>
      </c>
      <c r="Y184">
        <v>1373.9462040000001</v>
      </c>
      <c r="Z184">
        <v>1387.7031689999999</v>
      </c>
      <c r="AA184">
        <v>1402.8666760000001</v>
      </c>
      <c r="AB184">
        <v>1418.1498509999999</v>
      </c>
      <c r="AC184">
        <v>1434.0940250000001</v>
      </c>
      <c r="AD184">
        <v>1450.4194440000001</v>
      </c>
      <c r="AE184">
        <v>1465.9280140000001</v>
      </c>
      <c r="AF184">
        <v>1482.337882</v>
      </c>
      <c r="AG184">
        <v>1498.7243989999999</v>
      </c>
      <c r="AH184">
        <v>1515.0778849999999</v>
      </c>
      <c r="AI184">
        <v>1531.54315</v>
      </c>
      <c r="AJ184">
        <v>1548.271375</v>
      </c>
      <c r="AK184">
        <v>1566.769346</v>
      </c>
      <c r="AL184">
        <v>1586.0367659999999</v>
      </c>
      <c r="AM184">
        <v>1605.9933719999999</v>
      </c>
      <c r="AN184">
        <v>1626.7530819999999</v>
      </c>
      <c r="AO184">
        <v>1648.2137290000001</v>
      </c>
      <c r="AP184">
        <v>1665.243555</v>
      </c>
      <c r="AQ184">
        <v>1683.4377999999999</v>
      </c>
      <c r="AR184">
        <v>1703.262545</v>
      </c>
      <c r="AS184">
        <v>1724.19605</v>
      </c>
      <c r="AT184">
        <v>1746.109911</v>
      </c>
      <c r="AU184" s="60">
        <f>B184-B147</f>
        <v>3.0004980544617865E-7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5064-2A67-4D5F-8D48-58CF39997C9D}">
  <dimension ref="A1:AW37"/>
  <sheetViews>
    <sheetView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R6" sqref="R6"/>
    </sheetView>
  </sheetViews>
  <sheetFormatPr baseColWidth="10" defaultRowHeight="15"/>
  <cols>
    <col min="1" max="1" width="55.140625" customWidth="1"/>
    <col min="2" max="15" width="0" hidden="1" customWidth="1"/>
    <col min="16" max="16" width="11.42578125" style="4" bestFit="1" customWidth="1"/>
    <col min="17" max="45" width="10.85546875" style="4"/>
    <col min="46" max="46" width="17.5703125" style="4" bestFit="1" customWidth="1"/>
  </cols>
  <sheetData>
    <row r="1" spans="1:49" s="13" customFormat="1">
      <c r="P1" s="33">
        <v>2023</v>
      </c>
      <c r="Q1" s="33">
        <v>2030</v>
      </c>
      <c r="R1" s="33">
        <v>2050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26"/>
      <c r="AW1" s="31"/>
    </row>
    <row r="2" spans="1:49" s="13" customFormat="1">
      <c r="A2" s="13" t="s">
        <v>101</v>
      </c>
      <c r="P2" s="14">
        <f>([1]BUSCAR!$P$359-[1]BUSCAR!$P$302)*1000</f>
        <v>184006.61672487025</v>
      </c>
      <c r="Q2" s="14">
        <f>([2]BUSCAR!$AH$359-[2]BUSCAR!$AH$302)*1000</f>
        <v>89050.115800737447</v>
      </c>
      <c r="R2" s="14">
        <f>([2]BUSCAR!$BB$359-[2]BUSCAR!$BB$302)*1000</f>
        <v>32308.37818010565</v>
      </c>
      <c r="S2" s="14"/>
      <c r="T2" s="14"/>
      <c r="U2" s="14"/>
      <c r="V2" s="14"/>
      <c r="W2" s="14"/>
      <c r="X2" s="14"/>
      <c r="Y2" s="14"/>
      <c r="Z2" s="8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8"/>
    </row>
    <row r="3" spans="1:49" s="13" customFormat="1">
      <c r="A3" s="13" t="s">
        <v>66</v>
      </c>
      <c r="P3" s="14">
        <v>10</v>
      </c>
      <c r="Q3" s="14"/>
      <c r="R3" s="14"/>
      <c r="S3" s="14"/>
      <c r="T3" s="14"/>
      <c r="U3" s="14"/>
      <c r="V3" s="14"/>
      <c r="W3" s="14"/>
      <c r="X3" s="14"/>
      <c r="Y3" s="14"/>
      <c r="Z3" s="8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8"/>
    </row>
    <row r="4" spans="1:49" s="13" customFormat="1">
      <c r="A4" s="13" t="s">
        <v>65</v>
      </c>
      <c r="P4" s="8">
        <v>2.5000000000000001E-2</v>
      </c>
      <c r="Q4" s="14"/>
      <c r="R4" s="14"/>
      <c r="S4" s="14"/>
      <c r="T4" s="14"/>
      <c r="U4" s="14"/>
      <c r="V4" s="14"/>
      <c r="W4" s="14"/>
      <c r="X4" s="14"/>
      <c r="Y4" s="14"/>
      <c r="Z4" s="8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49" s="13" customFormat="1">
      <c r="A5" s="13" t="s">
        <v>102</v>
      </c>
      <c r="P5" s="14">
        <f>'[3]Bus et cars'!$G$27</f>
        <v>33528.400707877983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9" s="13" customFormat="1">
      <c r="A6" s="13" t="s">
        <v>103</v>
      </c>
      <c r="P6" s="17">
        <v>31.5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49" s="13" customFormat="1">
      <c r="A7" s="13" t="s">
        <v>104</v>
      </c>
      <c r="P7" s="17">
        <f>[1]BUSCAR!$F$368*100</f>
        <v>159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9" s="13" customFormat="1">
      <c r="A8" s="13" t="s">
        <v>81</v>
      </c>
      <c r="P8" s="14">
        <f>[4]PL!$H$51-[4]PL!$H$53</f>
        <v>166.05285171935907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9" s="13" customFormat="1">
      <c r="A9" s="13" t="s">
        <v>72</v>
      </c>
      <c r="P9" s="14">
        <v>1.6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9" s="13" customFormat="1">
      <c r="A10" s="13" t="s">
        <v>68</v>
      </c>
      <c r="P10" s="9">
        <v>0.22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49" s="13" customFormat="1">
      <c r="A11" s="13" t="s">
        <v>73</v>
      </c>
      <c r="P11" s="9">
        <v>0.03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49" s="13" customFormat="1">
      <c r="A12" s="13" t="s">
        <v>74</v>
      </c>
      <c r="P12" s="9">
        <v>0.01</v>
      </c>
      <c r="Q12" s="14"/>
      <c r="R12" s="14"/>
      <c r="S12" s="14"/>
      <c r="T12" s="14"/>
      <c r="U12" s="14"/>
      <c r="V12" s="14"/>
      <c r="W12" s="14"/>
      <c r="X12" s="14"/>
      <c r="Y12" s="14"/>
      <c r="Z12" s="7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1"/>
    </row>
    <row r="13" spans="1:49" s="13" customFormat="1">
      <c r="A13" s="13" t="s">
        <v>105</v>
      </c>
      <c r="P13" s="14">
        <f>SUM(P19:Y19)-SUM(P20:Y20)</f>
        <v>65338.739475260896</v>
      </c>
      <c r="Q13" s="14">
        <f>SUM(Z19:AI19)-SUM(Z20:AI20)</f>
        <v>113712.23085004414</v>
      </c>
      <c r="R13" s="14">
        <f>SUM(AJ19:AS19)-SUM(AJ20:AS20)</f>
        <v>181432.12537476892</v>
      </c>
      <c r="S13" s="14"/>
      <c r="T13" s="14"/>
      <c r="U13" s="14"/>
      <c r="V13" s="14"/>
      <c r="W13" s="14"/>
      <c r="X13" s="14"/>
      <c r="Y13" s="14"/>
      <c r="Z13" s="7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1"/>
    </row>
    <row r="14" spans="1:49" s="13" customFormat="1">
      <c r="A14" s="13" t="s">
        <v>75</v>
      </c>
      <c r="P14" s="14">
        <f>P13-P2</f>
        <v>-118667.87724960936</v>
      </c>
      <c r="Q14" s="14">
        <f>Q13-Q2</f>
        <v>24662.115049306696</v>
      </c>
      <c r="R14" s="14">
        <f>P13-R2</f>
        <v>33030.36129515525</v>
      </c>
      <c r="S14" s="14"/>
      <c r="T14" s="14"/>
      <c r="U14" s="14"/>
      <c r="V14" s="14"/>
      <c r="W14" s="14"/>
      <c r="X14" s="14"/>
      <c r="Y14" s="14"/>
      <c r="Z14" s="10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8"/>
    </row>
    <row r="15" spans="1:49" s="13" customFormat="1">
      <c r="A15" s="13" t="s">
        <v>106</v>
      </c>
      <c r="P15" s="14">
        <f>-P14</f>
        <v>118667.87724960936</v>
      </c>
      <c r="Q15" s="14">
        <f>IF(Q14&lt;0,-Q14,0)</f>
        <v>0</v>
      </c>
      <c r="R15" s="14">
        <f>IF(R14&lt;0,-R14,0)</f>
        <v>0</v>
      </c>
      <c r="S15" s="14"/>
      <c r="T15" s="14"/>
      <c r="U15" s="14"/>
      <c r="V15" s="14"/>
      <c r="W15" s="14"/>
      <c r="X15" s="14"/>
      <c r="Y15" s="14"/>
      <c r="Z15" s="10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8"/>
    </row>
    <row r="16" spans="1:49" s="13" customFormat="1">
      <c r="A16" s="13" t="s">
        <v>82</v>
      </c>
      <c r="P16" s="9">
        <f>P15/(P8*P5/100*P3)</f>
        <v>0.21314443449435977</v>
      </c>
      <c r="Q16" s="9"/>
      <c r="R16" s="14"/>
      <c r="S16" s="14"/>
      <c r="T16" s="14"/>
      <c r="U16" s="14"/>
      <c r="V16" s="14"/>
      <c r="W16" s="14"/>
      <c r="X16" s="14"/>
      <c r="Y16" s="14"/>
      <c r="Z16" s="10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8"/>
    </row>
    <row r="17" spans="1:46" s="13" customFormat="1">
      <c r="A17" s="13" t="s">
        <v>186</v>
      </c>
      <c r="P17" s="34">
        <f>P15/('sorties bus'!S71*1000)</f>
        <v>0.28281110578606872</v>
      </c>
      <c r="Q17" s="9"/>
      <c r="R17" s="9"/>
      <c r="S17" s="14"/>
      <c r="T17" s="14"/>
      <c r="U17" s="14"/>
      <c r="V17" s="14"/>
      <c r="W17" s="14"/>
      <c r="X17" s="14"/>
      <c r="Y17" s="14"/>
      <c r="Z17" s="10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8"/>
    </row>
    <row r="18" spans="1:46">
      <c r="A18" s="13" t="s">
        <v>187</v>
      </c>
      <c r="P18" s="6">
        <v>1</v>
      </c>
      <c r="Q18" s="6">
        <f>P18+1</f>
        <v>2</v>
      </c>
      <c r="R18" s="6">
        <f>Q18+1</f>
        <v>3</v>
      </c>
      <c r="S18" s="6">
        <f t="shared" ref="S18:AD18" si="0">R18+1</f>
        <v>4</v>
      </c>
      <c r="T18" s="6">
        <f t="shared" si="0"/>
        <v>5</v>
      </c>
      <c r="U18" s="6">
        <f t="shared" si="0"/>
        <v>6</v>
      </c>
      <c r="V18" s="6">
        <f t="shared" si="0"/>
        <v>7</v>
      </c>
      <c r="W18" s="6">
        <f t="shared" si="0"/>
        <v>8</v>
      </c>
      <c r="X18" s="6">
        <f t="shared" si="0"/>
        <v>9</v>
      </c>
      <c r="Y18" s="6">
        <f t="shared" si="0"/>
        <v>10</v>
      </c>
      <c r="Z18" s="6">
        <f t="shared" si="0"/>
        <v>11</v>
      </c>
      <c r="AA18" s="6">
        <f t="shared" si="0"/>
        <v>12</v>
      </c>
      <c r="AB18" s="6">
        <f t="shared" si="0"/>
        <v>13</v>
      </c>
      <c r="AC18" s="6">
        <f t="shared" si="0"/>
        <v>14</v>
      </c>
      <c r="AD18" s="6">
        <f t="shared" si="0"/>
        <v>15</v>
      </c>
      <c r="AE18" s="6">
        <f t="shared" ref="AE18" si="1">AD18+1</f>
        <v>16</v>
      </c>
      <c r="AF18" s="6">
        <f t="shared" ref="AF18" si="2">AE18+1</f>
        <v>17</v>
      </c>
      <c r="AG18" s="6">
        <f t="shared" ref="AG18" si="3">AF18+1</f>
        <v>18</v>
      </c>
      <c r="AH18" s="6">
        <f t="shared" ref="AH18" si="4">AG18+1</f>
        <v>19</v>
      </c>
      <c r="AI18" s="6">
        <f t="shared" ref="AI18" si="5">AH18+1</f>
        <v>20</v>
      </c>
      <c r="AJ18" s="6">
        <f t="shared" ref="AJ18" si="6">AI18+1</f>
        <v>21</v>
      </c>
      <c r="AK18" s="6">
        <f t="shared" ref="AK18" si="7">AJ18+1</f>
        <v>22</v>
      </c>
      <c r="AL18" s="6">
        <f t="shared" ref="AL18" si="8">AK18+1</f>
        <v>23</v>
      </c>
      <c r="AM18" s="6">
        <f t="shared" ref="AM18" si="9">AL18+1</f>
        <v>24</v>
      </c>
      <c r="AN18" s="6">
        <f t="shared" ref="AN18" si="10">AM18+1</f>
        <v>25</v>
      </c>
      <c r="AO18" s="6">
        <f t="shared" ref="AO18" si="11">AN18+1</f>
        <v>26</v>
      </c>
      <c r="AP18" s="6">
        <f t="shared" ref="AP18" si="12">AO18+1</f>
        <v>27</v>
      </c>
      <c r="AQ18" s="6">
        <f t="shared" ref="AQ18" si="13">AP18+1</f>
        <v>28</v>
      </c>
      <c r="AR18" s="6">
        <f t="shared" ref="AR18" si="14">AQ18+1</f>
        <v>29</v>
      </c>
      <c r="AS18" s="6">
        <f t="shared" ref="AS18" si="15">AR18+1</f>
        <v>30</v>
      </c>
      <c r="AT18" s="6"/>
    </row>
    <row r="19" spans="1:46">
      <c r="A19" s="13" t="s">
        <v>107</v>
      </c>
      <c r="P19" s="4">
        <f>($P$6*$P$5/100*$P$9*(1+$P$11)^P18)/(1+$P$4)^P18</f>
        <v>16980.74475655963</v>
      </c>
      <c r="Q19" s="4">
        <f t="shared" ref="Q19:W19" si="16">($P$6*$P$5/100*$P$9*(1+$P$11)^Q18)/(1+$P$4)^Q18</f>
        <v>17063.57765781114</v>
      </c>
      <c r="R19" s="4">
        <f t="shared" si="16"/>
        <v>17146.814621995585</v>
      </c>
      <c r="S19" s="4">
        <f t="shared" si="16"/>
        <v>17230.457620151661</v>
      </c>
      <c r="T19" s="4">
        <f t="shared" si="16"/>
        <v>17314.508632932888</v>
      </c>
      <c r="U19" s="4">
        <f t="shared" si="16"/>
        <v>17398.969650654519</v>
      </c>
      <c r="V19" s="4">
        <f t="shared" si="16"/>
        <v>17483.842673340638</v>
      </c>
      <c r="W19" s="4">
        <f t="shared" si="16"/>
        <v>17569.129710771565</v>
      </c>
      <c r="X19" s="4">
        <f>($P$6*$P$5/100*$P$9*(1+$P$11)^X18)/(1+$P$4)^X18</f>
        <v>17654.83278253143</v>
      </c>
      <c r="Y19" s="4">
        <f>($P$6*$P$5/100*$P$9*(1+$P$11)^Y18)/(1+$P$4)^Y18</f>
        <v>17740.953918055973</v>
      </c>
      <c r="Z19" s="4">
        <f>($P$6*$P$5/100*$P$9*(1+$P$11)^Z18)/(1+$P$4)^P18</f>
        <v>22820.701011802299</v>
      </c>
      <c r="AA19" s="4">
        <f t="shared" ref="AA19:AI19" si="17">($P$6*$P$5/100*$P$9*(1+$P$11)^AA18)/(1+$P$4)^Q18</f>
        <v>22932.021504542794</v>
      </c>
      <c r="AB19" s="4">
        <f t="shared" si="17"/>
        <v>23043.88502407715</v>
      </c>
      <c r="AC19" s="4">
        <f t="shared" si="17"/>
        <v>23156.294219316555</v>
      </c>
      <c r="AD19" s="4">
        <f t="shared" si="17"/>
        <v>23269.251752093711</v>
      </c>
      <c r="AE19" s="4">
        <f t="shared" si="17"/>
        <v>23382.760297225872</v>
      </c>
      <c r="AF19" s="4">
        <f t="shared" si="17"/>
        <v>23496.822542578193</v>
      </c>
      <c r="AG19" s="4">
        <f t="shared" si="17"/>
        <v>23611.441189127359</v>
      </c>
      <c r="AH19" s="4">
        <f t="shared" si="17"/>
        <v>23726.618951025546</v>
      </c>
      <c r="AI19" s="4">
        <f t="shared" si="17"/>
        <v>23842.35855566469</v>
      </c>
      <c r="AJ19" s="4">
        <f>($P$6*$P$5/100*$P$9*(1+$P$11)^AJ18)/(1+$P$4)^P18</f>
        <v>30669.113877876076</v>
      </c>
      <c r="AK19" s="4">
        <f t="shared" ref="AK19:AS19" si="18">($P$6*$P$5/100*$P$9*(1+$P$11)^AK18)/(1+$P$4)^Q18</f>
        <v>30818.719311426692</v>
      </c>
      <c r="AL19" s="4">
        <f t="shared" si="18"/>
        <v>30969.05452758</v>
      </c>
      <c r="AM19" s="4">
        <f t="shared" si="18"/>
        <v>31120.123086251118</v>
      </c>
      <c r="AN19" s="4">
        <f t="shared" si="18"/>
        <v>31271.928564720638</v>
      </c>
      <c r="AO19" s="4">
        <f t="shared" si="18"/>
        <v>31424.474557719281</v>
      </c>
      <c r="AP19" s="4">
        <f t="shared" si="18"/>
        <v>31577.764677513023</v>
      </c>
      <c r="AQ19" s="4">
        <f t="shared" si="18"/>
        <v>31731.802553988706</v>
      </c>
      <c r="AR19" s="4">
        <f t="shared" si="18"/>
        <v>31886.591834739869</v>
      </c>
      <c r="AS19" s="4">
        <f t="shared" si="18"/>
        <v>32042.136185153238</v>
      </c>
    </row>
    <row r="20" spans="1:46" ht="19.5" customHeight="1">
      <c r="A20" s="13" t="s">
        <v>108</v>
      </c>
      <c r="P20" s="4">
        <f>($P$7*$P$5/100*$P$10*(1+$P$12)^P18)/(1+$P$4)^P18</f>
        <v>11556.601866626224</v>
      </c>
      <c r="Q20" s="4">
        <f t="shared" ref="Q20:W20" si="19">($P$7*$P$5/100*$P$10*(1+$P$12)^Q18)/(1+$P$4)^Q18</f>
        <v>11387.480863699986</v>
      </c>
      <c r="R20" s="4">
        <f t="shared" si="19"/>
        <v>11220.834802279986</v>
      </c>
      <c r="S20" s="4">
        <f t="shared" si="19"/>
        <v>11056.627463710036</v>
      </c>
      <c r="T20" s="4">
        <f t="shared" si="19"/>
        <v>10894.823159363061</v>
      </c>
      <c r="U20" s="4">
        <f t="shared" si="19"/>
        <v>10735.386722884579</v>
      </c>
      <c r="V20" s="4">
        <f t="shared" si="19"/>
        <v>10578.283502549679</v>
      </c>
      <c r="W20" s="4">
        <f t="shared" si="19"/>
        <v>10423.479353731884</v>
      </c>
      <c r="X20" s="4">
        <f>($P$7*$P$5/100*$P$10*(1+$P$12)^X18)/(1+$P$4)^X18</f>
        <v>10270.940631482152</v>
      </c>
      <c r="Y20" s="4">
        <f>($P$7*$P$5/100*$P$10*(1+$P$12)^Y18)/(1+$P$4)^Y18</f>
        <v>10120.634183216558</v>
      </c>
      <c r="Z20" s="4">
        <f>($P$7*$P$5/100*$P$10*(1+$P$12)^Z18)/(1+$P$4)^P18</f>
        <v>12765.678116443751</v>
      </c>
      <c r="AA20" s="4">
        <f t="shared" ref="AA20:AI20" si="20">($P$7*$P$5/100*$P$10*(1+$P$12)^AA18)/(1+$P$4)^Q18</f>
        <v>12578.863314739696</v>
      </c>
      <c r="AB20" s="4">
        <f t="shared" si="20"/>
        <v>12394.782388182532</v>
      </c>
      <c r="AC20" s="4">
        <f t="shared" si="20"/>
        <v>12213.395328843279</v>
      </c>
      <c r="AD20" s="4">
        <f t="shared" si="20"/>
        <v>12034.662714274838</v>
      </c>
      <c r="AE20" s="4">
        <f t="shared" si="20"/>
        <v>11858.54569894399</v>
      </c>
      <c r="AF20" s="4">
        <f t="shared" si="20"/>
        <v>11685.006005788713</v>
      </c>
      <c r="AG20" s="4">
        <f t="shared" si="20"/>
        <v>11514.005917899123</v>
      </c>
      <c r="AH20" s="4">
        <f t="shared" si="20"/>
        <v>11345.508270320111</v>
      </c>
      <c r="AI20" s="4">
        <f t="shared" si="20"/>
        <v>11179.476441973964</v>
      </c>
      <c r="AJ20" s="4">
        <f>($P$7*$P$5/100*$P$10*(1+$P$12)^AJ18)/(1+$P$4)^P18</f>
        <v>14101.250493301401</v>
      </c>
      <c r="AK20" s="4">
        <f t="shared" ref="AK20:AS20" si="21">($P$7*$P$5/100*$P$10*(1+$P$12)^AK18)/(1+$P$4)^Q18</f>
        <v>13894.890729984796</v>
      </c>
      <c r="AL20" s="4">
        <f t="shared" si="21"/>
        <v>13691.550865643554</v>
      </c>
      <c r="AM20" s="4">
        <f t="shared" si="21"/>
        <v>13491.18670663414</v>
      </c>
      <c r="AN20" s="4">
        <f t="shared" si="21"/>
        <v>13293.754706049254</v>
      </c>
      <c r="AO20" s="4">
        <f t="shared" si="21"/>
        <v>13099.211954253413</v>
      </c>
      <c r="AP20" s="4">
        <f t="shared" si="21"/>
        <v>12907.516169557017</v>
      </c>
      <c r="AQ20" s="4">
        <f t="shared" si="21"/>
        <v>12718.625689026914</v>
      </c>
      <c r="AR20" s="4">
        <f t="shared" si="21"/>
        <v>12532.499459431401</v>
      </c>
      <c r="AS20" s="4">
        <f t="shared" si="21"/>
        <v>12349.097028317774</v>
      </c>
    </row>
    <row r="21" spans="1:46" ht="19.5" customHeight="1">
      <c r="A21" s="1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9.5" customHeight="1">
      <c r="A22" s="1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9.5" customHeight="1">
      <c r="A23" s="13" t="s">
        <v>110</v>
      </c>
      <c r="P23" s="19">
        <f>-(('sorties bus'!AT86/'sorties bus'!T86)^(1/(2050-2023))-1)*(résultats!U21-résultats!U22)/résultats!U21</f>
        <v>4.6366238209037593E-3</v>
      </c>
    </row>
    <row r="24" spans="1:46" ht="19.5" customHeight="1">
      <c r="A24" s="13"/>
    </row>
    <row r="25" spans="1:46" ht="19.5" customHeight="1">
      <c r="A25" s="13" t="s">
        <v>453</v>
      </c>
      <c r="P25" s="41">
        <f>0.65*P2/('sorties bus'!S71*1000)</f>
        <v>0.2850428049285374</v>
      </c>
      <c r="Q25" s="41">
        <f>0.65*Q2/('sorties bus'!Z71*1000)</f>
        <v>0.17071982156318569</v>
      </c>
      <c r="R25" s="41">
        <f>0.65*R2/('sorties bus'!AT71*1000)</f>
        <v>7.4388319441482956E-2</v>
      </c>
    </row>
    <row r="26" spans="1:46" ht="19.5" customHeight="1">
      <c r="A26" s="13"/>
    </row>
    <row r="27" spans="1:46" ht="19.5" customHeight="1">
      <c r="A27" s="13"/>
    </row>
    <row r="28" spans="1:46" ht="19.5" customHeight="1">
      <c r="A28" s="13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 ht="19.5" customHeight="1">
      <c r="A29" s="13"/>
    </row>
    <row r="30" spans="1:46" ht="19.5" customHeight="1">
      <c r="A30" s="13"/>
    </row>
    <row r="31" spans="1:46" ht="31.5" customHeight="1">
      <c r="A31" s="13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  <row r="32" spans="1:46" ht="31.5" customHeight="1">
      <c r="A32" s="1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 ht="31.5" customHeight="1">
      <c r="A33" s="13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spans="1:46">
      <c r="A34" s="13"/>
    </row>
    <row r="35" spans="1:46">
      <c r="A35" s="13"/>
    </row>
    <row r="36" spans="1:46">
      <c r="A36" s="13"/>
    </row>
    <row r="37" spans="1:46">
      <c r="A37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9295-D998-4B45-A4A6-F7F9A5FA8563}">
  <dimension ref="A1:AX105"/>
  <sheetViews>
    <sheetView tabSelected="1" workbookViewId="0">
      <pane xSplit="1" ySplit="1" topLeftCell="I30" activePane="bottomRight" state="frozen"/>
      <selection pane="topRight" activeCell="B1" sqref="B1"/>
      <selection pane="bottomLeft" activeCell="A2" sqref="A2"/>
      <selection pane="bottomRight" activeCell="K34" sqref="K34:K36"/>
    </sheetView>
  </sheetViews>
  <sheetFormatPr baseColWidth="10" defaultRowHeight="15"/>
  <cols>
    <col min="1" max="1" width="55.140625" customWidth="1"/>
    <col min="2" max="2" width="15.85546875" style="52" customWidth="1"/>
    <col min="3" max="15" width="11.42578125" customWidth="1"/>
    <col min="16" max="16" width="11.42578125" style="4" customWidth="1"/>
    <col min="17" max="17" width="11.140625" style="4" customWidth="1"/>
    <col min="18" max="45" width="11.42578125" style="4" customWidth="1"/>
    <col min="46" max="46" width="17.5703125" style="4" customWidth="1"/>
    <col min="49" max="92" width="0" hidden="1" customWidth="1"/>
    <col min="94" max="94" width="16.42578125" bestFit="1" customWidth="1"/>
  </cols>
  <sheetData>
    <row r="1" spans="1:46">
      <c r="B1" s="52">
        <v>2006</v>
      </c>
      <c r="C1">
        <f t="shared" ref="C1:AT1" si="0">B1+1</f>
        <v>2007</v>
      </c>
      <c r="D1">
        <f t="shared" si="0"/>
        <v>2008</v>
      </c>
      <c r="E1">
        <f t="shared" si="0"/>
        <v>2009</v>
      </c>
      <c r="F1">
        <f t="shared" si="0"/>
        <v>2010</v>
      </c>
      <c r="G1">
        <f t="shared" si="0"/>
        <v>2011</v>
      </c>
      <c r="H1">
        <f t="shared" si="0"/>
        <v>2012</v>
      </c>
      <c r="I1">
        <f t="shared" si="0"/>
        <v>2013</v>
      </c>
      <c r="J1">
        <f t="shared" si="0"/>
        <v>2014</v>
      </c>
      <c r="K1">
        <f t="shared" si="0"/>
        <v>2015</v>
      </c>
      <c r="L1">
        <f t="shared" si="0"/>
        <v>2016</v>
      </c>
      <c r="M1">
        <f t="shared" si="0"/>
        <v>2017</v>
      </c>
      <c r="N1">
        <f t="shared" si="0"/>
        <v>2018</v>
      </c>
      <c r="O1">
        <f t="shared" si="0"/>
        <v>2019</v>
      </c>
      <c r="P1" s="6">
        <f t="shared" si="0"/>
        <v>2020</v>
      </c>
      <c r="Q1" s="6">
        <f t="shared" si="0"/>
        <v>2021</v>
      </c>
      <c r="R1" s="6">
        <f t="shared" si="0"/>
        <v>2022</v>
      </c>
      <c r="S1" s="6">
        <f t="shared" si="0"/>
        <v>2023</v>
      </c>
      <c r="T1" s="6">
        <f t="shared" si="0"/>
        <v>2024</v>
      </c>
      <c r="U1" s="6">
        <f t="shared" si="0"/>
        <v>2025</v>
      </c>
      <c r="V1" s="6">
        <f t="shared" si="0"/>
        <v>2026</v>
      </c>
      <c r="W1" s="6">
        <f t="shared" si="0"/>
        <v>2027</v>
      </c>
      <c r="X1" s="6">
        <f t="shared" si="0"/>
        <v>2028</v>
      </c>
      <c r="Y1" s="6">
        <f t="shared" si="0"/>
        <v>2029</v>
      </c>
      <c r="Z1" s="6">
        <f t="shared" si="0"/>
        <v>2030</v>
      </c>
      <c r="AA1" s="6">
        <f t="shared" si="0"/>
        <v>2031</v>
      </c>
      <c r="AB1" s="6">
        <f t="shared" si="0"/>
        <v>2032</v>
      </c>
      <c r="AC1" s="6">
        <f t="shared" si="0"/>
        <v>2033</v>
      </c>
      <c r="AD1" s="6">
        <f t="shared" si="0"/>
        <v>2034</v>
      </c>
      <c r="AE1" s="6">
        <f t="shared" si="0"/>
        <v>2035</v>
      </c>
      <c r="AF1" s="6">
        <f t="shared" si="0"/>
        <v>2036</v>
      </c>
      <c r="AG1" s="6">
        <f t="shared" si="0"/>
        <v>2037</v>
      </c>
      <c r="AH1" s="6">
        <f t="shared" si="0"/>
        <v>2038</v>
      </c>
      <c r="AI1" s="6">
        <f t="shared" si="0"/>
        <v>2039</v>
      </c>
      <c r="AJ1" s="6">
        <f t="shared" si="0"/>
        <v>2040</v>
      </c>
      <c r="AK1" s="6">
        <f t="shared" si="0"/>
        <v>2041</v>
      </c>
      <c r="AL1" s="6">
        <f t="shared" si="0"/>
        <v>2042</v>
      </c>
      <c r="AM1" s="6">
        <f t="shared" si="0"/>
        <v>2043</v>
      </c>
      <c r="AN1" s="6">
        <f t="shared" si="0"/>
        <v>2044</v>
      </c>
      <c r="AO1" s="6">
        <f t="shared" si="0"/>
        <v>2045</v>
      </c>
      <c r="AP1" s="6">
        <f t="shared" si="0"/>
        <v>2046</v>
      </c>
      <c r="AQ1" s="6">
        <f t="shared" si="0"/>
        <v>2047</v>
      </c>
      <c r="AR1" s="6">
        <f t="shared" si="0"/>
        <v>2048</v>
      </c>
      <c r="AS1" s="6">
        <f t="shared" si="0"/>
        <v>2049</v>
      </c>
      <c r="AT1" s="6">
        <f t="shared" si="0"/>
        <v>2050</v>
      </c>
    </row>
    <row r="2" spans="1:46">
      <c r="A2" t="s">
        <v>20</v>
      </c>
    </row>
    <row r="3" spans="1:46">
      <c r="A3" t="s">
        <v>0</v>
      </c>
      <c r="B3" s="52">
        <f>résultats!B21*résultats!$T$23-résultats!B22*résultats!$T$24</f>
        <v>1911.4343454654625</v>
      </c>
      <c r="C3">
        <f>résultats!C21*résultats!$T$23-résultats!C22*résultats!$T$24</f>
        <v>1942.1230421528705</v>
      </c>
      <c r="D3">
        <f>résultats!D21*résultats!$T$23-résultats!D22*résultats!$T$24</f>
        <v>1976.8889935038687</v>
      </c>
      <c r="E3">
        <f>résultats!E21*résultats!$T$23-résultats!E22*résultats!$T$24</f>
        <v>1644.3041189822525</v>
      </c>
      <c r="F3">
        <f>résultats!F21*résultats!$T$23-résultats!F22*résultats!$T$24</f>
        <v>1730.6314083569948</v>
      </c>
      <c r="G3">
        <f>résultats!G21*résultats!$T$23-résultats!G22*résultats!$T$24</f>
        <v>1735.0205838597021</v>
      </c>
      <c r="H3">
        <f>résultats!H21*résultats!$T$23-résultats!H22*résultats!$T$24</f>
        <v>1838.6717428475258</v>
      </c>
      <c r="I3">
        <f>résultats!I21*résultats!$T$23-résultats!I22*résultats!$T$24</f>
        <v>1994.5753823580858</v>
      </c>
      <c r="J3">
        <f>résultats!J21*résultats!$T$23-résultats!J22*résultats!$T$24</f>
        <v>1877.2493989090949</v>
      </c>
      <c r="K3">
        <f>résultats!K21*résultats!$T$23-résultats!K22*résultats!$T$24</f>
        <v>1862.0971432707959</v>
      </c>
      <c r="L3">
        <f>résultats!L21*résultats!$T$23-résultats!L22*résultats!$T$24</f>
        <v>2062.9479470465403</v>
      </c>
      <c r="M3">
        <f>résultats!M21*résultats!$T$23-résultats!M22*résultats!$T$24</f>
        <v>1730.4764354048498</v>
      </c>
      <c r="N3">
        <f>résultats!N21*résultats!$T$23-résultats!N22*résultats!$T$24</f>
        <v>2111.7677353276158</v>
      </c>
      <c r="O3">
        <f>résultats!O21*résultats!$T$23-résultats!O22*résultats!$T$24</f>
        <v>2113.6854188341331</v>
      </c>
      <c r="P3" s="4">
        <f>résultats!P21*résultats!$T$23-résultats!P22*résultats!$T$24</f>
        <v>2249.9943071415032</v>
      </c>
      <c r="Q3" s="4">
        <f>résultats!Q21*résultats!$T$23-résultats!Q22*résultats!$T$24</f>
        <v>2345.8190043114932</v>
      </c>
      <c r="R3" s="4">
        <f>résultats!R21*résultats!$T$23-résultats!R22*résultats!$T$24</f>
        <v>1890.7939346581811</v>
      </c>
      <c r="S3" s="4">
        <f>résultats!S21*résultats!$T$23-résultats!S22*résultats!$T$24</f>
        <v>1939.4379695854072</v>
      </c>
      <c r="T3" s="4">
        <f>résultats!T21*résultats!$T$23-résultats!T22*résultats!$T$24</f>
        <v>2089.2076570680479</v>
      </c>
      <c r="U3" s="4">
        <f>résultats!U21*résultats!$T$23-résultats!U22*résultats!$T$24</f>
        <v>2154.4233192771244</v>
      </c>
      <c r="V3" s="4">
        <f>résultats!V21*résultats!$T$23-résultats!V22*résultats!$T$24</f>
        <v>2068.6913701251474</v>
      </c>
      <c r="W3" s="4">
        <f>résultats!W21*résultats!$T$23-résultats!W22*résultats!$T$24</f>
        <v>2057.0040565567524</v>
      </c>
      <c r="X3" s="4">
        <f>résultats!X21*résultats!$T$23-résultats!X22*résultats!$T$24</f>
        <v>2198.6288532223493</v>
      </c>
      <c r="Y3" s="4">
        <f>résultats!Y21*résultats!$T$23-résultats!Y22*résultats!$T$24</f>
        <v>2139.4784514791295</v>
      </c>
      <c r="Z3" s="4">
        <f>résultats!Z21*résultats!$T$23-résultats!Z22*résultats!$T$24</f>
        <v>2131.4659655549626</v>
      </c>
      <c r="AA3" s="4">
        <f>résultats!AA21*résultats!$T$23-résultats!AA22*résultats!$T$24</f>
        <v>2139.1325625378395</v>
      </c>
      <c r="AB3" s="4">
        <f>résultats!AB21*résultats!$T$23-résultats!AB22*résultats!$T$24</f>
        <v>2153.8849420430529</v>
      </c>
      <c r="AC3" s="4">
        <f>résultats!AC21*résultats!$T$23-résultats!AC22*résultats!$T$24</f>
        <v>2171.6678413220106</v>
      </c>
      <c r="AD3" s="4">
        <f>résultats!AD21*résultats!$T$23-résultats!AD22*résultats!$T$24</f>
        <v>2105.976911787493</v>
      </c>
      <c r="AE3" s="4">
        <f>résultats!AE21*résultats!$T$23-résultats!AE22*résultats!$T$24</f>
        <v>2159.6943254111211</v>
      </c>
      <c r="AF3" s="4">
        <f>résultats!AF21*résultats!$T$23-résultats!AF22*résultats!$T$24</f>
        <v>2191.5431673798334</v>
      </c>
      <c r="AG3" s="4">
        <f>résultats!AG21*résultats!$T$23-résultats!AG22*résultats!$T$24</f>
        <v>2130.4402657400383</v>
      </c>
      <c r="AH3" s="4">
        <f>résultats!AH21*résultats!$T$23-résultats!AH22*résultats!$T$24</f>
        <v>2273.8889519922191</v>
      </c>
      <c r="AI3" s="4">
        <f>résultats!AI21*résultats!$T$23-résultats!AI22*résultats!$T$24</f>
        <v>2272.142709065387</v>
      </c>
      <c r="AJ3" s="4">
        <f>résultats!AJ21*résultats!$T$23-résultats!AJ22*résultats!$T$24</f>
        <v>2282.5919059534363</v>
      </c>
      <c r="AK3" s="4">
        <f>résultats!AK21*résultats!$T$23-résultats!AK22*résultats!$T$24</f>
        <v>2297.8406384221444</v>
      </c>
      <c r="AL3" s="4">
        <f>résultats!AL21*résultats!$T$23-résultats!AL22*résultats!$T$24</f>
        <v>2314.4616089862793</v>
      </c>
      <c r="AM3" s="4">
        <f>résultats!AM21*résultats!$T$23-résultats!AM22*résultats!$T$24</f>
        <v>2315.4860278453561</v>
      </c>
      <c r="AN3" s="4">
        <f>résultats!AN21*résultats!$T$23-résultats!AN22*résultats!$T$24</f>
        <v>2341.6458973071894</v>
      </c>
      <c r="AO3" s="4">
        <f>résultats!AO21*résultats!$T$23-résultats!AO22*résultats!$T$24</f>
        <v>2361.754852751048</v>
      </c>
      <c r="AP3" s="4">
        <f>résultats!AP21*résultats!$T$23-résultats!AP22*résultats!$T$24</f>
        <v>2380.1218790742573</v>
      </c>
      <c r="AQ3" s="4">
        <f>résultats!AQ21*résultats!$T$23-résultats!AQ22*résultats!$T$24</f>
        <v>2396.2378263580204</v>
      </c>
      <c r="AR3" s="4">
        <f>résultats!AR21*résultats!$T$23-résultats!AR22*résultats!$T$24</f>
        <v>2406.0712370658134</v>
      </c>
      <c r="AS3" s="4">
        <f>résultats!AS21*résultats!$T$23-résultats!AS22*résultats!$T$24</f>
        <v>2424.3271158889438</v>
      </c>
      <c r="AT3" s="4">
        <f>résultats!AT21*résultats!$T$23-résultats!AT22*résultats!$T$24</f>
        <v>2440.6284839253631</v>
      </c>
    </row>
    <row r="4" spans="1:46">
      <c r="A4" t="s">
        <v>1</v>
      </c>
      <c r="B4" s="52">
        <f>résultats!B26*résultats!$T$28-résultats!B27*résultats!$T$29</f>
        <v>1911.4343454654625</v>
      </c>
      <c r="C4">
        <f>résultats!C26*résultats!$T$28-résultats!C27*résultats!$T$29</f>
        <v>1942.1230421528705</v>
      </c>
      <c r="D4">
        <f>résultats!D26*résultats!$T$28-résultats!D27*résultats!$T$29</f>
        <v>1976.8889935038687</v>
      </c>
      <c r="E4">
        <f>résultats!E26*résultats!$T$28-résultats!E27*résultats!$T$29</f>
        <v>1644.3041189822525</v>
      </c>
      <c r="F4">
        <f>résultats!F26*résultats!$T$28-résultats!F27*résultats!$T$29</f>
        <v>1730.6314083569948</v>
      </c>
      <c r="G4">
        <f>résultats!G26*résultats!$T$28-résultats!G27*résultats!$T$29</f>
        <v>1735.0205838597021</v>
      </c>
      <c r="H4">
        <f>résultats!H26*résultats!$T$28-résultats!H27*résultats!$T$29</f>
        <v>1838.6717428475258</v>
      </c>
      <c r="I4">
        <f>résultats!I26*résultats!$T$28-résultats!I27*résultats!$T$29</f>
        <v>1994.5753823580858</v>
      </c>
      <c r="J4">
        <f>résultats!J26*résultats!$T$28-résultats!J27*résultats!$T$29</f>
        <v>1877.2493989090949</v>
      </c>
      <c r="K4">
        <f>résultats!K26*résultats!$T$28-résultats!K27*résultats!$T$29</f>
        <v>1862.0971432707959</v>
      </c>
      <c r="L4">
        <f>résultats!L26*résultats!$T$28-résultats!L27*résultats!$T$29</f>
        <v>2062.9479470465403</v>
      </c>
      <c r="M4">
        <f>résultats!M26*résultats!$T$28-résultats!M27*résultats!$T$29</f>
        <v>1730.4764354048498</v>
      </c>
      <c r="N4">
        <f>résultats!N26*résultats!$T$28-résultats!N27*résultats!$T$29</f>
        <v>2111.7677353276158</v>
      </c>
      <c r="O4">
        <f>résultats!O26*résultats!$T$28-résultats!O27*résultats!$T$29</f>
        <v>2113.6854188341331</v>
      </c>
      <c r="P4" s="4">
        <f>résultats!P26*résultats!$T$28-résultats!P27*résultats!$T$29</f>
        <v>2249.9943071415032</v>
      </c>
      <c r="Q4" s="4">
        <f>résultats!Q26*résultats!$T$28-résultats!Q27*résultats!$T$29</f>
        <v>2345.8190043114932</v>
      </c>
      <c r="R4" s="4">
        <f>résultats!R26*résultats!$T$28-résultats!R27*résultats!$T$29</f>
        <v>1890.7939346581811</v>
      </c>
      <c r="S4" s="4">
        <f>résultats!S26*résultats!$T$28-résultats!S27*résultats!$T$29</f>
        <v>1939.4379695854072</v>
      </c>
      <c r="T4" s="4">
        <f>résultats!T26*résultats!$T$28-résultats!T27*résultats!$T$29</f>
        <v>2089.2076570680479</v>
      </c>
      <c r="U4" s="4">
        <f>résultats!U26*résultats!$T$28-résultats!U27*résultats!$T$29</f>
        <v>2154.4233192771244</v>
      </c>
      <c r="V4" s="4">
        <f>résultats!V26*résultats!$T$28-résultats!V27*résultats!$T$29</f>
        <v>3133.7770094276957</v>
      </c>
      <c r="W4" s="4">
        <f>résultats!W26*résultats!$T$28-résultats!W27*résultats!$T$29</f>
        <v>2904.1055484561853</v>
      </c>
      <c r="X4" s="4">
        <f>résultats!X26*résultats!$T$28-résultats!X27*résultats!$T$29</f>
        <v>2077.2559056418158</v>
      </c>
      <c r="Y4" s="4">
        <f>résultats!Y26*résultats!$T$28-résultats!Y27*résultats!$T$29</f>
        <v>2261.6187342449184</v>
      </c>
      <c r="Z4" s="4">
        <f>résultats!Z26*résultats!$T$28-résultats!Z27*résultats!$T$29</f>
        <v>2354.9507982380101</v>
      </c>
      <c r="AA4" s="4">
        <f>résultats!AA26*résultats!$T$28-résultats!AA27*résultats!$T$29</f>
        <v>2405.7765729521257</v>
      </c>
      <c r="AB4" s="4">
        <f>résultats!AB26*résultats!$T$28-résultats!AB27*résultats!$T$29</f>
        <v>2442.0494892542911</v>
      </c>
      <c r="AC4" s="4">
        <f>résultats!AC26*résultats!$T$28-résultats!AC27*résultats!$T$29</f>
        <v>2328.1816498121334</v>
      </c>
      <c r="AD4" s="4">
        <f>résultats!AD26*résultats!$T$28-résultats!AD27*résultats!$T$29</f>
        <v>2348.5405637795247</v>
      </c>
      <c r="AE4" s="4">
        <f>résultats!AE26*résultats!$T$28-résultats!AE27*résultats!$T$29</f>
        <v>2362.8694287726566</v>
      </c>
      <c r="AF4" s="4">
        <f>résultats!AF26*résultats!$T$28-résultats!AF27*résultats!$T$29</f>
        <v>2379.0618196495407</v>
      </c>
      <c r="AG4" s="4">
        <f>résultats!AG26*résultats!$T$28-résultats!AG27*résultats!$T$29</f>
        <v>2396.0621336018462</v>
      </c>
      <c r="AH4" s="4">
        <f>résultats!AH26*résultats!$T$28-résultats!AH27*résultats!$T$29</f>
        <v>2480.5205758988322</v>
      </c>
      <c r="AI4" s="4">
        <f>résultats!AI26*résultats!$T$28-résultats!AI27*résultats!$T$29</f>
        <v>2491.970245905221</v>
      </c>
      <c r="AJ4" s="4">
        <f>résultats!AJ26*résultats!$T$28-résultats!AJ27*résultats!$T$29</f>
        <v>2513.1783543763863</v>
      </c>
      <c r="AK4" s="4">
        <f>résultats!AK26*résultats!$T$28-résultats!AK27*résultats!$T$29</f>
        <v>2538.3984582607659</v>
      </c>
      <c r="AL4" s="4">
        <f>résultats!AL26*résultats!$T$28-résultats!AL27*résultats!$T$29</f>
        <v>2566.7991730226931</v>
      </c>
      <c r="AM4" s="4">
        <f>résultats!AM26*résultats!$T$28-résultats!AM27*résultats!$T$29</f>
        <v>2570.5527410581499</v>
      </c>
      <c r="AN4" s="4">
        <f>résultats!AN26*résultats!$T$28-résultats!AN27*résultats!$T$29</f>
        <v>2600.4490825128919</v>
      </c>
      <c r="AO4" s="4">
        <f>résultats!AO26*résultats!$T$28-résultats!AO27*résultats!$T$29</f>
        <v>2626.2039505276575</v>
      </c>
      <c r="AP4" s="4">
        <f>résultats!AP26*résultats!$T$28-résultats!AP27*résultats!$T$29</f>
        <v>2650.1277075115531</v>
      </c>
      <c r="AQ4" s="4">
        <f>résultats!AQ26*résultats!$T$28-résultats!AQ27*résultats!$T$29</f>
        <v>2723.2951893258783</v>
      </c>
      <c r="AR4" s="4">
        <f>résultats!AR26*résultats!$T$28-résultats!AR27*résultats!$T$29</f>
        <v>2678.6777525648808</v>
      </c>
      <c r="AS4" s="4">
        <f>résultats!AS26*résultats!$T$28-résultats!AS27*résultats!$T$29</f>
        <v>2693.2754627397499</v>
      </c>
      <c r="AT4" s="4">
        <f>résultats!AT26*résultats!$T$28-résultats!AT27*résultats!$T$29</f>
        <v>2708.0555211259702</v>
      </c>
    </row>
    <row r="5" spans="1:46">
      <c r="A5" t="s">
        <v>28</v>
      </c>
      <c r="B5" s="52">
        <f t="shared" ref="B5:AT5" si="1">B4-B3</f>
        <v>0</v>
      </c>
      <c r="C5">
        <f t="shared" si="1"/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 s="4">
        <f t="shared" si="1"/>
        <v>0</v>
      </c>
      <c r="Q5" s="4">
        <f t="shared" si="1"/>
        <v>0</v>
      </c>
      <c r="R5" s="4">
        <f t="shared" si="1"/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1065.0856393025483</v>
      </c>
      <c r="W5" s="4">
        <f t="shared" si="1"/>
        <v>847.10149189943286</v>
      </c>
      <c r="X5" s="4">
        <f t="shared" si="1"/>
        <v>-121.37294758053349</v>
      </c>
      <c r="Y5" s="4">
        <f t="shared" si="1"/>
        <v>122.14028276578892</v>
      </c>
      <c r="Z5" s="4">
        <f t="shared" si="1"/>
        <v>223.48483268304744</v>
      </c>
      <c r="AA5" s="4">
        <f t="shared" si="1"/>
        <v>266.64401041428619</v>
      </c>
      <c r="AB5" s="4">
        <f t="shared" si="1"/>
        <v>288.16454721123819</v>
      </c>
      <c r="AC5" s="4">
        <f t="shared" si="1"/>
        <v>156.51380849012276</v>
      </c>
      <c r="AD5" s="4">
        <f t="shared" si="1"/>
        <v>242.56365199203174</v>
      </c>
      <c r="AE5" s="4">
        <f t="shared" si="1"/>
        <v>203.17510336153555</v>
      </c>
      <c r="AF5" s="4">
        <f t="shared" si="1"/>
        <v>187.51865226970722</v>
      </c>
      <c r="AG5" s="4">
        <f t="shared" si="1"/>
        <v>265.62186786180791</v>
      </c>
      <c r="AH5" s="4">
        <f t="shared" si="1"/>
        <v>206.63162390661319</v>
      </c>
      <c r="AI5" s="4">
        <f t="shared" si="1"/>
        <v>219.82753683983401</v>
      </c>
      <c r="AJ5" s="4">
        <f t="shared" si="1"/>
        <v>230.58644842295007</v>
      </c>
      <c r="AK5" s="4">
        <f t="shared" si="1"/>
        <v>240.55781983862153</v>
      </c>
      <c r="AL5" s="4">
        <f t="shared" si="1"/>
        <v>252.33756403641382</v>
      </c>
      <c r="AM5" s="4">
        <f t="shared" si="1"/>
        <v>255.06671321279373</v>
      </c>
      <c r="AN5" s="4">
        <f t="shared" si="1"/>
        <v>258.80318520570245</v>
      </c>
      <c r="AO5" s="4">
        <f t="shared" si="1"/>
        <v>264.44909777660951</v>
      </c>
      <c r="AP5" s="4">
        <f t="shared" si="1"/>
        <v>270.0058284372958</v>
      </c>
      <c r="AQ5" s="4">
        <f t="shared" si="1"/>
        <v>327.0573629678579</v>
      </c>
      <c r="AR5" s="4">
        <f t="shared" si="1"/>
        <v>272.60651549906743</v>
      </c>
      <c r="AS5" s="4">
        <f t="shared" si="1"/>
        <v>268.94834685080605</v>
      </c>
      <c r="AT5" s="4">
        <f t="shared" si="1"/>
        <v>267.42703720060717</v>
      </c>
    </row>
    <row r="7" spans="1:46">
      <c r="A7" t="s">
        <v>2</v>
      </c>
    </row>
    <row r="8" spans="1:46">
      <c r="A8" t="s">
        <v>62</v>
      </c>
    </row>
    <row r="9" spans="1:46">
      <c r="A9" t="s">
        <v>42</v>
      </c>
      <c r="P9" s="4">
        <f>[1]BUSCAR!M$467</f>
        <v>1766.745847422128</v>
      </c>
      <c r="Q9" s="4">
        <f>[1]BUSCAR!N$467</f>
        <v>2062.1818180491582</v>
      </c>
      <c r="R9" s="4">
        <f>[1]BUSCAR!O$467</f>
        <v>1770.1631999999997</v>
      </c>
      <c r="S9" s="4">
        <f>[1]BUSCAR!P$467</f>
        <v>1969.7295430913798</v>
      </c>
    </row>
    <row r="10" spans="1:46">
      <c r="A10" t="s">
        <v>3</v>
      </c>
      <c r="K10" s="1"/>
      <c r="L10" s="1"/>
      <c r="M10" s="1"/>
      <c r="N10" s="1"/>
      <c r="O10" s="1"/>
      <c r="P10" s="17">
        <f>[1]BUSCAR!LH$467</f>
        <v>1748.4241816996921</v>
      </c>
      <c r="Q10" s="17">
        <f>[1]BUSCAR!IM$467</f>
        <v>1779.4706510542339</v>
      </c>
      <c r="R10" s="17">
        <f>[1]BUSCAR!IN$467</f>
        <v>1792.5668003364008</v>
      </c>
      <c r="S10" s="17">
        <f>[1]BUSCAR!IO$467</f>
        <v>1771.2163107773358</v>
      </c>
      <c r="T10" s="14">
        <f>[1]BUSCAR!IP$467</f>
        <v>1797.8918915738977</v>
      </c>
      <c r="U10" s="14">
        <f>[1]BUSCAR!IQ$467</f>
        <v>1831.6629682662542</v>
      </c>
      <c r="V10" s="14">
        <f>[1]BUSCAR!IR$467</f>
        <v>1835.9392125228949</v>
      </c>
      <c r="W10" s="14">
        <f>[1]BUSCAR!IS$467</f>
        <v>1840.2243344722492</v>
      </c>
      <c r="X10" s="14">
        <f>[1]BUSCAR!IT$467</f>
        <v>1844.6875937527241</v>
      </c>
      <c r="Y10" s="14">
        <f>[1]BUSCAR!IU$467</f>
        <v>1849.3469590190441</v>
      </c>
      <c r="Z10" s="14">
        <f>[1]BUSCAR!IV$467</f>
        <v>1854.2150238216771</v>
      </c>
      <c r="AA10" s="14">
        <f>[1]BUSCAR!IW$467</f>
        <v>1847.3074854310164</v>
      </c>
      <c r="AB10" s="14">
        <f>[1]BUSCAR!IX$467</f>
        <v>1841.0907008794215</v>
      </c>
      <c r="AC10" s="14">
        <f>[1]BUSCAR!IY$467</f>
        <v>1837.3219739304416</v>
      </c>
      <c r="AD10" s="14">
        <f>[1]BUSCAR!IZ$467</f>
        <v>1833.5532469814618</v>
      </c>
      <c r="AE10" s="14">
        <f>[1]BUSCAR!JA$467</f>
        <v>1829.7845200324819</v>
      </c>
      <c r="AF10" s="14">
        <f>[1]BUSCAR!JB$467</f>
        <v>1827.5232838630939</v>
      </c>
      <c r="AG10" s="14">
        <f>[1]BUSCAR!JC$467</f>
        <v>1825.2620476937061</v>
      </c>
      <c r="AH10" s="14">
        <f>[1]BUSCAR!JD$467</f>
        <v>1823.0008115243181</v>
      </c>
      <c r="AI10" s="14">
        <f>[1]BUSCAR!JE$467</f>
        <v>1820.7395753549301</v>
      </c>
      <c r="AJ10" s="14">
        <f>[1]BUSCAR!JF$467</f>
        <v>1818.4783391855424</v>
      </c>
      <c r="AK10" s="14">
        <f>[1]BUSCAR!JG$467</f>
        <v>1816.2171030161544</v>
      </c>
      <c r="AL10" s="14">
        <f>[1]BUSCAR!JH$467</f>
        <v>1813.9558668467664</v>
      </c>
      <c r="AM10" s="14">
        <f>[1]BUSCAR!JI$467</f>
        <v>1811.6946306773787</v>
      </c>
      <c r="AN10" s="14">
        <f>[1]BUSCAR!JJ$467</f>
        <v>1809.4333945079907</v>
      </c>
      <c r="AO10" s="14">
        <f>[1]BUSCAR!JK$467</f>
        <v>1807.1721583386027</v>
      </c>
      <c r="AP10" s="14">
        <f>[1]BUSCAR!JL$467</f>
        <v>1804.9109221692149</v>
      </c>
      <c r="AQ10" s="14">
        <f>[1]BUSCAR!JM$467</f>
        <v>1802.6496859998269</v>
      </c>
      <c r="AR10" s="14">
        <f>[1]BUSCAR!JN$467</f>
        <v>1800.388449830439</v>
      </c>
      <c r="AS10" s="14">
        <f>[1]BUSCAR!JO$467</f>
        <v>1798.1272136610512</v>
      </c>
      <c r="AT10" s="14">
        <f>[1]BUSCAR!JP$467</f>
        <v>1795.8659774916632</v>
      </c>
    </row>
    <row r="11" spans="1:46">
      <c r="A11" t="s">
        <v>4</v>
      </c>
      <c r="K11" s="1"/>
      <c r="L11" s="1"/>
      <c r="M11" s="1"/>
      <c r="N11" s="1"/>
      <c r="O11" s="1"/>
      <c r="P11" s="4">
        <f>[1]BUSCAR!JW$467</f>
        <v>1748.4241816996921</v>
      </c>
      <c r="Q11" s="4">
        <f>[1]BUSCAR!JX$467</f>
        <v>1797.1578304900665</v>
      </c>
      <c r="R11" s="4">
        <f>[1]BUSCAR!JY$467</f>
        <v>1830.0763795095622</v>
      </c>
      <c r="S11" s="4">
        <f>[1]BUSCAR!JZ$467</f>
        <v>1827.6532031665115</v>
      </c>
      <c r="T11" s="4">
        <f>[1]BUSCAR!KA$467</f>
        <v>1854.6121847193963</v>
      </c>
      <c r="U11" s="4">
        <f>[1]BUSCAR!KB$467</f>
        <v>1889.885819811378</v>
      </c>
      <c r="V11" s="4">
        <f>[1]BUSCAR!KC$467</f>
        <v>1911.8785600036988</v>
      </c>
      <c r="W11" s="4">
        <f>[1]BUSCAR!KD$467</f>
        <v>1932.2984668061936</v>
      </c>
      <c r="X11" s="4">
        <f>[1]BUSCAR!KE$467</f>
        <v>1951.4931762251856</v>
      </c>
      <c r="Y11" s="4">
        <f>[1]BUSCAR!KF$467</f>
        <v>1969.7164100877583</v>
      </c>
      <c r="Z11" s="4">
        <f>[1]BUSCAR!KG$467</f>
        <v>1987.1833978294139</v>
      </c>
      <c r="AA11" s="4">
        <f>[1]BUSCAR!KH$467</f>
        <v>2005.9896577868544</v>
      </c>
      <c r="AB11" s="4">
        <f>[1]BUSCAR!KI$467</f>
        <v>2023.1225537165587</v>
      </c>
      <c r="AC11" s="4">
        <f>[1]BUSCAR!KJ$467</f>
        <v>2043.6467709536876</v>
      </c>
      <c r="AD11" s="4">
        <f>[1]BUSCAR!KK$467</f>
        <v>2062.36825873619</v>
      </c>
      <c r="AE11" s="4">
        <f>[1]BUSCAR!KL$467</f>
        <v>2079.2870170640663</v>
      </c>
      <c r="AF11" s="4">
        <f>[1]BUSCAR!KM$467</f>
        <v>2086.2758734157005</v>
      </c>
      <c r="AG11" s="4">
        <f>[1]BUSCAR!KN$467</f>
        <v>2092.3538769902607</v>
      </c>
      <c r="AH11" s="4">
        <f>[1]BUSCAR!KO$467</f>
        <v>2097.5210277877459</v>
      </c>
      <c r="AI11" s="4">
        <f>[1]BUSCAR!KP$467</f>
        <v>2101.777325808157</v>
      </c>
      <c r="AJ11" s="4">
        <f>[1]BUSCAR!KQ$467</f>
        <v>2105.1227710514941</v>
      </c>
      <c r="AK11" s="4">
        <f>[1]BUSCAR!KR$467</f>
        <v>2101.6019806955378</v>
      </c>
      <c r="AL11" s="4">
        <f>[1]BUSCAR!KS$467</f>
        <v>2098.0242620410149</v>
      </c>
      <c r="AM11" s="4">
        <f>[1]BUSCAR!KT$467</f>
        <v>2094.3896150879245</v>
      </c>
      <c r="AN11" s="4">
        <f>[1]BUSCAR!KU$467</f>
        <v>2090.6980398362675</v>
      </c>
      <c r="AO11" s="4">
        <f>[1]BUSCAR!KV$467</f>
        <v>2086.9495362860434</v>
      </c>
      <c r="AP11" s="4">
        <f>[1]BUSCAR!KW$467</f>
        <v>2083.203307149086</v>
      </c>
      <c r="AQ11" s="4">
        <f>[1]BUSCAR!KX$467</f>
        <v>2079.2293648178593</v>
      </c>
      <c r="AR11" s="4">
        <f>[1]BUSCAR!KY$467</f>
        <v>2075.0277092923643</v>
      </c>
      <c r="AS11" s="4">
        <f>[1]BUSCAR!KZ$467</f>
        <v>2070.598340572601</v>
      </c>
      <c r="AT11" s="4">
        <f>[1]BUSCAR!LA$467</f>
        <v>2065.9412586585695</v>
      </c>
    </row>
    <row r="12" spans="1:46">
      <c r="A12" t="s">
        <v>44</v>
      </c>
      <c r="K12" s="1"/>
      <c r="L12" s="1"/>
      <c r="M12" s="1"/>
      <c r="N12" s="1"/>
      <c r="O12" s="1"/>
      <c r="P12" s="4">
        <f>[1]BUSCAR!LH$467</f>
        <v>1748.4241816996921</v>
      </c>
      <c r="Q12" s="4">
        <f>[1]BUSCAR!LI$467</f>
        <v>1797.1578304900665</v>
      </c>
      <c r="R12" s="4">
        <f>[1]BUSCAR!LJ$467</f>
        <v>1830.0763795095622</v>
      </c>
      <c r="S12" s="4">
        <f>[1]BUSCAR!LK$467</f>
        <v>1827.6532031665115</v>
      </c>
      <c r="T12" s="4">
        <f>[1]BUSCAR!LL$467</f>
        <v>1854.6121847193963</v>
      </c>
      <c r="U12" s="4">
        <f>[1]BUSCAR!LM$467</f>
        <v>1889.885819811378</v>
      </c>
      <c r="V12" s="4">
        <f>[1]BUSCAR!LN$467</f>
        <v>1911.8785600036988</v>
      </c>
      <c r="W12" s="4">
        <f>[1]BUSCAR!LO$467</f>
        <v>1932.2984668061936</v>
      </c>
      <c r="X12" s="4">
        <f>[1]BUSCAR!LP$467</f>
        <v>1951.4931762251856</v>
      </c>
      <c r="Y12" s="4">
        <f>[1]BUSCAR!LQ$467</f>
        <v>1969.7164100877583</v>
      </c>
      <c r="Z12" s="4">
        <f>[1]BUSCAR!LR$467</f>
        <v>1987.1833978294139</v>
      </c>
      <c r="AA12" s="4">
        <f>[1]BUSCAR!LS$467</f>
        <v>2005.9896577868544</v>
      </c>
      <c r="AB12" s="4">
        <f>[1]BUSCAR!LT$467</f>
        <v>2023.1225537165587</v>
      </c>
      <c r="AC12" s="4">
        <f>[1]BUSCAR!LU$467</f>
        <v>2043.6467709536876</v>
      </c>
      <c r="AD12" s="4">
        <f>[1]BUSCAR!LV$467</f>
        <v>2062.36825873619</v>
      </c>
      <c r="AE12" s="4">
        <f>[1]BUSCAR!LW$467</f>
        <v>2079.2870170640663</v>
      </c>
      <c r="AF12" s="4">
        <f>[1]BUSCAR!LX$467</f>
        <v>2086.2758734157005</v>
      </c>
      <c r="AG12" s="4">
        <f>[1]BUSCAR!LY$467</f>
        <v>2092.3538769902607</v>
      </c>
      <c r="AH12" s="4">
        <f>[1]BUSCAR!LZ$467</f>
        <v>2097.5210277877459</v>
      </c>
      <c r="AI12" s="4">
        <f>[1]BUSCAR!MA$467</f>
        <v>2101.777325808157</v>
      </c>
      <c r="AJ12" s="4">
        <f>[1]BUSCAR!MB$467</f>
        <v>2105.1227710514941</v>
      </c>
      <c r="AK12" s="4">
        <f>[1]BUSCAR!MC$467</f>
        <v>2101.6019806955378</v>
      </c>
      <c r="AL12" s="4">
        <f>[1]BUSCAR!MD$467</f>
        <v>2098.0242620410149</v>
      </c>
      <c r="AM12" s="4">
        <f>[1]BUSCAR!ME$467</f>
        <v>2094.3896150879245</v>
      </c>
      <c r="AN12" s="4">
        <f>[1]BUSCAR!MF$467</f>
        <v>2090.6980398362675</v>
      </c>
      <c r="AO12" s="4">
        <f>[1]BUSCAR!MG$467</f>
        <v>2086.9495362860434</v>
      </c>
      <c r="AP12" s="4">
        <f>[1]BUSCAR!MH$467</f>
        <v>2083.203307149086</v>
      </c>
      <c r="AQ12" s="4">
        <f>[1]BUSCAR!MI$467</f>
        <v>2079.2293648178593</v>
      </c>
      <c r="AR12" s="4">
        <f>[1]BUSCAR!MJ$467</f>
        <v>2075.0277092923643</v>
      </c>
      <c r="AS12" s="4">
        <f>[1]BUSCAR!MK$467</f>
        <v>2070.598340572601</v>
      </c>
      <c r="AT12" s="4">
        <f>[1]BUSCAR!ML$467</f>
        <v>2065.9412586585695</v>
      </c>
    </row>
    <row r="13" spans="1:46">
      <c r="A13" t="s">
        <v>29</v>
      </c>
      <c r="P13" s="4">
        <f t="shared" ref="P13:AT13" si="2">P11-P10</f>
        <v>0</v>
      </c>
      <c r="Q13" s="4">
        <f t="shared" si="2"/>
        <v>17.687179435832604</v>
      </c>
      <c r="R13" s="4">
        <f t="shared" si="2"/>
        <v>37.509579173161455</v>
      </c>
      <c r="S13" s="4">
        <f t="shared" si="2"/>
        <v>56.436892389175682</v>
      </c>
      <c r="T13" s="4">
        <f t="shared" si="2"/>
        <v>56.720293145498545</v>
      </c>
      <c r="U13" s="4">
        <f t="shared" si="2"/>
        <v>58.222851545123831</v>
      </c>
      <c r="V13" s="4">
        <f t="shared" si="2"/>
        <v>75.939347480803917</v>
      </c>
      <c r="W13" s="4">
        <f t="shared" si="2"/>
        <v>92.074132333944362</v>
      </c>
      <c r="X13" s="4">
        <f t="shared" si="2"/>
        <v>106.80558247246154</v>
      </c>
      <c r="Y13" s="4">
        <f t="shared" si="2"/>
        <v>120.36945106871417</v>
      </c>
      <c r="Z13" s="4">
        <f t="shared" si="2"/>
        <v>132.96837400773688</v>
      </c>
      <c r="AA13" s="4">
        <f t="shared" si="2"/>
        <v>158.68217235583802</v>
      </c>
      <c r="AB13" s="4">
        <f t="shared" si="2"/>
        <v>182.03185283713719</v>
      </c>
      <c r="AC13" s="4">
        <f t="shared" si="2"/>
        <v>206.32479702324599</v>
      </c>
      <c r="AD13" s="4">
        <f t="shared" si="2"/>
        <v>228.81501175472818</v>
      </c>
      <c r="AE13" s="4">
        <f t="shared" si="2"/>
        <v>249.50249703158443</v>
      </c>
      <c r="AF13" s="4">
        <f t="shared" si="2"/>
        <v>258.75258955260665</v>
      </c>
      <c r="AG13" s="4">
        <f t="shared" si="2"/>
        <v>267.09182929655458</v>
      </c>
      <c r="AH13" s="4">
        <f t="shared" si="2"/>
        <v>274.52021626342776</v>
      </c>
      <c r="AI13" s="4">
        <f t="shared" si="2"/>
        <v>281.03775045322686</v>
      </c>
      <c r="AJ13" s="4">
        <f t="shared" si="2"/>
        <v>286.64443186595167</v>
      </c>
      <c r="AK13" s="4">
        <f t="shared" si="2"/>
        <v>285.38487767938341</v>
      </c>
      <c r="AL13" s="4">
        <f t="shared" si="2"/>
        <v>284.06839519424852</v>
      </c>
      <c r="AM13" s="4">
        <f t="shared" si="2"/>
        <v>282.69498441054589</v>
      </c>
      <c r="AN13" s="4">
        <f t="shared" si="2"/>
        <v>281.26464532827686</v>
      </c>
      <c r="AO13" s="4">
        <f t="shared" si="2"/>
        <v>279.77737794744075</v>
      </c>
      <c r="AP13" s="4">
        <f t="shared" si="2"/>
        <v>278.29238497987103</v>
      </c>
      <c r="AQ13" s="4">
        <f t="shared" si="2"/>
        <v>276.57967881803233</v>
      </c>
      <c r="AR13" s="4">
        <f t="shared" si="2"/>
        <v>274.63925946192535</v>
      </c>
      <c r="AS13" s="4">
        <f t="shared" si="2"/>
        <v>272.47112691154985</v>
      </c>
      <c r="AT13" s="4">
        <f t="shared" si="2"/>
        <v>270.07528116690628</v>
      </c>
    </row>
    <row r="14" spans="1:46">
      <c r="A14" t="s">
        <v>45</v>
      </c>
      <c r="K14" s="1"/>
      <c r="L14" s="1"/>
      <c r="M14" s="1"/>
      <c r="N14" s="1"/>
      <c r="O14" s="1"/>
      <c r="S14" s="2">
        <f t="shared" ref="S14:AT14" si="3">S11/S10-1</f>
        <v>3.1863354038563108E-2</v>
      </c>
      <c r="T14" s="2">
        <f t="shared" si="3"/>
        <v>3.1548222343805499E-2</v>
      </c>
      <c r="U14" s="2">
        <f t="shared" si="3"/>
        <v>3.1786880312503207E-2</v>
      </c>
      <c r="V14" s="2">
        <f t="shared" si="3"/>
        <v>4.1362669832869958E-2</v>
      </c>
      <c r="W14" s="2">
        <f t="shared" si="3"/>
        <v>5.0034189098118853E-2</v>
      </c>
      <c r="X14" s="2">
        <f t="shared" si="3"/>
        <v>5.7899008392625628E-2</v>
      </c>
      <c r="Y14" s="2">
        <f t="shared" si="3"/>
        <v>6.5087543730875774E-2</v>
      </c>
      <c r="Z14" s="2">
        <f t="shared" si="3"/>
        <v>7.1711410111260365E-2</v>
      </c>
      <c r="AA14" s="2">
        <f t="shared" si="3"/>
        <v>8.5899166006364158E-2</v>
      </c>
      <c r="AB14" s="2">
        <f t="shared" si="3"/>
        <v>9.8871746378484948E-2</v>
      </c>
      <c r="AC14" s="2">
        <f t="shared" si="3"/>
        <v>0.11229648365978617</v>
      </c>
      <c r="AD14" s="2">
        <f t="shared" si="3"/>
        <v>0.12479321892146911</v>
      </c>
      <c r="AE14" s="2">
        <f t="shared" si="3"/>
        <v>0.13635621806831955</v>
      </c>
      <c r="AF14" s="2">
        <f t="shared" si="3"/>
        <v>0.14158648036792432</v>
      </c>
      <c r="AG14" s="2">
        <f t="shared" si="3"/>
        <v>0.14633067598925642</v>
      </c>
      <c r="AH14" s="2">
        <f t="shared" si="3"/>
        <v>0.1505869961922206</v>
      </c>
      <c r="AI14" s="2">
        <f t="shared" si="3"/>
        <v>0.15435362325138779</v>
      </c>
      <c r="AJ14" s="2">
        <f t="shared" si="3"/>
        <v>0.1576287304001287</v>
      </c>
      <c r="AK14" s="2">
        <f t="shared" si="3"/>
        <v>0.15713147795241578</v>
      </c>
      <c r="AL14" s="2">
        <f t="shared" si="3"/>
        <v>0.15660160226943676</v>
      </c>
      <c r="AM14" s="2">
        <f t="shared" si="3"/>
        <v>0.15603898119676396</v>
      </c>
      <c r="AN14" s="2">
        <f t="shared" si="3"/>
        <v>0.15544349196935014</v>
      </c>
      <c r="AO14" s="2">
        <f t="shared" si="3"/>
        <v>0.15481501120770358</v>
      </c>
      <c r="AP14" s="2">
        <f t="shared" si="3"/>
        <v>0.15418621581912095</v>
      </c>
      <c r="AQ14" s="2">
        <f t="shared" si="3"/>
        <v>0.15342952153492284</v>
      </c>
      <c r="AR14" s="2">
        <f t="shared" si="3"/>
        <v>0.15254444644309451</v>
      </c>
      <c r="AS14" s="2">
        <f t="shared" si="3"/>
        <v>0.15153050620750519</v>
      </c>
      <c r="AT14" s="2">
        <f t="shared" si="3"/>
        <v>0.15038721405264788</v>
      </c>
    </row>
    <row r="15" spans="1:46">
      <c r="A15" t="s">
        <v>46</v>
      </c>
      <c r="K15" s="1"/>
      <c r="L15" s="1"/>
      <c r="M15" s="1"/>
      <c r="N15" s="1"/>
      <c r="O15" s="1"/>
      <c r="S15" s="2">
        <f t="shared" ref="S15:AT15" si="4">S12/S10-1</f>
        <v>3.1863354038563108E-2</v>
      </c>
      <c r="T15" s="2">
        <f t="shared" si="4"/>
        <v>3.1548222343805499E-2</v>
      </c>
      <c r="U15" s="2">
        <f t="shared" si="4"/>
        <v>3.1786880312503207E-2</v>
      </c>
      <c r="V15" s="2">
        <f t="shared" si="4"/>
        <v>4.1362669832869958E-2</v>
      </c>
      <c r="W15" s="2">
        <f t="shared" si="4"/>
        <v>5.0034189098118853E-2</v>
      </c>
      <c r="X15" s="2">
        <f t="shared" si="4"/>
        <v>5.7899008392625628E-2</v>
      </c>
      <c r="Y15" s="2">
        <f t="shared" si="4"/>
        <v>6.5087543730875774E-2</v>
      </c>
      <c r="Z15" s="2">
        <f t="shared" si="4"/>
        <v>7.1711410111260365E-2</v>
      </c>
      <c r="AA15" s="2">
        <f t="shared" si="4"/>
        <v>8.5899166006364158E-2</v>
      </c>
      <c r="AB15" s="2">
        <f t="shared" si="4"/>
        <v>9.8871746378484948E-2</v>
      </c>
      <c r="AC15" s="2">
        <f t="shared" si="4"/>
        <v>0.11229648365978617</v>
      </c>
      <c r="AD15" s="2">
        <f t="shared" si="4"/>
        <v>0.12479321892146911</v>
      </c>
      <c r="AE15" s="2">
        <f t="shared" si="4"/>
        <v>0.13635621806831955</v>
      </c>
      <c r="AF15" s="2">
        <f t="shared" si="4"/>
        <v>0.14158648036792432</v>
      </c>
      <c r="AG15" s="2">
        <f t="shared" si="4"/>
        <v>0.14633067598925642</v>
      </c>
      <c r="AH15" s="2">
        <f t="shared" si="4"/>
        <v>0.1505869961922206</v>
      </c>
      <c r="AI15" s="2">
        <f t="shared" si="4"/>
        <v>0.15435362325138779</v>
      </c>
      <c r="AJ15" s="2">
        <f t="shared" si="4"/>
        <v>0.1576287304001287</v>
      </c>
      <c r="AK15" s="2">
        <f t="shared" si="4"/>
        <v>0.15713147795241578</v>
      </c>
      <c r="AL15" s="2">
        <f t="shared" si="4"/>
        <v>0.15660160226943676</v>
      </c>
      <c r="AM15" s="2">
        <f t="shared" si="4"/>
        <v>0.15603898119676396</v>
      </c>
      <c r="AN15" s="2">
        <f t="shared" si="4"/>
        <v>0.15544349196935014</v>
      </c>
      <c r="AO15" s="2">
        <f t="shared" si="4"/>
        <v>0.15481501120770358</v>
      </c>
      <c r="AP15" s="2">
        <f t="shared" si="4"/>
        <v>0.15418621581912095</v>
      </c>
      <c r="AQ15" s="2">
        <f t="shared" si="4"/>
        <v>0.15342952153492284</v>
      </c>
      <c r="AR15" s="2">
        <f t="shared" si="4"/>
        <v>0.15254444644309451</v>
      </c>
      <c r="AS15" s="2">
        <f t="shared" si="4"/>
        <v>0.15153050620750519</v>
      </c>
      <c r="AT15" s="2">
        <f t="shared" si="4"/>
        <v>0.15038721405264788</v>
      </c>
    </row>
    <row r="16" spans="1:46">
      <c r="A16" s="3" t="s">
        <v>35</v>
      </c>
    </row>
    <row r="18" spans="1:49">
      <c r="A18" t="s">
        <v>8</v>
      </c>
      <c r="AT18" s="5">
        <f>SUM(T5:AT5)-SUM(T13:AT13)</f>
        <v>1259.1948284794207</v>
      </c>
      <c r="AU18" s="22">
        <f>(SUM(T5:AT5)-SUM(T13:AT13))/SUM(T13:AT13)</f>
        <v>0.21629141934579721</v>
      </c>
    </row>
    <row r="20" spans="1:49">
      <c r="A20" t="s">
        <v>21</v>
      </c>
      <c r="B20" s="52">
        <f>résultats!B32</f>
        <v>0</v>
      </c>
      <c r="C20">
        <f>résultats!C32</f>
        <v>0</v>
      </c>
      <c r="D20">
        <f>résultats!D32</f>
        <v>0</v>
      </c>
      <c r="E20">
        <f>résultats!E32</f>
        <v>0</v>
      </c>
      <c r="F20">
        <f>résultats!F32</f>
        <v>0</v>
      </c>
      <c r="G20">
        <f>résultats!G32</f>
        <v>0</v>
      </c>
      <c r="H20">
        <f>résultats!H32</f>
        <v>0</v>
      </c>
      <c r="I20">
        <f>résultats!I32</f>
        <v>0</v>
      </c>
      <c r="J20">
        <f>résultats!J32</f>
        <v>0</v>
      </c>
      <c r="K20">
        <f>résultats!K32</f>
        <v>0</v>
      </c>
      <c r="L20">
        <f>résultats!L32</f>
        <v>0</v>
      </c>
      <c r="M20">
        <f>résultats!M32</f>
        <v>0</v>
      </c>
      <c r="N20">
        <f>résultats!N32</f>
        <v>0</v>
      </c>
      <c r="O20">
        <f>résultats!O32</f>
        <v>0</v>
      </c>
      <c r="P20" s="4">
        <f>résultats!P32</f>
        <v>0</v>
      </c>
      <c r="Q20" s="4">
        <f>résultats!Q32</f>
        <v>0</v>
      </c>
      <c r="R20" s="4">
        <f>résultats!R32</f>
        <v>0</v>
      </c>
      <c r="S20" s="4">
        <f>résultats!S32</f>
        <v>0</v>
      </c>
      <c r="T20" s="4">
        <f>résultats!T32</f>
        <v>0</v>
      </c>
      <c r="U20" s="4">
        <f>résultats!U32</f>
        <v>0</v>
      </c>
      <c r="V20" s="4">
        <f>résultats!V32</f>
        <v>276.70909760000001</v>
      </c>
      <c r="W20" s="4">
        <f>résultats!W32</f>
        <v>271.54015950000002</v>
      </c>
      <c r="X20" s="4">
        <f>résultats!X32</f>
        <v>230.5770133</v>
      </c>
      <c r="Y20" s="4">
        <f>résultats!Y32</f>
        <v>226.96829980000001</v>
      </c>
      <c r="Z20" s="4">
        <f>résultats!Z32</f>
        <v>220.98806669999999</v>
      </c>
      <c r="AA20" s="4">
        <f>résultats!AA32</f>
        <v>212.56867320000001</v>
      </c>
      <c r="AB20" s="4">
        <f>résultats!AB32</f>
        <v>202.04223250000001</v>
      </c>
      <c r="AC20" s="4">
        <f>résultats!AC32</f>
        <v>341.87340449999999</v>
      </c>
      <c r="AD20" s="4">
        <f>résultats!AD32</f>
        <v>370.09420019999999</v>
      </c>
      <c r="AE20" s="4">
        <f>résultats!AE32</f>
        <v>401.96537660000001</v>
      </c>
      <c r="AF20" s="4">
        <f>résultats!AF32</f>
        <v>435.42098579999998</v>
      </c>
      <c r="AG20" s="4">
        <f>résultats!AG32</f>
        <v>470.41640169999999</v>
      </c>
      <c r="AH20" s="4">
        <f>résultats!AH32</f>
        <v>555.95044800000005</v>
      </c>
      <c r="AI20" s="4">
        <f>résultats!AI32</f>
        <v>601.27361689999998</v>
      </c>
      <c r="AJ20" s="4">
        <f>résultats!AJ32</f>
        <v>649.74600599999997</v>
      </c>
      <c r="AK20" s="4">
        <f>résultats!AK32</f>
        <v>701.14784499999996</v>
      </c>
      <c r="AL20" s="4">
        <f>résultats!AL32</f>
        <v>755.71857620000003</v>
      </c>
      <c r="AM20" s="4">
        <f>résultats!AM32</f>
        <v>711.88091099999997</v>
      </c>
      <c r="AN20" s="4">
        <f>résultats!AN32</f>
        <v>763.1404288</v>
      </c>
      <c r="AO20" s="4">
        <f>résultats!AO32</f>
        <v>816.26136299999996</v>
      </c>
      <c r="AP20" s="4">
        <f>résultats!AP32</f>
        <v>871.72029569999995</v>
      </c>
      <c r="AQ20" s="4">
        <f>résultats!AQ32</f>
        <v>943.28910580000002</v>
      </c>
      <c r="AR20" s="4">
        <f>résultats!AR32</f>
        <v>811.19679910000002</v>
      </c>
      <c r="AS20" s="4">
        <f>résultats!AS32</f>
        <v>856.5171216</v>
      </c>
      <c r="AT20" s="4">
        <f>résultats!AT32</f>
        <v>903.93697410000004</v>
      </c>
    </row>
    <row r="21" spans="1:49">
      <c r="A21" t="s">
        <v>86</v>
      </c>
      <c r="AT21" s="5">
        <f>SUM(U20:AT20)</f>
        <v>13602.943402600002</v>
      </c>
    </row>
    <row r="22" spans="1:49">
      <c r="AT22" s="5"/>
    </row>
    <row r="23" spans="1:49">
      <c r="A23" s="12" t="s">
        <v>9</v>
      </c>
    </row>
    <row r="24" spans="1:49">
      <c r="A24" s="12" t="s">
        <v>30</v>
      </c>
    </row>
    <row r="25" spans="1:49">
      <c r="A25" t="s">
        <v>5</v>
      </c>
      <c r="B25" s="52">
        <f>résultats!B33</f>
        <v>0.70773560509036804</v>
      </c>
      <c r="C25">
        <f>résultats!C33</f>
        <v>0.71909852915366201</v>
      </c>
      <c r="D25">
        <f>résultats!D33</f>
        <v>0.72654361420000002</v>
      </c>
      <c r="E25">
        <f>résultats!E33</f>
        <v>0.72476181019999997</v>
      </c>
      <c r="F25">
        <f>résultats!F33</f>
        <v>0.72449532890000001</v>
      </c>
      <c r="G25">
        <f>résultats!G33</f>
        <v>0.72617212519999996</v>
      </c>
      <c r="H25">
        <f>résultats!H33</f>
        <v>0.73053261869999997</v>
      </c>
      <c r="I25">
        <f>résultats!I33</f>
        <v>0.73767848930000002</v>
      </c>
      <c r="J25">
        <f>résultats!J33</f>
        <v>0.74096636569999996</v>
      </c>
      <c r="K25">
        <f>résultats!K33</f>
        <v>0.74287378150000005</v>
      </c>
      <c r="L25">
        <f>résultats!L33</f>
        <v>0.75034505340000002</v>
      </c>
      <c r="M25">
        <f>résultats!M33</f>
        <v>0.7458922442</v>
      </c>
      <c r="N25">
        <f>résultats!N33</f>
        <v>0.75621937829999997</v>
      </c>
      <c r="O25">
        <f>résultats!O33</f>
        <v>0.76356704580000001</v>
      </c>
      <c r="P25" s="4">
        <f>résultats!R33</f>
        <v>0.77237769720000005</v>
      </c>
      <c r="Q25" s="4">
        <f>résultats!S33</f>
        <v>0.76189788209999998</v>
      </c>
      <c r="R25" s="4">
        <f>résultats!T33</f>
        <v>0.75768333659999998</v>
      </c>
      <c r="S25" s="4">
        <f>résultats!U33</f>
        <v>0.75675750050000001</v>
      </c>
      <c r="T25" s="4">
        <f>résultats!V33</f>
        <v>0.75450662719999995</v>
      </c>
      <c r="U25" s="4">
        <f>résultats!W33</f>
        <v>0.73471719889999998</v>
      </c>
      <c r="V25" s="4">
        <f>résultats!X33</f>
        <v>0.72232529909999998</v>
      </c>
      <c r="W25" s="4">
        <f>résultats!Y33</f>
        <v>0.70771974400000004</v>
      </c>
      <c r="X25" s="4">
        <f>résultats!Z33</f>
        <v>0.69244574520000002</v>
      </c>
      <c r="Y25" s="4">
        <f>résultats!AA33</f>
        <v>0.67695424150000005</v>
      </c>
      <c r="Z25" s="4">
        <f>résultats!AB33</f>
        <v>0.6614182193</v>
      </c>
      <c r="AA25" s="4">
        <f>résultats!AC33</f>
        <v>0.64457676669999997</v>
      </c>
      <c r="AB25" s="4">
        <f>résultats!AD33</f>
        <v>0.6258387983</v>
      </c>
      <c r="AC25" s="4">
        <f>résultats!AE33</f>
        <v>0.60802037730000003</v>
      </c>
      <c r="AD25" s="4">
        <f>résultats!AF33</f>
        <v>0.59049842109999995</v>
      </c>
      <c r="AE25" s="4">
        <f>résultats!AG33</f>
        <v>0.57133785479999999</v>
      </c>
      <c r="AF25" s="4">
        <f>résultats!AH33</f>
        <v>0.56169156949999999</v>
      </c>
      <c r="AG25" s="4">
        <f>résultats!AI33</f>
        <v>0.55155987289999997</v>
      </c>
      <c r="AH25" s="4">
        <f>résultats!AJ33</f>
        <v>0.54120030880000003</v>
      </c>
      <c r="AI25" s="4">
        <f>résultats!AK33</f>
        <v>0.53070069470000003</v>
      </c>
      <c r="AJ25" s="4">
        <f>résultats!AL33</f>
        <v>0.52007503779999997</v>
      </c>
      <c r="AK25" s="4">
        <f>résultats!AM33</f>
        <v>0.51754576500000005</v>
      </c>
      <c r="AL25" s="4">
        <f>résultats!AN33</f>
        <v>0.51521576199999997</v>
      </c>
      <c r="AM25" s="4">
        <f>résultats!AO33</f>
        <v>0.51295128150000002</v>
      </c>
      <c r="AN25" s="4">
        <f>résultats!AP33</f>
        <v>0.51070470830000003</v>
      </c>
      <c r="AO25" s="4">
        <f>résultats!AQ33</f>
        <v>0.50842493639999997</v>
      </c>
      <c r="AP25" s="4">
        <f>résultats!AR33</f>
        <v>0.51214123060000005</v>
      </c>
      <c r="AQ25" s="4">
        <f>résultats!AS33</f>
        <v>0.51596942000000001</v>
      </c>
      <c r="AR25" s="4">
        <f>résultats!AT33</f>
        <v>0.51986754440000005</v>
      </c>
      <c r="AS25" s="4">
        <f>résultats!AU33</f>
        <v>0.52381600579999998</v>
      </c>
      <c r="AT25" s="4">
        <f>résultats!AV33</f>
        <v>0.52786211490000001</v>
      </c>
    </row>
    <row r="26" spans="1:49">
      <c r="A26" t="s">
        <v>6</v>
      </c>
      <c r="B26" s="52">
        <f>résultats!B34</f>
        <v>0.273913131298955</v>
      </c>
      <c r="C26">
        <f>résultats!C34</f>
        <v>0.27831089522167202</v>
      </c>
      <c r="D26">
        <f>résultats!D34</f>
        <v>0.28277923970000002</v>
      </c>
      <c r="E26">
        <f>résultats!E34</f>
        <v>0.28920355910000001</v>
      </c>
      <c r="F26">
        <f>résultats!F34</f>
        <v>0.28082646179999998</v>
      </c>
      <c r="G26">
        <f>résultats!G34</f>
        <v>0.26343695379999998</v>
      </c>
      <c r="H26">
        <f>résultats!H34</f>
        <v>0.2712627796</v>
      </c>
      <c r="I26">
        <f>résultats!I34</f>
        <v>0.27122685759999998</v>
      </c>
      <c r="J26">
        <f>résultats!J34</f>
        <v>0.26700272689999999</v>
      </c>
      <c r="K26">
        <f>résultats!K34</f>
        <v>0.26857960040000001</v>
      </c>
      <c r="L26">
        <f>résultats!L34</f>
        <v>0.268752198</v>
      </c>
      <c r="M26">
        <f>résultats!M34</f>
        <v>0.26855721459999998</v>
      </c>
      <c r="N26">
        <f>résultats!N34</f>
        <v>0.27400830879999999</v>
      </c>
      <c r="O26">
        <f>résultats!O34</f>
        <v>0.2872695924</v>
      </c>
      <c r="P26" s="4">
        <f>résultats!R34</f>
        <v>0.2962175064</v>
      </c>
      <c r="Q26" s="4">
        <f>résultats!S34</f>
        <v>0.29807896649999999</v>
      </c>
      <c r="R26" s="4">
        <f>résultats!T34</f>
        <v>0.30122855300000001</v>
      </c>
      <c r="S26" s="4">
        <f>résultats!U34</f>
        <v>0.30477393120000001</v>
      </c>
      <c r="T26" s="4">
        <f>résultats!V34</f>
        <v>0.30704096600000003</v>
      </c>
      <c r="U26" s="4">
        <f>résultats!W34</f>
        <v>0.31182144020000002</v>
      </c>
      <c r="V26" s="4">
        <f>résultats!X34</f>
        <v>0.31788802290000001</v>
      </c>
      <c r="W26" s="4">
        <f>résultats!Y34</f>
        <v>0.32314305119999998</v>
      </c>
      <c r="X26" s="4">
        <f>résultats!Z34</f>
        <v>0.32821958919999999</v>
      </c>
      <c r="Y26" s="4">
        <f>résultats!AA34</f>
        <v>0.33331439239999999</v>
      </c>
      <c r="Z26" s="4">
        <f>résultats!AB34</f>
        <v>0.33851410259999998</v>
      </c>
      <c r="AA26" s="4">
        <f>résultats!AC34</f>
        <v>0.34398275099999998</v>
      </c>
      <c r="AB26" s="4">
        <f>résultats!AD34</f>
        <v>0.34855417649999998</v>
      </c>
      <c r="AC26" s="4">
        <f>résultats!AE34</f>
        <v>0.35374142949999998</v>
      </c>
      <c r="AD26" s="4">
        <f>résultats!AF34</f>
        <v>0.35924724940000002</v>
      </c>
      <c r="AE26" s="4">
        <f>résultats!AG34</f>
        <v>0.36387955690000001</v>
      </c>
      <c r="AF26" s="4">
        <f>résultats!AH34</f>
        <v>0.36875999329999998</v>
      </c>
      <c r="AG26" s="4">
        <f>résultats!AI34</f>
        <v>0.37348207570000003</v>
      </c>
      <c r="AH26" s="4">
        <f>résultats!AJ34</f>
        <v>0.37820747640000002</v>
      </c>
      <c r="AI26" s="4">
        <f>résultats!AK34</f>
        <v>0.38299696509999998</v>
      </c>
      <c r="AJ26" s="4">
        <f>résultats!AL34</f>
        <v>0.38786444619999999</v>
      </c>
      <c r="AK26" s="4">
        <f>résultats!AM34</f>
        <v>0.39081078609999997</v>
      </c>
      <c r="AL26" s="4">
        <f>résultats!AN34</f>
        <v>0.39397312670000001</v>
      </c>
      <c r="AM26" s="4">
        <f>résultats!AO34</f>
        <v>0.39725595670000002</v>
      </c>
      <c r="AN26" s="4">
        <f>résultats!AP34</f>
        <v>0.40062635940000002</v>
      </c>
      <c r="AO26" s="4">
        <f>résultats!AQ34</f>
        <v>0.40404690469999999</v>
      </c>
      <c r="AP26" s="4">
        <f>résultats!AR34</f>
        <v>0.40700025550000002</v>
      </c>
      <c r="AQ26" s="4">
        <f>résultats!AS34</f>
        <v>0.41004252969999999</v>
      </c>
      <c r="AR26" s="4">
        <f>résultats!AT34</f>
        <v>0.41314038149999999</v>
      </c>
      <c r="AS26" s="4">
        <f>résultats!AU34</f>
        <v>0.41627823619999998</v>
      </c>
      <c r="AT26" s="4">
        <f>résultats!AV34</f>
        <v>0.41949369190000002</v>
      </c>
    </row>
    <row r="27" spans="1:49">
      <c r="A27" t="s">
        <v>7</v>
      </c>
      <c r="B27" s="52">
        <f>résultats!B35</f>
        <v>2.4964280861431799E-2</v>
      </c>
      <c r="C27">
        <f>résultats!C35</f>
        <v>2.5365090465587499E-2</v>
      </c>
      <c r="D27">
        <f>résultats!D35</f>
        <v>2.5772333599999999E-2</v>
      </c>
      <c r="E27">
        <f>résultats!E35</f>
        <v>2.7975774799999999E-2</v>
      </c>
      <c r="F27">
        <f>résultats!F35</f>
        <v>2.9458840399999998E-2</v>
      </c>
      <c r="G27">
        <f>résultats!G35</f>
        <v>3.0540280600000001E-2</v>
      </c>
      <c r="H27">
        <f>résultats!H35</f>
        <v>3.2984811599999997E-2</v>
      </c>
      <c r="I27">
        <f>résultats!I35</f>
        <v>3.5144613800000002E-2</v>
      </c>
      <c r="J27">
        <f>résultats!J35</f>
        <v>3.7017832399999999E-2</v>
      </c>
      <c r="K27">
        <f>résultats!K35</f>
        <v>3.9161347499999999E-2</v>
      </c>
      <c r="L27">
        <f>résultats!L35</f>
        <v>4.1460472999999998E-2</v>
      </c>
      <c r="M27">
        <f>résultats!M35</f>
        <v>4.3312931399999997E-2</v>
      </c>
      <c r="N27">
        <f>résultats!N35</f>
        <v>4.3163438800000002E-2</v>
      </c>
      <c r="O27">
        <f>résultats!O35</f>
        <v>4.5023950299999997E-2</v>
      </c>
      <c r="P27" s="4">
        <f>résultats!R35</f>
        <v>6.04209317E-2</v>
      </c>
      <c r="Q27" s="4">
        <f>résultats!S35</f>
        <v>6.9642752500000002E-2</v>
      </c>
      <c r="R27" s="4">
        <f>résultats!T35</f>
        <v>7.7451262100000001E-2</v>
      </c>
      <c r="S27" s="4">
        <f>résultats!U35</f>
        <v>8.4039171199999999E-2</v>
      </c>
      <c r="T27" s="4">
        <f>résultats!V35</f>
        <v>8.9208292600000003E-2</v>
      </c>
      <c r="U27" s="4">
        <f>résultats!W35</f>
        <v>0.1087829922</v>
      </c>
      <c r="V27" s="4">
        <f>résultats!X35</f>
        <v>0.124600059</v>
      </c>
      <c r="W27" s="4">
        <f>résultats!Y35</f>
        <v>0.14028877549999999</v>
      </c>
      <c r="X27" s="4">
        <f>résultats!Z35</f>
        <v>0.15604248670000001</v>
      </c>
      <c r="Y27" s="4">
        <f>résultats!AA35</f>
        <v>0.17193633250000001</v>
      </c>
      <c r="Z27" s="4">
        <f>résultats!AB35</f>
        <v>0.1880165362</v>
      </c>
      <c r="AA27" s="4">
        <f>résultats!AC35</f>
        <v>0.20562875720000001</v>
      </c>
      <c r="AB27" s="4">
        <f>résultats!AD35</f>
        <v>0.22281859609999999</v>
      </c>
      <c r="AC27" s="4">
        <f>résultats!AE35</f>
        <v>0.24050069560000001</v>
      </c>
      <c r="AD27" s="4">
        <f>résultats!AF35</f>
        <v>0.25853233269999998</v>
      </c>
      <c r="AE27" s="4">
        <f>résultats!AG35</f>
        <v>0.27604273010000002</v>
      </c>
      <c r="AF27" s="4">
        <f>résultats!AH35</f>
        <v>0.29024347919999999</v>
      </c>
      <c r="AG27" s="4">
        <f>résultats!AI35</f>
        <v>0.3044677086</v>
      </c>
      <c r="AH27" s="4">
        <f>résultats!AJ35</f>
        <v>0.31883582189999998</v>
      </c>
      <c r="AI27" s="4">
        <f>résultats!AK35</f>
        <v>0.3333985284</v>
      </c>
      <c r="AJ27" s="4">
        <f>résultats!AL35</f>
        <v>0.34817112179999998</v>
      </c>
      <c r="AK27" s="4">
        <f>résultats!AM35</f>
        <v>0.35690911130000003</v>
      </c>
      <c r="AL27" s="4">
        <f>résultats!AN35</f>
        <v>0.36592596189999999</v>
      </c>
      <c r="AM27" s="4">
        <f>résultats!AO35</f>
        <v>0.37514127720000001</v>
      </c>
      <c r="AN27" s="4">
        <f>résultats!AP35</f>
        <v>0.3845287798</v>
      </c>
      <c r="AO27" s="4">
        <f>résultats!AQ35</f>
        <v>0.39405573230000002</v>
      </c>
      <c r="AP27" s="4">
        <f>résultats!AR35</f>
        <v>0.39693605329999998</v>
      </c>
      <c r="AQ27" s="4">
        <f>résultats!AS35</f>
        <v>0.39990309889999998</v>
      </c>
      <c r="AR27" s="4">
        <f>résultats!AT35</f>
        <v>0.40292434780000003</v>
      </c>
      <c r="AS27" s="4">
        <f>résultats!AU35</f>
        <v>0.4059846104</v>
      </c>
      <c r="AT27" s="4">
        <f>résultats!AV35</f>
        <v>0.40912055520000001</v>
      </c>
    </row>
    <row r="28" spans="1:49">
      <c r="A28" t="s">
        <v>31</v>
      </c>
    </row>
    <row r="29" spans="1:49">
      <c r="A29" t="s">
        <v>32</v>
      </c>
      <c r="B29" s="53">
        <f t="shared" ref="B29:AT29" si="5">B25/SUM($AT$34:$AT$36)</f>
        <v>0.64433473496576477</v>
      </c>
      <c r="C29" s="2">
        <f t="shared" si="5"/>
        <v>0.65467973755161579</v>
      </c>
      <c r="D29" s="2">
        <f t="shared" si="5"/>
        <v>0.66145787173848802</v>
      </c>
      <c r="E29" s="2">
        <f t="shared" si="5"/>
        <v>0.65983568656108071</v>
      </c>
      <c r="F29" s="2">
        <f t="shared" si="5"/>
        <v>0.65959307737684048</v>
      </c>
      <c r="G29" s="2">
        <f t="shared" si="5"/>
        <v>0.66111966172808856</v>
      </c>
      <c r="H29" s="2">
        <f t="shared" si="5"/>
        <v>0.66508953042401731</v>
      </c>
      <c r="I29" s="2">
        <f t="shared" si="5"/>
        <v>0.6715952546041124</v>
      </c>
      <c r="J29" s="2">
        <f t="shared" si="5"/>
        <v>0.67458859414158512</v>
      </c>
      <c r="K29" s="2">
        <f t="shared" si="5"/>
        <v>0.67632513847413378</v>
      </c>
      <c r="L29" s="2">
        <f t="shared" si="5"/>
        <v>0.68312711362547429</v>
      </c>
      <c r="M29" s="2">
        <f t="shared" si="5"/>
        <v>0.679073199119691</v>
      </c>
      <c r="N29" s="2">
        <f t="shared" si="5"/>
        <v>0.68847520060925826</v>
      </c>
      <c r="O29" s="2">
        <f t="shared" si="5"/>
        <v>0.69516464417713497</v>
      </c>
      <c r="P29" s="2">
        <f t="shared" si="5"/>
        <v>0.70318601358947352</v>
      </c>
      <c r="Q29" s="2">
        <f t="shared" si="5"/>
        <v>0.69364500867693057</v>
      </c>
      <c r="R29" s="2">
        <f t="shared" si="5"/>
        <v>0.68980801356433208</v>
      </c>
      <c r="S29" s="2">
        <f t="shared" si="5"/>
        <v>0.6889651163668129</v>
      </c>
      <c r="T29" s="2">
        <f t="shared" si="5"/>
        <v>0.68691588238626178</v>
      </c>
      <c r="U29" s="2">
        <f t="shared" si="5"/>
        <v>0.66889924460925421</v>
      </c>
      <c r="V29" s="2">
        <f t="shared" si="5"/>
        <v>0.65761744471685535</v>
      </c>
      <c r="W29" s="2">
        <f t="shared" si="5"/>
        <v>0.64432029475478059</v>
      </c>
      <c r="X29" s="2">
        <f t="shared" si="5"/>
        <v>0.63041458208767698</v>
      </c>
      <c r="Y29" s="2">
        <f t="shared" si="5"/>
        <v>0.61631084919792622</v>
      </c>
      <c r="Z29" s="2">
        <f t="shared" si="5"/>
        <v>0.60216658589584027</v>
      </c>
      <c r="AA29" s="2">
        <f t="shared" si="5"/>
        <v>0.58683383618053675</v>
      </c>
      <c r="AB29" s="2">
        <f t="shared" si="5"/>
        <v>0.56977446568119716</v>
      </c>
      <c r="AC29" s="2">
        <f t="shared" si="5"/>
        <v>0.55355226703813554</v>
      </c>
      <c r="AD29" s="2">
        <f t="shared" si="5"/>
        <v>0.53759997507627044</v>
      </c>
      <c r="AE29" s="2">
        <f t="shared" si="5"/>
        <v>0.5201558641400571</v>
      </c>
      <c r="AF29" s="2">
        <f t="shared" si="5"/>
        <v>0.51137371917310159</v>
      </c>
      <c r="AG29" s="2">
        <f t="shared" si="5"/>
        <v>0.50214964736357182</v>
      </c>
      <c r="AH29" s="2">
        <f t="shared" si="5"/>
        <v>0.49271812104113671</v>
      </c>
      <c r="AI29" s="2">
        <f t="shared" si="5"/>
        <v>0.48315909077657559</v>
      </c>
      <c r="AJ29" s="2">
        <f t="shared" si="5"/>
        <v>0.47348530896701907</v>
      </c>
      <c r="AK29" s="2">
        <f t="shared" si="5"/>
        <v>0.47118261526682576</v>
      </c>
      <c r="AL29" s="2">
        <f t="shared" si="5"/>
        <v>0.46906134023886842</v>
      </c>
      <c r="AM29" s="2">
        <f t="shared" si="5"/>
        <v>0.46699971802810469</v>
      </c>
      <c r="AN29" s="2">
        <f t="shared" si="5"/>
        <v>0.46495439893296275</v>
      </c>
      <c r="AO29" s="2">
        <f t="shared" si="5"/>
        <v>0.46287885516717836</v>
      </c>
      <c r="AP29" s="2">
        <f t="shared" si="5"/>
        <v>0.46626223367913849</v>
      </c>
      <c r="AQ29" s="2">
        <f t="shared" si="5"/>
        <v>0.46974748351637508</v>
      </c>
      <c r="AR29" s="2">
        <f t="shared" si="5"/>
        <v>0.4732964033871182</v>
      </c>
      <c r="AS29" s="2">
        <f t="shared" si="5"/>
        <v>0.4768911509332257</v>
      </c>
      <c r="AT29" s="2">
        <f t="shared" si="5"/>
        <v>0.48057479863420322</v>
      </c>
      <c r="AW29" s="20">
        <v>0.20075426078265673</v>
      </c>
    </row>
    <row r="30" spans="1:49">
      <c r="A30" t="s">
        <v>33</v>
      </c>
      <c r="B30" s="53">
        <f t="shared" ref="B30:AT30" si="6">B26/SUM($AT$34:$AT$36)</f>
        <v>0.2493752519863959</v>
      </c>
      <c r="C30" s="2">
        <f t="shared" si="6"/>
        <v>0.25337905231974789</v>
      </c>
      <c r="D30" s="2">
        <f t="shared" si="6"/>
        <v>0.25744711041159923</v>
      </c>
      <c r="E30" s="2">
        <f t="shared" si="6"/>
        <v>0.26329592190018597</v>
      </c>
      <c r="F30" s="2">
        <f t="shared" si="6"/>
        <v>0.25566926763868569</v>
      </c>
      <c r="G30" s="2">
        <f t="shared" si="6"/>
        <v>0.23983755880875565</v>
      </c>
      <c r="H30" s="2">
        <f t="shared" si="6"/>
        <v>0.24696232596256787</v>
      </c>
      <c r="I30" s="2">
        <f t="shared" si="6"/>
        <v>0.24692962195250678</v>
      </c>
      <c r="J30" s="2">
        <f t="shared" si="6"/>
        <v>0.24308390030805496</v>
      </c>
      <c r="K30" s="2">
        <f t="shared" si="6"/>
        <v>0.24451951321404591</v>
      </c>
      <c r="L30" s="2">
        <f t="shared" si="6"/>
        <v>0.24467664905411365</v>
      </c>
      <c r="M30" s="2">
        <f t="shared" si="6"/>
        <v>0.24449913279456967</v>
      </c>
      <c r="N30" s="2">
        <f t="shared" si="6"/>
        <v>0.2494619032294158</v>
      </c>
      <c r="O30" s="2">
        <f t="shared" si="6"/>
        <v>0.2615352051690869</v>
      </c>
      <c r="P30" s="2">
        <f t="shared" si="6"/>
        <v>0.26968154082638407</v>
      </c>
      <c r="Q30" s="2">
        <f t="shared" si="6"/>
        <v>0.27137624629486157</v>
      </c>
      <c r="R30" s="2">
        <f t="shared" si="6"/>
        <v>0.27424368431568874</v>
      </c>
      <c r="S30" s="2">
        <f t="shared" si="6"/>
        <v>0.27747145794530387</v>
      </c>
      <c r="T30" s="2">
        <f t="shared" si="6"/>
        <v>0.2795354056349636</v>
      </c>
      <c r="U30" s="2">
        <f t="shared" si="6"/>
        <v>0.28388763202362233</v>
      </c>
      <c r="V30" s="2">
        <f t="shared" si="6"/>
        <v>0.28941075383357179</v>
      </c>
      <c r="W30" s="2">
        <f t="shared" si="6"/>
        <v>0.2941950224821524</v>
      </c>
      <c r="X30" s="2">
        <f t="shared" si="6"/>
        <v>0.29881679047467269</v>
      </c>
      <c r="Y30" s="2">
        <f t="shared" si="6"/>
        <v>0.30345518742116456</v>
      </c>
      <c r="Z30" s="2">
        <f t="shared" si="6"/>
        <v>0.30818909351479395</v>
      </c>
      <c r="AA30" s="2">
        <f t="shared" si="6"/>
        <v>0.31316784559691507</v>
      </c>
      <c r="AB30" s="2">
        <f t="shared" si="6"/>
        <v>0.31732975043365441</v>
      </c>
      <c r="AC30" s="2">
        <f t="shared" si="6"/>
        <v>0.32205231527695999</v>
      </c>
      <c r="AD30" s="2">
        <f t="shared" si="6"/>
        <v>0.32706490893555201</v>
      </c>
      <c r="AE30" s="2">
        <f t="shared" si="6"/>
        <v>0.33128224179802868</v>
      </c>
      <c r="AF30" s="2">
        <f t="shared" si="6"/>
        <v>0.33572547550238602</v>
      </c>
      <c r="AG30" s="2">
        <f t="shared" si="6"/>
        <v>0.34002454098645479</v>
      </c>
      <c r="AH30" s="2">
        <f t="shared" si="6"/>
        <v>0.34432662750823262</v>
      </c>
      <c r="AI30" s="2">
        <f t="shared" si="6"/>
        <v>0.34868706085359458</v>
      </c>
      <c r="AJ30" s="2">
        <f t="shared" si="6"/>
        <v>0.35311849982877364</v>
      </c>
      <c r="AK30" s="2">
        <f t="shared" si="6"/>
        <v>0.35580089862986708</v>
      </c>
      <c r="AL30" s="2">
        <f t="shared" si="6"/>
        <v>0.35867994820391291</v>
      </c>
      <c r="AM30" s="2">
        <f t="shared" si="6"/>
        <v>0.36166869341154961</v>
      </c>
      <c r="AN30" s="2">
        <f t="shared" si="6"/>
        <v>0.36473716631981185</v>
      </c>
      <c r="AO30" s="2">
        <f t="shared" si="6"/>
        <v>0.3678512899183165</v>
      </c>
      <c r="AP30" s="2">
        <f t="shared" si="6"/>
        <v>0.37054007156402158</v>
      </c>
      <c r="AQ30" s="2">
        <f t="shared" si="6"/>
        <v>0.37330981061099217</v>
      </c>
      <c r="AR30" s="2">
        <f t="shared" si="6"/>
        <v>0.37613014846620202</v>
      </c>
      <c r="AS30" s="2">
        <f t="shared" si="6"/>
        <v>0.37898690565341098</v>
      </c>
      <c r="AT30" s="2">
        <f t="shared" si="6"/>
        <v>0.38191431213310778</v>
      </c>
      <c r="AW30" s="20">
        <v>0.35107433489020123</v>
      </c>
    </row>
    <row r="31" spans="1:49">
      <c r="A31" t="s">
        <v>34</v>
      </c>
      <c r="B31" s="53">
        <f t="shared" ref="B31:AT31" si="7">B27/SUM($AT$34:$AT$36)</f>
        <v>2.2727913046578598E-2</v>
      </c>
      <c r="C31" s="2">
        <f t="shared" si="7"/>
        <v>2.3092817042093164E-2</v>
      </c>
      <c r="D31" s="2">
        <f t="shared" si="7"/>
        <v>2.3463578234819649E-2</v>
      </c>
      <c r="E31" s="2">
        <f t="shared" si="7"/>
        <v>2.546962921120562E-2</v>
      </c>
      <c r="F31" s="2">
        <f t="shared" si="7"/>
        <v>2.6819837782654878E-2</v>
      </c>
      <c r="G31" s="2">
        <f t="shared" si="7"/>
        <v>2.7804399643943954E-2</v>
      </c>
      <c r="H31" s="2">
        <f t="shared" si="7"/>
        <v>3.0029942943831312E-2</v>
      </c>
      <c r="I31" s="2">
        <f t="shared" si="7"/>
        <v>3.1996264219892857E-2</v>
      </c>
      <c r="J31" s="2">
        <f t="shared" si="7"/>
        <v>3.3701674830130313E-2</v>
      </c>
      <c r="K31" s="2">
        <f t="shared" si="7"/>
        <v>3.5653168048670955E-2</v>
      </c>
      <c r="L31" s="2">
        <f t="shared" si="7"/>
        <v>3.7746331666610421E-2</v>
      </c>
      <c r="M31" s="2">
        <f t="shared" si="7"/>
        <v>3.9432841831725962E-2</v>
      </c>
      <c r="N31" s="2">
        <f t="shared" si="7"/>
        <v>3.9296741183252805E-2</v>
      </c>
      <c r="O31" s="2">
        <f t="shared" si="7"/>
        <v>4.0990583029884481E-2</v>
      </c>
      <c r="P31" s="2">
        <f t="shared" si="7"/>
        <v>5.5008261182978198E-2</v>
      </c>
      <c r="Q31" s="2">
        <f t="shared" si="7"/>
        <v>6.3403966328137704E-2</v>
      </c>
      <c r="R31" s="2">
        <f t="shared" si="7"/>
        <v>7.0512968513990998E-2</v>
      </c>
      <c r="S31" s="2">
        <f t="shared" si="7"/>
        <v>7.6510714894696324E-2</v>
      </c>
      <c r="T31" s="2">
        <f t="shared" si="7"/>
        <v>8.1216772415780888E-2</v>
      </c>
      <c r="U31" s="2">
        <f t="shared" si="7"/>
        <v>9.903791747063509E-2</v>
      </c>
      <c r="V31" s="2">
        <f t="shared" si="7"/>
        <v>0.11343804863714958</v>
      </c>
      <c r="W31" s="2">
        <f t="shared" si="7"/>
        <v>0.12772132747076112</v>
      </c>
      <c r="X31" s="2">
        <f t="shared" si="7"/>
        <v>0.14206377860331806</v>
      </c>
      <c r="Y31" s="2">
        <f t="shared" si="7"/>
        <v>0.15653381069930411</v>
      </c>
      <c r="Z31" s="2">
        <f t="shared" si="7"/>
        <v>0.17117350625045849</v>
      </c>
      <c r="AA31" s="2">
        <f t="shared" si="7"/>
        <v>0.18720797684734822</v>
      </c>
      <c r="AB31" s="2">
        <f t="shared" si="7"/>
        <v>0.20285790347541638</v>
      </c>
      <c r="AC31" s="2">
        <f t="shared" si="7"/>
        <v>0.21895599266723548</v>
      </c>
      <c r="AD31" s="2">
        <f t="shared" si="7"/>
        <v>0.2353723069352506</v>
      </c>
      <c r="AE31" s="2">
        <f t="shared" si="7"/>
        <v>0.25131407556568941</v>
      </c>
      <c r="AF31" s="2">
        <f t="shared" si="7"/>
        <v>0.26424268314435639</v>
      </c>
      <c r="AG31" s="2">
        <f t="shared" si="7"/>
        <v>0.27719266759422873</v>
      </c>
      <c r="AH31" s="2">
        <f t="shared" si="7"/>
        <v>0.29027364643509324</v>
      </c>
      <c r="AI31" s="2">
        <f t="shared" si="7"/>
        <v>0.3035317862906734</v>
      </c>
      <c r="AJ31" s="2">
        <f t="shared" si="7"/>
        <v>0.31698101080994939</v>
      </c>
      <c r="AK31" s="2">
        <f t="shared" si="7"/>
        <v>0.32493622757186041</v>
      </c>
      <c r="AL31" s="2">
        <f t="shared" si="7"/>
        <v>0.33314532430203697</v>
      </c>
      <c r="AM31" s="2">
        <f t="shared" si="7"/>
        <v>0.34153510672748572</v>
      </c>
      <c r="AN31" s="2">
        <f t="shared" si="7"/>
        <v>0.35008165144878606</v>
      </c>
      <c r="AO31" s="2">
        <f t="shared" si="7"/>
        <v>0.35875515377079392</v>
      </c>
      <c r="AP31" s="2">
        <f t="shared" si="7"/>
        <v>0.36137744782354875</v>
      </c>
      <c r="AQ31" s="2">
        <f t="shared" si="7"/>
        <v>0.36407869745202154</v>
      </c>
      <c r="AR31" s="2">
        <f t="shared" si="7"/>
        <v>0.36682929470224551</v>
      </c>
      <c r="AS31" s="2">
        <f t="shared" si="7"/>
        <v>0.36961541069968051</v>
      </c>
      <c r="AT31" s="2">
        <f t="shared" si="7"/>
        <v>0.37247042908089828</v>
      </c>
      <c r="AW31" s="20">
        <v>0.43738622522264259</v>
      </c>
    </row>
    <row r="32" spans="1:49">
      <c r="AW32" s="21"/>
    </row>
    <row r="33" spans="1:49">
      <c r="A33" s="12" t="s">
        <v>1</v>
      </c>
      <c r="AW33" s="21"/>
    </row>
    <row r="34" spans="1:49">
      <c r="A34" t="s">
        <v>5</v>
      </c>
      <c r="B34" s="52">
        <f>résultats!B36</f>
        <v>0.70773560509036804</v>
      </c>
      <c r="C34">
        <f>résultats!C36</f>
        <v>0.71909852915366201</v>
      </c>
      <c r="D34">
        <f>résultats!D36</f>
        <v>0.72654361420000002</v>
      </c>
      <c r="E34">
        <f>résultats!E36</f>
        <v>0.72476181019999997</v>
      </c>
      <c r="F34">
        <f>résultats!F36</f>
        <v>0.72449532890000001</v>
      </c>
      <c r="G34">
        <f>résultats!G36</f>
        <v>0.72617212519999996</v>
      </c>
      <c r="H34">
        <f>résultats!H36</f>
        <v>0.73053261869999997</v>
      </c>
      <c r="I34">
        <f>résultats!I36</f>
        <v>0.73767848930000002</v>
      </c>
      <c r="J34">
        <f>résultats!J36</f>
        <v>0.74096636569999996</v>
      </c>
      <c r="K34">
        <f>résultats!K36</f>
        <v>0.74287378150000005</v>
      </c>
      <c r="L34">
        <f>résultats!L36</f>
        <v>0.75034505340000002</v>
      </c>
      <c r="M34">
        <f>résultats!M36</f>
        <v>0.7458922442</v>
      </c>
      <c r="N34">
        <f>résultats!N36</f>
        <v>0.75621937829999997</v>
      </c>
      <c r="O34">
        <f>résultats!O36</f>
        <v>0.76356704580000001</v>
      </c>
      <c r="P34" s="4">
        <f>résultats!R36</f>
        <v>0.77237769720000005</v>
      </c>
      <c r="Q34" s="4">
        <f>résultats!S36</f>
        <v>0.76189788209999998</v>
      </c>
      <c r="R34" s="4">
        <f>résultats!T36</f>
        <v>0.75768333659999998</v>
      </c>
      <c r="S34" s="4">
        <f>résultats!U36</f>
        <v>0.75675750050000001</v>
      </c>
      <c r="T34" s="4">
        <f>résultats!V36</f>
        <v>0.75733758539999996</v>
      </c>
      <c r="U34" s="4">
        <f>résultats!W36</f>
        <v>0.74714748740000003</v>
      </c>
      <c r="V34" s="4">
        <f>résultats!X36</f>
        <v>0.72676996900000002</v>
      </c>
      <c r="W34" s="4">
        <f>résultats!Y36</f>
        <v>0.71070139340000005</v>
      </c>
      <c r="X34" s="4">
        <f>résultats!Z36</f>
        <v>0.69626273390000004</v>
      </c>
      <c r="Y34" s="4">
        <f>résultats!AA36</f>
        <v>0.68225548020000004</v>
      </c>
      <c r="Z34" s="4">
        <f>résultats!AB36</f>
        <v>0.66827008509999997</v>
      </c>
      <c r="AA34" s="4">
        <f>résultats!AC36</f>
        <v>0.63825260859999999</v>
      </c>
      <c r="AB34" s="4">
        <f>résultats!AD36</f>
        <v>0.60801391039999997</v>
      </c>
      <c r="AC34" s="4">
        <f>résultats!AE36</f>
        <v>0.57745030679999998</v>
      </c>
      <c r="AD34" s="4">
        <f>résultats!AF36</f>
        <v>0.54662153410000003</v>
      </c>
      <c r="AE34" s="4">
        <f>résultats!AG36</f>
        <v>0.51555586019999999</v>
      </c>
      <c r="AF34" s="4">
        <f>résultats!AH36</f>
        <v>0.48155522319999999</v>
      </c>
      <c r="AG34" s="4">
        <f>résultats!AI36</f>
        <v>0.44698473259999999</v>
      </c>
      <c r="AH34" s="4">
        <f>résultats!AJ36</f>
        <v>0.41201995089999999</v>
      </c>
      <c r="AI34" s="4">
        <f>résultats!AK36</f>
        <v>0.37671484459999999</v>
      </c>
      <c r="AJ34" s="4">
        <f>résultats!AL36</f>
        <v>0.34109234020000001</v>
      </c>
      <c r="AK34" s="4">
        <f>résultats!AM36</f>
        <v>0.31060565020000003</v>
      </c>
      <c r="AL34" s="4">
        <f>résultats!AN36</f>
        <v>0.27990994730000002</v>
      </c>
      <c r="AM34" s="4">
        <f>résultats!AO36</f>
        <v>0.24893957089999999</v>
      </c>
      <c r="AN34" s="4">
        <f>résultats!AP36</f>
        <v>0.2176633291</v>
      </c>
      <c r="AO34" s="4">
        <f>résultats!AQ36</f>
        <v>0.18633151640000001</v>
      </c>
      <c r="AP34" s="4">
        <f>résultats!AR36</f>
        <v>0.16399049590000001</v>
      </c>
      <c r="AQ34" s="4">
        <f>résultats!AS36</f>
        <v>0.14142062590000001</v>
      </c>
      <c r="AR34" s="4">
        <f>résultats!AT36</f>
        <v>0.11862377039999999</v>
      </c>
      <c r="AS34" s="4">
        <f>résultats!AU36</f>
        <v>9.5599561299999997E-2</v>
      </c>
      <c r="AT34" s="15">
        <f>résultats!AV36</f>
        <v>7.2161182200000007E-2</v>
      </c>
      <c r="AW34" s="21">
        <v>0.19759600199999999</v>
      </c>
    </row>
    <row r="35" spans="1:49">
      <c r="A35" t="s">
        <v>6</v>
      </c>
      <c r="B35" s="52">
        <f>résultats!B37</f>
        <v>0.273913131298955</v>
      </c>
      <c r="C35">
        <f>résultats!C37</f>
        <v>0.27831089522167202</v>
      </c>
      <c r="D35">
        <f>résultats!D37</f>
        <v>0.28277923970000002</v>
      </c>
      <c r="E35">
        <f>résultats!E37</f>
        <v>0.28920355910000001</v>
      </c>
      <c r="F35">
        <f>résultats!F37</f>
        <v>0.28082646179999998</v>
      </c>
      <c r="G35">
        <f>résultats!G37</f>
        <v>0.26343695379999998</v>
      </c>
      <c r="H35">
        <f>résultats!H37</f>
        <v>0.2712627796</v>
      </c>
      <c r="I35">
        <f>résultats!I37</f>
        <v>0.27122685759999998</v>
      </c>
      <c r="J35">
        <f>résultats!J37</f>
        <v>0.26700272689999999</v>
      </c>
      <c r="K35">
        <f>résultats!K37</f>
        <v>0.26857960040000001</v>
      </c>
      <c r="L35">
        <f>résultats!L37</f>
        <v>0.268752198</v>
      </c>
      <c r="M35">
        <f>résultats!M37</f>
        <v>0.26855721459999998</v>
      </c>
      <c r="N35">
        <f>résultats!N37</f>
        <v>0.27400830879999999</v>
      </c>
      <c r="O35">
        <f>résultats!O37</f>
        <v>0.2872695924</v>
      </c>
      <c r="P35" s="4">
        <f>résultats!R37</f>
        <v>0.2962175064</v>
      </c>
      <c r="Q35" s="4">
        <f>résultats!S37</f>
        <v>0.29807896649999999</v>
      </c>
      <c r="R35" s="4">
        <f>résultats!T37</f>
        <v>0.30122855300000001</v>
      </c>
      <c r="S35" s="4">
        <f>résultats!U37</f>
        <v>0.30477393120000001</v>
      </c>
      <c r="T35" s="4">
        <f>résultats!V37</f>
        <v>0.3271949073</v>
      </c>
      <c r="U35" s="4">
        <f>résultats!W37</f>
        <v>0.34659448790000003</v>
      </c>
      <c r="V35" s="4">
        <f>résultats!X37</f>
        <v>0.3550857228</v>
      </c>
      <c r="W35" s="4">
        <f>résultats!Y37</f>
        <v>0.36574173679999999</v>
      </c>
      <c r="X35" s="4">
        <f>résultats!Z37</f>
        <v>0.37746077859999999</v>
      </c>
      <c r="Y35" s="4">
        <f>résultats!AA37</f>
        <v>0.38971555279999998</v>
      </c>
      <c r="Z35" s="4">
        <f>résultats!AB37</f>
        <v>0.40232468519999998</v>
      </c>
      <c r="AA35" s="4">
        <f>résultats!AC37</f>
        <v>0.4201902917</v>
      </c>
      <c r="AB35" s="4">
        <f>résultats!AD37</f>
        <v>0.43819693069999999</v>
      </c>
      <c r="AC35" s="4">
        <f>résultats!AE37</f>
        <v>0.4562667366</v>
      </c>
      <c r="AD35" s="4">
        <f>résultats!AF37</f>
        <v>0.47443237119999998</v>
      </c>
      <c r="AE35" s="4">
        <f>résultats!AG37</f>
        <v>0.4927124544</v>
      </c>
      <c r="AF35" s="4">
        <f>résultats!AH37</f>
        <v>0.51394119839999997</v>
      </c>
      <c r="AG35" s="4">
        <f>résultats!AI37</f>
        <v>0.53517836649999995</v>
      </c>
      <c r="AH35" s="4">
        <f>résultats!AJ37</f>
        <v>0.55658411360000004</v>
      </c>
      <c r="AI35" s="4">
        <f>résultats!AK37</f>
        <v>0.5782305647</v>
      </c>
      <c r="AJ35" s="4">
        <f>résultats!AL37</f>
        <v>0.60017894240000003</v>
      </c>
      <c r="AK35" s="4">
        <f>résultats!AM37</f>
        <v>0.61835834960000002</v>
      </c>
      <c r="AL35" s="4">
        <f>résultats!AN37</f>
        <v>0.63689770739999996</v>
      </c>
      <c r="AM35" s="4">
        <f>résultats!AO37</f>
        <v>0.65572309719999999</v>
      </c>
      <c r="AN35" s="4">
        <f>résultats!AP37</f>
        <v>0.67480428999999997</v>
      </c>
      <c r="AO35" s="4">
        <f>résultats!AQ37</f>
        <v>0.69512926450000001</v>
      </c>
      <c r="AP35" s="4">
        <f>résultats!AR37</f>
        <v>0.70871538329999995</v>
      </c>
      <c r="AQ35" s="4">
        <f>résultats!AS37</f>
        <v>0.72240884809999995</v>
      </c>
      <c r="AR35" s="4">
        <f>résultats!AT37</f>
        <v>0.73622154829999997</v>
      </c>
      <c r="AS35" s="4">
        <f>résultats!AU37</f>
        <v>0.75016027220000003</v>
      </c>
      <c r="AT35" s="15">
        <f>résultats!AV37</f>
        <v>0.76227078459999997</v>
      </c>
      <c r="AW35" s="21">
        <v>0.40825844719999999</v>
      </c>
    </row>
    <row r="36" spans="1:49">
      <c r="A36" t="s">
        <v>7</v>
      </c>
      <c r="B36" s="52">
        <f>résultats!B38</f>
        <v>2.4964280861431799E-2</v>
      </c>
      <c r="C36">
        <f>résultats!C38</f>
        <v>2.5365090465587499E-2</v>
      </c>
      <c r="D36">
        <f>résultats!D38</f>
        <v>2.5772333599999999E-2</v>
      </c>
      <c r="E36">
        <f>résultats!E38</f>
        <v>2.7975774799999999E-2</v>
      </c>
      <c r="F36">
        <f>résultats!F38</f>
        <v>2.9458840399999998E-2</v>
      </c>
      <c r="G36">
        <f>résultats!G38</f>
        <v>3.0540280600000001E-2</v>
      </c>
      <c r="H36">
        <f>résultats!H38</f>
        <v>3.2984811599999997E-2</v>
      </c>
      <c r="I36">
        <f>résultats!I38</f>
        <v>3.5144613800000002E-2</v>
      </c>
      <c r="J36">
        <f>résultats!J38</f>
        <v>3.7017832399999999E-2</v>
      </c>
      <c r="K36">
        <f>résultats!K38</f>
        <v>3.9161347499999999E-2</v>
      </c>
      <c r="L36">
        <f>résultats!L38</f>
        <v>4.1460472999999998E-2</v>
      </c>
      <c r="M36">
        <f>résultats!M38</f>
        <v>4.3312931399999997E-2</v>
      </c>
      <c r="N36">
        <f>résultats!N38</f>
        <v>4.3163438800000002E-2</v>
      </c>
      <c r="O36">
        <f>résultats!O38</f>
        <v>4.5023950299999997E-2</v>
      </c>
      <c r="P36" s="4">
        <f>résultats!R38</f>
        <v>6.04209317E-2</v>
      </c>
      <c r="Q36" s="4">
        <f>résultats!S38</f>
        <v>6.9642752500000002E-2</v>
      </c>
      <c r="R36" s="4">
        <f>résultats!T38</f>
        <v>7.7451262100000001E-2</v>
      </c>
      <c r="S36" s="4">
        <f>résultats!U38</f>
        <v>8.4039171199999999E-2</v>
      </c>
      <c r="T36" s="4">
        <f>résultats!V38</f>
        <v>0.1070174183</v>
      </c>
      <c r="U36" s="4">
        <f>résultats!W38</f>
        <v>0.1301532333</v>
      </c>
      <c r="V36" s="4">
        <f>résultats!X38</f>
        <v>0.13456308149999999</v>
      </c>
      <c r="W36" s="4">
        <f>résultats!Y38</f>
        <v>0.1397948453</v>
      </c>
      <c r="X36" s="4">
        <f>résultats!Z38</f>
        <v>0.14544433400000001</v>
      </c>
      <c r="Y36" s="4">
        <f>résultats!AA38</f>
        <v>0.15131541630000001</v>
      </c>
      <c r="Z36" s="4">
        <f>résultats!AB38</f>
        <v>0.157340493</v>
      </c>
      <c r="AA36" s="4">
        <f>résultats!AC38</f>
        <v>0.16034182829999999</v>
      </c>
      <c r="AB36" s="4">
        <f>résultats!AD38</f>
        <v>0.1633664806</v>
      </c>
      <c r="AC36" s="4">
        <f>résultats!AE38</f>
        <v>0.1663856896</v>
      </c>
      <c r="AD36" s="4">
        <f>résultats!AF38</f>
        <v>0.16941257379999999</v>
      </c>
      <c r="AE36" s="4">
        <f>résultats!AG38</f>
        <v>0.17245421629999999</v>
      </c>
      <c r="AF36" s="4">
        <f>résultats!AH38</f>
        <v>0.1758688196</v>
      </c>
      <c r="AG36" s="4">
        <f>résultats!AI38</f>
        <v>0.1792435761</v>
      </c>
      <c r="AH36" s="4">
        <f>résultats!AJ38</f>
        <v>0.1826350836</v>
      </c>
      <c r="AI36" s="4">
        <f>résultats!AK38</f>
        <v>0.1860670214</v>
      </c>
      <c r="AJ36" s="4">
        <f>résultats!AL38</f>
        <v>0.1895578483</v>
      </c>
      <c r="AK36" s="4">
        <f>résultats!AM38</f>
        <v>0.19543299380000001</v>
      </c>
      <c r="AL36" s="4">
        <f>résultats!AN38</f>
        <v>0.20142137969999999</v>
      </c>
      <c r="AM36" s="4">
        <f>résultats!AO38</f>
        <v>0.20749970130000001</v>
      </c>
      <c r="AN36" s="4">
        <f>résultats!AP38</f>
        <v>0.21365841990000001</v>
      </c>
      <c r="AO36" s="4">
        <f>résultats!AQ38</f>
        <v>0.22021052660000001</v>
      </c>
      <c r="AP36" s="4">
        <f>résultats!AR38</f>
        <v>0.22893914849999999</v>
      </c>
      <c r="AQ36" s="4">
        <f>résultats!AS38</f>
        <v>0.23774348279999999</v>
      </c>
      <c r="AR36" s="4">
        <f>résultats!AT38</f>
        <v>0.2466274799</v>
      </c>
      <c r="AS36" s="4">
        <f>résultats!AU38</f>
        <v>0.2555936211</v>
      </c>
      <c r="AT36" s="15">
        <f>résultats!AV38</f>
        <v>0.2639654448</v>
      </c>
      <c r="AW36" s="21">
        <v>0.47591535610000002</v>
      </c>
    </row>
    <row r="37" spans="1:49">
      <c r="A37" t="s">
        <v>31</v>
      </c>
      <c r="AW37" s="21"/>
    </row>
    <row r="38" spans="1:49">
      <c r="A38" t="s">
        <v>32</v>
      </c>
      <c r="B38" s="53">
        <f t="shared" ref="B38:AT38" si="8">B34/SUM($AT$34:$AT$36)</f>
        <v>0.64433473496576477</v>
      </c>
      <c r="C38" s="2">
        <f t="shared" si="8"/>
        <v>0.65467973755161579</v>
      </c>
      <c r="D38" s="2">
        <f t="shared" si="8"/>
        <v>0.66145787173848802</v>
      </c>
      <c r="E38" s="2">
        <f t="shared" si="8"/>
        <v>0.65983568656108071</v>
      </c>
      <c r="F38" s="2">
        <f t="shared" si="8"/>
        <v>0.65959307737684048</v>
      </c>
      <c r="G38" s="2">
        <f t="shared" si="8"/>
        <v>0.66111966172808856</v>
      </c>
      <c r="H38" s="2">
        <f t="shared" si="8"/>
        <v>0.66508953042401731</v>
      </c>
      <c r="I38" s="2">
        <f t="shared" si="8"/>
        <v>0.6715952546041124</v>
      </c>
      <c r="J38" s="2">
        <f t="shared" si="8"/>
        <v>0.67458859414158512</v>
      </c>
      <c r="K38" s="2">
        <f t="shared" si="8"/>
        <v>0.67632513847413378</v>
      </c>
      <c r="L38" s="2">
        <f t="shared" si="8"/>
        <v>0.68312711362547429</v>
      </c>
      <c r="M38" s="2">
        <f t="shared" si="8"/>
        <v>0.679073199119691</v>
      </c>
      <c r="N38" s="2">
        <f t="shared" si="8"/>
        <v>0.68847520060925826</v>
      </c>
      <c r="O38" s="2">
        <f t="shared" si="8"/>
        <v>0.69516464417713497</v>
      </c>
      <c r="P38" s="2">
        <f t="shared" si="8"/>
        <v>0.70318601358947352</v>
      </c>
      <c r="Q38" s="2">
        <f t="shared" si="8"/>
        <v>0.69364500867693057</v>
      </c>
      <c r="R38" s="2">
        <f t="shared" si="8"/>
        <v>0.68980801356433208</v>
      </c>
      <c r="S38" s="2">
        <f t="shared" si="8"/>
        <v>0.6889651163668129</v>
      </c>
      <c r="T38" s="2">
        <f t="shared" si="8"/>
        <v>0.68949323569218068</v>
      </c>
      <c r="U38" s="2">
        <f t="shared" si="8"/>
        <v>0.68021599423805501</v>
      </c>
      <c r="V38" s="2">
        <f t="shared" si="8"/>
        <v>0.66166394906315174</v>
      </c>
      <c r="W38" s="2">
        <f t="shared" si="8"/>
        <v>0.64703483993534217</v>
      </c>
      <c r="X38" s="2">
        <f t="shared" si="8"/>
        <v>0.63388963461392056</v>
      </c>
      <c r="Y38" s="2">
        <f t="shared" si="8"/>
        <v>0.62113718859386291</v>
      </c>
      <c r="Z38" s="2">
        <f t="shared" si="8"/>
        <v>0.60840464302128372</v>
      </c>
      <c r="AA38" s="2">
        <f t="shared" si="8"/>
        <v>0.58107621327173209</v>
      </c>
      <c r="AB38" s="2">
        <f t="shared" si="8"/>
        <v>0.5535463794605322</v>
      </c>
      <c r="AC38" s="2">
        <f t="shared" si="8"/>
        <v>0.52572074615402342</v>
      </c>
      <c r="AD38" s="2">
        <f t="shared" si="8"/>
        <v>0.4976536983128485</v>
      </c>
      <c r="AE38" s="2">
        <f t="shared" si="8"/>
        <v>0.4693709715220527</v>
      </c>
      <c r="AF38" s="2">
        <f t="shared" si="8"/>
        <v>0.43841620356564215</v>
      </c>
      <c r="AG38" s="2">
        <f t="shared" si="8"/>
        <v>0.40694263103633121</v>
      </c>
      <c r="AH38" s="2">
        <f t="shared" si="8"/>
        <v>0.37511008907042476</v>
      </c>
      <c r="AI38" s="2">
        <f t="shared" si="8"/>
        <v>0.3429677097028585</v>
      </c>
      <c r="AJ38" s="2">
        <f t="shared" si="8"/>
        <v>0.31053636561574</v>
      </c>
      <c r="AK38" s="2">
        <f t="shared" si="8"/>
        <v>0.28278075578087064</v>
      </c>
      <c r="AL38" s="2">
        <f t="shared" si="8"/>
        <v>0.25483485698702102</v>
      </c>
      <c r="AM38" s="2">
        <f t="shared" si="8"/>
        <v>0.22663889068836915</v>
      </c>
      <c r="AN38" s="2">
        <f t="shared" si="8"/>
        <v>0.19816445923969983</v>
      </c>
      <c r="AO38" s="2">
        <f t="shared" si="8"/>
        <v>0.16963943508258722</v>
      </c>
      <c r="AP38" s="2">
        <f t="shared" si="8"/>
        <v>0.14929978363761834</v>
      </c>
      <c r="AQ38" s="2">
        <f t="shared" si="8"/>
        <v>0.12875178364996068</v>
      </c>
      <c r="AR38" s="2">
        <f t="shared" si="8"/>
        <v>0.10799713213745159</v>
      </c>
      <c r="AS38" s="2">
        <f t="shared" si="8"/>
        <v>8.7035493975484893E-2</v>
      </c>
      <c r="AT38" s="2">
        <f t="shared" si="8"/>
        <v>6.5696788282562632E-2</v>
      </c>
      <c r="AV38" s="32">
        <f>AT38</f>
        <v>6.5696788282562632E-2</v>
      </c>
      <c r="AW38" s="20">
        <v>0.18265993470320796</v>
      </c>
    </row>
    <row r="39" spans="1:49">
      <c r="A39" t="s">
        <v>33</v>
      </c>
      <c r="B39" s="53">
        <f t="shared" ref="B39:AT39" si="9">B35/SUM($AT$34:$AT$36)</f>
        <v>0.2493752519863959</v>
      </c>
      <c r="C39" s="2">
        <f t="shared" si="9"/>
        <v>0.25337905231974789</v>
      </c>
      <c r="D39" s="2">
        <f t="shared" si="9"/>
        <v>0.25744711041159923</v>
      </c>
      <c r="E39" s="2">
        <f t="shared" si="9"/>
        <v>0.26329592190018597</v>
      </c>
      <c r="F39" s="2">
        <f t="shared" si="9"/>
        <v>0.25566926763868569</v>
      </c>
      <c r="G39" s="2">
        <f t="shared" si="9"/>
        <v>0.23983755880875565</v>
      </c>
      <c r="H39" s="2">
        <f t="shared" si="9"/>
        <v>0.24696232596256787</v>
      </c>
      <c r="I39" s="2">
        <f t="shared" si="9"/>
        <v>0.24692962195250678</v>
      </c>
      <c r="J39" s="2">
        <f t="shared" si="9"/>
        <v>0.24308390030805496</v>
      </c>
      <c r="K39" s="2">
        <f t="shared" si="9"/>
        <v>0.24451951321404591</v>
      </c>
      <c r="L39" s="2">
        <f t="shared" si="9"/>
        <v>0.24467664905411365</v>
      </c>
      <c r="M39" s="2">
        <f t="shared" si="9"/>
        <v>0.24449913279456967</v>
      </c>
      <c r="N39" s="2">
        <f t="shared" si="9"/>
        <v>0.2494619032294158</v>
      </c>
      <c r="O39" s="2">
        <f t="shared" si="9"/>
        <v>0.2615352051690869</v>
      </c>
      <c r="P39" s="2">
        <f t="shared" si="9"/>
        <v>0.26968154082638407</v>
      </c>
      <c r="Q39" s="2">
        <f t="shared" si="9"/>
        <v>0.27137624629486157</v>
      </c>
      <c r="R39" s="2">
        <f t="shared" si="9"/>
        <v>0.27424368431568874</v>
      </c>
      <c r="S39" s="2">
        <f t="shared" si="9"/>
        <v>0.27747145794530387</v>
      </c>
      <c r="T39" s="2">
        <f t="shared" si="9"/>
        <v>0.29788390235132273</v>
      </c>
      <c r="U39" s="2">
        <f t="shared" si="9"/>
        <v>0.3155456160399423</v>
      </c>
      <c r="V39" s="2">
        <f t="shared" si="9"/>
        <v>0.32327618314646073</v>
      </c>
      <c r="W39" s="2">
        <f t="shared" si="9"/>
        <v>0.33297760258487485</v>
      </c>
      <c r="X39" s="2">
        <f t="shared" si="9"/>
        <v>0.34364682091718068</v>
      </c>
      <c r="Y39" s="2">
        <f t="shared" si="9"/>
        <v>0.35480377929179019</v>
      </c>
      <c r="Z39" s="2">
        <f t="shared" si="9"/>
        <v>0.36628335150020669</v>
      </c>
      <c r="AA39" s="2">
        <f t="shared" si="9"/>
        <v>0.38254850863852857</v>
      </c>
      <c r="AB39" s="2">
        <f t="shared" si="9"/>
        <v>0.39894206420396849</v>
      </c>
      <c r="AC39" s="2">
        <f t="shared" si="9"/>
        <v>0.41539312800762251</v>
      </c>
      <c r="AD39" s="2">
        <f t="shared" si="9"/>
        <v>0.43193143591708733</v>
      </c>
      <c r="AE39" s="2">
        <f t="shared" si="9"/>
        <v>0.44857393981134908</v>
      </c>
      <c r="AF39" s="2">
        <f t="shared" si="9"/>
        <v>0.46790095549420357</v>
      </c>
      <c r="AG39" s="2">
        <f t="shared" si="9"/>
        <v>0.48723564062339053</v>
      </c>
      <c r="AH39" s="2">
        <f t="shared" si="9"/>
        <v>0.50672380298970476</v>
      </c>
      <c r="AI39" s="2">
        <f t="shared" si="9"/>
        <v>0.52643110644052804</v>
      </c>
      <c r="AJ39" s="2">
        <f t="shared" si="9"/>
        <v>0.5464132890897283</v>
      </c>
      <c r="AK39" s="2">
        <f t="shared" si="9"/>
        <v>0.56296413581242644</v>
      </c>
      <c r="AL39" s="2">
        <f t="shared" si="9"/>
        <v>0.57984268778661063</v>
      </c>
      <c r="AM39" s="2">
        <f t="shared" si="9"/>
        <v>0.59698164824043909</v>
      </c>
      <c r="AN39" s="2">
        <f t="shared" si="9"/>
        <v>0.61435349616950974</v>
      </c>
      <c r="AO39" s="2">
        <f t="shared" si="9"/>
        <v>0.63285770446912082</v>
      </c>
      <c r="AP39" s="2">
        <f t="shared" si="9"/>
        <v>0.64522674199280683</v>
      </c>
      <c r="AQ39" s="2">
        <f t="shared" si="9"/>
        <v>0.65769350917141223</v>
      </c>
      <c r="AR39" s="2">
        <f t="shared" si="9"/>
        <v>0.67026883032032081</v>
      </c>
      <c r="AS39" s="2">
        <f t="shared" si="9"/>
        <v>0.68295888562525453</v>
      </c>
      <c r="AT39" s="2">
        <f t="shared" si="9"/>
        <v>0.69398450556217606</v>
      </c>
      <c r="AV39" s="32">
        <f>AT39</f>
        <v>0.69398450556217606</v>
      </c>
      <c r="AW39" s="20">
        <v>0.37739863434881177</v>
      </c>
    </row>
    <row r="40" spans="1:49">
      <c r="A40" t="s">
        <v>34</v>
      </c>
      <c r="B40" s="53">
        <f t="shared" ref="B40:AT40" si="10">B36/SUM($AT$34:$AT$36)</f>
        <v>2.2727913046578598E-2</v>
      </c>
      <c r="C40" s="2">
        <f t="shared" si="10"/>
        <v>2.3092817042093164E-2</v>
      </c>
      <c r="D40" s="2">
        <f t="shared" si="10"/>
        <v>2.3463578234819649E-2</v>
      </c>
      <c r="E40" s="2">
        <f t="shared" si="10"/>
        <v>2.546962921120562E-2</v>
      </c>
      <c r="F40" s="2">
        <f t="shared" si="10"/>
        <v>2.6819837782654878E-2</v>
      </c>
      <c r="G40" s="2">
        <f t="shared" si="10"/>
        <v>2.7804399643943954E-2</v>
      </c>
      <c r="H40" s="2">
        <f t="shared" si="10"/>
        <v>3.0029942943831312E-2</v>
      </c>
      <c r="I40" s="2">
        <f t="shared" si="10"/>
        <v>3.1996264219892857E-2</v>
      </c>
      <c r="J40" s="2">
        <f t="shared" si="10"/>
        <v>3.3701674830130313E-2</v>
      </c>
      <c r="K40" s="2">
        <f t="shared" si="10"/>
        <v>3.5653168048670955E-2</v>
      </c>
      <c r="L40" s="2">
        <f t="shared" si="10"/>
        <v>3.7746331666610421E-2</v>
      </c>
      <c r="M40" s="2">
        <f t="shared" si="10"/>
        <v>3.9432841831725962E-2</v>
      </c>
      <c r="N40" s="2">
        <f t="shared" si="10"/>
        <v>3.9296741183252805E-2</v>
      </c>
      <c r="O40" s="2">
        <f t="shared" si="10"/>
        <v>4.0990583029884481E-2</v>
      </c>
      <c r="P40" s="2">
        <f t="shared" si="10"/>
        <v>5.5008261182978198E-2</v>
      </c>
      <c r="Q40" s="2">
        <f t="shared" si="10"/>
        <v>6.3403966328137704E-2</v>
      </c>
      <c r="R40" s="2">
        <f t="shared" si="10"/>
        <v>7.0512968513990998E-2</v>
      </c>
      <c r="S40" s="2">
        <f t="shared" si="10"/>
        <v>7.6510714894696324E-2</v>
      </c>
      <c r="T40" s="2">
        <f t="shared" si="10"/>
        <v>9.7430508456962939E-2</v>
      </c>
      <c r="U40" s="2">
        <f t="shared" si="10"/>
        <v>0.11849375456048281</v>
      </c>
      <c r="V40" s="2">
        <f t="shared" si="10"/>
        <v>0.12250855662886742</v>
      </c>
      <c r="W40" s="2">
        <f t="shared" si="10"/>
        <v>0.12727164487429499</v>
      </c>
      <c r="X40" s="2">
        <f t="shared" si="10"/>
        <v>0.13241503709311911</v>
      </c>
      <c r="Y40" s="2">
        <f t="shared" si="10"/>
        <v>0.13776017195778323</v>
      </c>
      <c r="Z40" s="2">
        <f t="shared" si="10"/>
        <v>0.14324550598749791</v>
      </c>
      <c r="AA40" s="2">
        <f t="shared" si="10"/>
        <v>0.14597797355188158</v>
      </c>
      <c r="AB40" s="2">
        <f t="shared" si="10"/>
        <v>0.14873166931632636</v>
      </c>
      <c r="AC40" s="2">
        <f t="shared" si="10"/>
        <v>0.15148040940631075</v>
      </c>
      <c r="AD40" s="2">
        <f t="shared" si="10"/>
        <v>0.15423613713111559</v>
      </c>
      <c r="AE40" s="2">
        <f t="shared" si="10"/>
        <v>0.15700530106748115</v>
      </c>
      <c r="AF40" s="2">
        <f t="shared" si="10"/>
        <v>0.16011401496642058</v>
      </c>
      <c r="AG40" s="2">
        <f t="shared" si="10"/>
        <v>0.1631864516495006</v>
      </c>
      <c r="AH40" s="2">
        <f t="shared" si="10"/>
        <v>0.16627413873268454</v>
      </c>
      <c r="AI40" s="2">
        <f t="shared" si="10"/>
        <v>0.16939863426021934</v>
      </c>
      <c r="AJ40" s="2">
        <f t="shared" si="10"/>
        <v>0.17257674344286483</v>
      </c>
      <c r="AK40" s="2">
        <f t="shared" si="10"/>
        <v>0.1779255775150809</v>
      </c>
      <c r="AL40" s="2">
        <f t="shared" si="10"/>
        <v>0.18337750760591831</v>
      </c>
      <c r="AM40" s="2">
        <f t="shared" si="10"/>
        <v>0.18891131671344882</v>
      </c>
      <c r="AN40" s="2">
        <f t="shared" si="10"/>
        <v>0.1945183206402232</v>
      </c>
      <c r="AO40" s="2">
        <f t="shared" si="10"/>
        <v>0.20048347189677593</v>
      </c>
      <c r="AP40" s="2">
        <f t="shared" si="10"/>
        <v>0.20843016023363689</v>
      </c>
      <c r="AQ40" s="2">
        <f t="shared" si="10"/>
        <v>0.21644577844888288</v>
      </c>
      <c r="AR40" s="2">
        <f t="shared" si="10"/>
        <v>0.22453392305499495</v>
      </c>
      <c r="AS40" s="2">
        <f t="shared" si="10"/>
        <v>0.2326968530704065</v>
      </c>
      <c r="AT40" s="2">
        <f t="shared" si="10"/>
        <v>0.24031870615526132</v>
      </c>
      <c r="AV40" s="32">
        <f>AT40</f>
        <v>0.24031870615526132</v>
      </c>
      <c r="AW40" s="20">
        <v>0.43994143094798027</v>
      </c>
    </row>
    <row r="42" spans="1:49" s="13" customFormat="1">
      <c r="A42" s="13" t="s">
        <v>41</v>
      </c>
      <c r="B42" s="5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 spans="1:49" s="13" customFormat="1">
      <c r="A43" s="13" t="s">
        <v>5</v>
      </c>
      <c r="B43" s="54"/>
      <c r="O43" s="34">
        <f>'[5]B&amp;C'!G114</f>
        <v>0.88231264405922938</v>
      </c>
      <c r="P43" s="34">
        <f>'[5]B&amp;C'!H114</f>
        <v>0.63379912932991633</v>
      </c>
      <c r="Q43" s="14"/>
      <c r="R43" s="14"/>
      <c r="S43" s="14"/>
      <c r="T43" s="14"/>
      <c r="U43" s="14"/>
      <c r="V43" s="14"/>
      <c r="W43" s="14"/>
      <c r="X43" s="14"/>
      <c r="Y43" s="14"/>
      <c r="Z43" s="34">
        <f>'[5]B&amp;C'!J114</f>
        <v>0.71006307640604172</v>
      </c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9">
        <f>'[4]Bus et cars'!$N$119</f>
        <v>5.3636441837285942E-2</v>
      </c>
      <c r="AV43" s="11">
        <f>AT43/SUM($AT$43:$AT$45)</f>
        <v>9.7947384608881236E-2</v>
      </c>
    </row>
    <row r="44" spans="1:49" s="13" customFormat="1">
      <c r="A44" s="13" t="s">
        <v>6</v>
      </c>
      <c r="B44" s="54"/>
      <c r="O44" s="34">
        <f>'[5]B&amp;C'!G116</f>
        <v>2.8515938246124264E-3</v>
      </c>
      <c r="P44" s="34">
        <f>'[5]B&amp;C'!H116</f>
        <v>2.718975053414049E-3</v>
      </c>
      <c r="Q44" s="14"/>
      <c r="R44" s="14"/>
      <c r="S44" s="14"/>
      <c r="T44" s="14"/>
      <c r="U44" s="14"/>
      <c r="V44" s="14"/>
      <c r="W44" s="14"/>
      <c r="X44" s="14"/>
      <c r="Y44" s="14"/>
      <c r="Z44" s="34">
        <f>'[5]B&amp;C'!J116</f>
        <v>6.8738634803628101E-2</v>
      </c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9">
        <f>'[4]Bus et cars'!$N$121</f>
        <v>0.34138237112557834</v>
      </c>
      <c r="AV44" s="11">
        <f>AT44/SUM($AT$43:$AT$45)</f>
        <v>0.62341030198771341</v>
      </c>
    </row>
    <row r="45" spans="1:49" s="13" customFormat="1">
      <c r="A45" s="13" t="s">
        <v>7</v>
      </c>
      <c r="B45" s="54"/>
      <c r="O45" s="34">
        <f>'[5]B&amp;C'!G115+'[5]B&amp;C'!G117</f>
        <v>3.6031307587790107E-2</v>
      </c>
      <c r="P45" s="34">
        <f>'[5]B&amp;C'!H115+'[5]B&amp;C'!H117</f>
        <v>3.0861928604612159E-2</v>
      </c>
      <c r="Q45" s="14"/>
      <c r="R45" s="14"/>
      <c r="S45" s="14"/>
      <c r="T45" s="14"/>
      <c r="U45" s="14"/>
      <c r="V45" s="14"/>
      <c r="W45" s="14"/>
      <c r="X45" s="14"/>
      <c r="Y45" s="14"/>
      <c r="Z45" s="34">
        <f>'[5]B&amp;C'!R121+'[5]B&amp;C'!J115+'[5]B&amp;C'!$J$117</f>
        <v>0.13731136769763294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9">
        <f>'[4]Bus et cars'!$N$120+'[4]Bus et cars'!$N$122</f>
        <v>0.15258582243872804</v>
      </c>
      <c r="AV45" s="11">
        <f>AT45/SUM($AT$43:$AT$45)</f>
        <v>0.2786423134034054</v>
      </c>
    </row>
    <row r="46" spans="1:49" s="13" customFormat="1">
      <c r="A46" s="16" t="s">
        <v>36</v>
      </c>
      <c r="B46" s="5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spans="1:49" s="13" customFormat="1">
      <c r="A47" s="16"/>
      <c r="B47" s="5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 spans="1:49" s="13" customFormat="1">
      <c r="A48" s="13" t="s">
        <v>40</v>
      </c>
      <c r="B48" s="54"/>
      <c r="P48" s="14"/>
      <c r="Q48" s="14"/>
      <c r="R48" s="14"/>
      <c r="S48" s="14"/>
      <c r="T48" s="14"/>
      <c r="U48" s="14"/>
      <c r="V48" s="14"/>
      <c r="W48" s="14"/>
      <c r="X48" s="14"/>
      <c r="Y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</row>
    <row r="49" spans="1:46" s="13" customFormat="1">
      <c r="A49" s="13" t="s">
        <v>37</v>
      </c>
      <c r="B49" s="5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>
        <f>'[3]Bus et cars'!$J$89</f>
        <v>0.72190584393168333</v>
      </c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8">
        <f>'[4]Bus et cars'!$N$89</f>
        <v>6.497E-2</v>
      </c>
    </row>
    <row r="50" spans="1:46" s="13" customFormat="1">
      <c r="A50" s="13" t="s">
        <v>38</v>
      </c>
      <c r="B50" s="5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3">
        <f>'[3]Bus et cars'!$J$91</f>
        <v>0.15126466600163557</v>
      </c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8">
        <f>'[4]Bus et cars'!$N$91</f>
        <v>0.74743000000000004</v>
      </c>
    </row>
    <row r="51" spans="1:46" s="13" customFormat="1">
      <c r="A51" s="13" t="s">
        <v>39</v>
      </c>
      <c r="B51" s="5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3">
        <f>'[3]Bus et cars'!$J$90+'[3]Bus et cars'!$J$92</f>
        <v>0.12682949006668109</v>
      </c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8">
        <f>'[4]Bus et cars'!$N$90+'[4]Bus et cars'!$N$92</f>
        <v>0.18760000000000002</v>
      </c>
    </row>
    <row r="52" spans="1:46" s="13" customFormat="1">
      <c r="B52" s="5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spans="1:46" s="13" customFormat="1">
      <c r="A53" s="13" t="s">
        <v>43</v>
      </c>
      <c r="B53" s="5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spans="1:46" s="13" customFormat="1">
      <c r="A54" s="13" t="s">
        <v>37</v>
      </c>
      <c r="B54" s="5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7">
        <v>0.81</v>
      </c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8">
        <f>'[4]Bus et cars'!$N$89</f>
        <v>6.497E-2</v>
      </c>
    </row>
    <row r="55" spans="1:46" s="13" customFormat="1">
      <c r="A55" s="13" t="s">
        <v>38</v>
      </c>
      <c r="B55" s="5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7">
        <v>0.14000000000000001</v>
      </c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8">
        <f>'[4]Bus et cars'!$N$91</f>
        <v>0.74743000000000004</v>
      </c>
    </row>
    <row r="56" spans="1:46" s="13" customFormat="1">
      <c r="A56" s="13" t="s">
        <v>39</v>
      </c>
      <c r="B56" s="5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0">
        <v>0.05</v>
      </c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8">
        <f>'[4]Bus et cars'!$N$90+'[4]Bus et cars'!$N$92</f>
        <v>0.18760000000000002</v>
      </c>
    </row>
    <row r="58" spans="1:46">
      <c r="A58" s="13" t="s">
        <v>61</v>
      </c>
    </row>
    <row r="59" spans="1:46" ht="19.5" customHeight="1">
      <c r="A59" s="13" t="s">
        <v>47</v>
      </c>
      <c r="P59" s="17">
        <f>'[4]Bus et cars'!H$16</f>
        <v>90.132739306368876</v>
      </c>
      <c r="Q59" s="4">
        <f>'[4]Bus et cars'!I$16</f>
        <v>90.683750684931496</v>
      </c>
      <c r="R59" s="4">
        <f>'[4]Bus et cars'!J$16</f>
        <v>90.683750684931496</v>
      </c>
      <c r="S59" s="4">
        <f>'[4]Bus et cars'!K$16</f>
        <v>90.683750684931496</v>
      </c>
      <c r="T59" s="4">
        <f>'[4]Bus et cars'!L$16</f>
        <v>90.683750684931496</v>
      </c>
      <c r="U59" s="4">
        <f>'[4]Bus et cars'!M$16</f>
        <v>90.683750684931496</v>
      </c>
      <c r="V59" s="4">
        <f>'[4]Bus et cars'!N$16</f>
        <v>90.683750684931496</v>
      </c>
      <c r="W59" s="4" t="e">
        <f>'[4]Bus et cars'!O$16</f>
        <v>#REF!</v>
      </c>
      <c r="X59" s="4" t="e">
        <f>'[4]Bus et cars'!P$16</f>
        <v>#REF!</v>
      </c>
      <c r="Y59" s="4" t="e">
        <f>'[4]Bus et cars'!Q$16</f>
        <v>#REF!</v>
      </c>
      <c r="Z59" s="4" t="e">
        <f>'[4]Bus et cars'!R$16</f>
        <v>#REF!</v>
      </c>
      <c r="AA59" s="4" t="e">
        <f>'[4]Bus et cars'!S$16</f>
        <v>#REF!</v>
      </c>
      <c r="AB59" s="4" t="e">
        <f>'[4]Bus et cars'!T$16</f>
        <v>#REF!</v>
      </c>
      <c r="AC59" s="4" t="e">
        <f>'[4]Bus et cars'!U$16</f>
        <v>#REF!</v>
      </c>
      <c r="AD59" s="4" t="e">
        <f>'[4]Bus et cars'!V$16</f>
        <v>#REF!</v>
      </c>
      <c r="AE59" s="4" t="e">
        <f>'[4]Bus et cars'!W$16</f>
        <v>#REF!</v>
      </c>
      <c r="AF59" s="4" t="e">
        <f>'[4]Bus et cars'!X$16</f>
        <v>#REF!</v>
      </c>
      <c r="AG59" s="4" t="e">
        <f>'[4]Bus et cars'!Y$16</f>
        <v>#REF!</v>
      </c>
      <c r="AH59" s="4" t="e">
        <f>'[4]Bus et cars'!Z$16</f>
        <v>#REF!</v>
      </c>
      <c r="AI59" s="4" t="e">
        <f>'[4]Bus et cars'!AA$16</f>
        <v>#REF!</v>
      </c>
      <c r="AJ59" s="4" t="e">
        <f>'[4]Bus et cars'!AB$16</f>
        <v>#REF!</v>
      </c>
      <c r="AK59" s="4" t="e">
        <f>'[4]Bus et cars'!AC$16</f>
        <v>#REF!</v>
      </c>
      <c r="AL59" s="4" t="e">
        <f>'[4]Bus et cars'!AD$16</f>
        <v>#REF!</v>
      </c>
      <c r="AM59" s="4" t="e">
        <f>'[4]Bus et cars'!AE$16</f>
        <v>#REF!</v>
      </c>
      <c r="AN59" s="4" t="e">
        <f>'[4]Bus et cars'!AF$16</f>
        <v>#REF!</v>
      </c>
      <c r="AO59" s="4" t="e">
        <f>'[4]Bus et cars'!AG$16</f>
        <v>#REF!</v>
      </c>
      <c r="AP59" s="4" t="e">
        <f>'[4]Bus et cars'!AH$16</f>
        <v>#REF!</v>
      </c>
      <c r="AQ59" s="4" t="e">
        <f>'[4]Bus et cars'!AI$16</f>
        <v>#REF!</v>
      </c>
      <c r="AR59" s="4" t="e">
        <f>'[4]Bus et cars'!AJ$16</f>
        <v>#REF!</v>
      </c>
      <c r="AS59" s="4" t="e">
        <f>'[4]Bus et cars'!AK$16</f>
        <v>#REF!</v>
      </c>
      <c r="AT59" s="4" t="e">
        <f>'[4]Bus et cars'!AL$16</f>
        <v>#REF!</v>
      </c>
    </row>
    <row r="60" spans="1:46" ht="19.5" customHeight="1">
      <c r="A60" s="13" t="s">
        <v>286</v>
      </c>
      <c r="P60" s="1">
        <f>[1]BUSCAR!LH$71</f>
        <v>90132</v>
      </c>
      <c r="Q60" s="1">
        <f>[1]BUSCAR!IM$71</f>
        <v>93741.4</v>
      </c>
      <c r="R60" s="1">
        <f>[1]BUSCAR!IN$71</f>
        <v>92976.8</v>
      </c>
      <c r="S60" s="1">
        <f>[1]BUSCAR!IO$71</f>
        <v>92212.2</v>
      </c>
      <c r="T60" s="1">
        <f>[1]BUSCAR!IP$71</f>
        <v>91447.6</v>
      </c>
      <c r="U60" s="1">
        <f>[1]BUSCAR!IQ$71</f>
        <v>90683</v>
      </c>
      <c r="V60" s="1">
        <f>[1]BUSCAR!IR$71</f>
        <v>90683</v>
      </c>
      <c r="W60" s="1">
        <f>[1]BUSCAR!IS$71</f>
        <v>90683</v>
      </c>
      <c r="X60" s="1">
        <f>[1]BUSCAR!IT$71</f>
        <v>90683</v>
      </c>
      <c r="Y60" s="1">
        <f>[1]BUSCAR!IU$71</f>
        <v>90683</v>
      </c>
      <c r="Z60" s="1">
        <f>[1]BUSCAR!IV$71</f>
        <v>90683</v>
      </c>
      <c r="AA60" s="1">
        <f>[1]BUSCAR!IW$71</f>
        <v>90683</v>
      </c>
      <c r="AB60" s="1">
        <f>[1]BUSCAR!IX$71</f>
        <v>90683</v>
      </c>
      <c r="AC60" s="1">
        <f>[1]BUSCAR!IY$71</f>
        <v>90683</v>
      </c>
      <c r="AD60" s="1">
        <f>[1]BUSCAR!IZ$71</f>
        <v>90683</v>
      </c>
      <c r="AE60" s="1">
        <f>[1]BUSCAR!JA$71</f>
        <v>90683</v>
      </c>
      <c r="AF60" s="1">
        <f>[1]BUSCAR!JB$71</f>
        <v>90683</v>
      </c>
      <c r="AG60" s="1">
        <f>[1]BUSCAR!JC$71</f>
        <v>90683</v>
      </c>
      <c r="AH60" s="1">
        <f>[1]BUSCAR!JD$71</f>
        <v>90683</v>
      </c>
      <c r="AI60" s="1">
        <f>[1]BUSCAR!JE$71</f>
        <v>90683</v>
      </c>
      <c r="AJ60" s="1">
        <f>[1]BUSCAR!JF$71</f>
        <v>90683</v>
      </c>
      <c r="AK60" s="1">
        <f>[1]BUSCAR!JG$71</f>
        <v>90683</v>
      </c>
      <c r="AL60" s="1">
        <f>[1]BUSCAR!JH$71</f>
        <v>90683</v>
      </c>
      <c r="AM60" s="1">
        <f>[1]BUSCAR!JI$71</f>
        <v>90683</v>
      </c>
      <c r="AN60" s="1">
        <f>[1]BUSCAR!JJ$71</f>
        <v>90683</v>
      </c>
      <c r="AO60" s="1">
        <f>[1]BUSCAR!JK$71</f>
        <v>90683</v>
      </c>
      <c r="AP60" s="1">
        <f>[1]BUSCAR!JL$71</f>
        <v>90683</v>
      </c>
      <c r="AQ60" s="1">
        <f>[1]BUSCAR!JM$71</f>
        <v>90683</v>
      </c>
      <c r="AR60" s="1">
        <f>[1]BUSCAR!JN$71</f>
        <v>90683</v>
      </c>
      <c r="AS60" s="1">
        <f>[1]BUSCAR!JO$71</f>
        <v>90683</v>
      </c>
      <c r="AT60" s="1">
        <f>[1]BUSCAR!JP$71</f>
        <v>90683</v>
      </c>
    </row>
    <row r="61" spans="1:46" ht="19.5" customHeight="1">
      <c r="A61" s="13" t="s">
        <v>287</v>
      </c>
      <c r="P61" s="1">
        <f>[1]BUSCAR!LH$71</f>
        <v>90132</v>
      </c>
      <c r="Q61" s="1">
        <f>[1]BUSCAR!LI$71</f>
        <v>90242.2</v>
      </c>
      <c r="R61" s="1">
        <f>[1]BUSCAR!LJ$71</f>
        <v>90352.4</v>
      </c>
      <c r="S61" s="1">
        <f>[1]BUSCAR!LK$71</f>
        <v>90462.6</v>
      </c>
      <c r="T61" s="1">
        <f>[1]BUSCAR!LL$71</f>
        <v>90572.800000000003</v>
      </c>
      <c r="U61" s="1">
        <f>[1]BUSCAR!LM$71</f>
        <v>90683</v>
      </c>
      <c r="V61" s="1">
        <f>[1]BUSCAR!LN$71</f>
        <v>90683</v>
      </c>
      <c r="W61" s="1">
        <f>[1]BUSCAR!LO$71</f>
        <v>90683</v>
      </c>
      <c r="X61" s="1">
        <f>[1]BUSCAR!LP$71</f>
        <v>90683</v>
      </c>
      <c r="Y61" s="1">
        <f>[1]BUSCAR!LQ$71</f>
        <v>90683</v>
      </c>
      <c r="Z61" s="1">
        <f>[1]BUSCAR!LR$71</f>
        <v>90683</v>
      </c>
      <c r="AA61" s="1">
        <f>[1]BUSCAR!LS$71</f>
        <v>90683</v>
      </c>
      <c r="AB61" s="1">
        <f>[1]BUSCAR!LT$71</f>
        <v>90683</v>
      </c>
      <c r="AC61" s="1">
        <f>[1]BUSCAR!LU$71</f>
        <v>90683</v>
      </c>
      <c r="AD61" s="1">
        <f>[1]BUSCAR!LV$71</f>
        <v>90683</v>
      </c>
      <c r="AE61" s="1">
        <f>[1]BUSCAR!LW$71</f>
        <v>90683</v>
      </c>
      <c r="AF61" s="1">
        <f>[1]BUSCAR!LX$71</f>
        <v>90683</v>
      </c>
      <c r="AG61" s="1">
        <f>[1]BUSCAR!LY$71</f>
        <v>90683</v>
      </c>
      <c r="AH61" s="1">
        <f>[1]BUSCAR!LZ$71</f>
        <v>90683</v>
      </c>
      <c r="AI61" s="1">
        <f>[1]BUSCAR!MA$71</f>
        <v>90683</v>
      </c>
      <c r="AJ61" s="1">
        <f>[1]BUSCAR!MB$71</f>
        <v>90683</v>
      </c>
      <c r="AK61" s="1">
        <f>[1]BUSCAR!MC$71</f>
        <v>90683</v>
      </c>
      <c r="AL61" s="1">
        <f>[1]BUSCAR!MD$71</f>
        <v>90683</v>
      </c>
      <c r="AM61" s="1">
        <f>[1]BUSCAR!ME$71</f>
        <v>90683</v>
      </c>
      <c r="AN61" s="1">
        <f>[1]BUSCAR!MF$71</f>
        <v>90683</v>
      </c>
      <c r="AO61" s="1">
        <f>[1]BUSCAR!MG$71</f>
        <v>90683</v>
      </c>
      <c r="AP61" s="1">
        <f>[1]BUSCAR!MH$71</f>
        <v>90683</v>
      </c>
      <c r="AQ61" s="1">
        <f>[1]BUSCAR!MI$71</f>
        <v>90683</v>
      </c>
      <c r="AR61" s="1">
        <f>[1]BUSCAR!MJ$71</f>
        <v>90683</v>
      </c>
      <c r="AS61" s="1">
        <f>[1]BUSCAR!MK$71</f>
        <v>90683</v>
      </c>
      <c r="AT61" s="1">
        <f>[1]BUSCAR!ML$71</f>
        <v>90683</v>
      </c>
    </row>
    <row r="62" spans="1:46" ht="19.5" customHeight="1">
      <c r="A62" s="39" t="s">
        <v>236</v>
      </c>
      <c r="B62">
        <f>'[6]G1-d '!R$29*1000</f>
        <v>83370.884508394811</v>
      </c>
      <c r="C62">
        <f>'[6]G1-d '!S$29*1000</f>
        <v>83308.735014922582</v>
      </c>
      <c r="D62">
        <f>'[6]G1-d '!T$29*1000</f>
        <v>83478.362387539324</v>
      </c>
      <c r="E62">
        <f>'[6]G1-d '!U$29*1000</f>
        <v>83909.566567147791</v>
      </c>
      <c r="F62">
        <f>'[6]G1-d '!V$29*1000</f>
        <v>84562.429723533787</v>
      </c>
      <c r="G62">
        <f>'[6]G1-d '!W$29*1000</f>
        <v>85574.448113806255</v>
      </c>
      <c r="H62">
        <f>'[6]G1-d '!X$29*1000</f>
        <v>86152.573770491872</v>
      </c>
      <c r="I62">
        <f>'[6]G1-d '!Y$29*1000</f>
        <v>86548.491780821947</v>
      </c>
      <c r="J62">
        <f>'[6]G1-d '!Z$29*1000</f>
        <v>87608.497260273944</v>
      </c>
      <c r="K62" s="1">
        <f>[2]BUSCAR!H$71</f>
        <v>87263</v>
      </c>
      <c r="L62" s="1">
        <f>[2]BUSCAR!I$71</f>
        <v>88431</v>
      </c>
      <c r="M62" s="1">
        <f>[2]BUSCAR!J$71</f>
        <v>89376</v>
      </c>
      <c r="N62" s="1">
        <f>[2]BUSCAR!K$71</f>
        <v>90695</v>
      </c>
      <c r="O62" s="1">
        <f>[2]BUSCAR!L$71</f>
        <v>92229</v>
      </c>
      <c r="P62" s="1">
        <f>[2]BUSCAR!M$71</f>
        <v>92851</v>
      </c>
      <c r="Q62" s="1">
        <f>[2]BUSCAR!N$71</f>
        <v>94470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9.5" customHeight="1">
      <c r="A63" s="13" t="s">
        <v>237</v>
      </c>
      <c r="K63" s="1">
        <f>[2]BUSCAR!H$65+[2]BUSCAR!H$66</f>
        <v>84269</v>
      </c>
      <c r="L63" s="1">
        <f>[2]BUSCAR!I$65+[2]BUSCAR!I$66</f>
        <v>85430</v>
      </c>
      <c r="M63" s="1">
        <f>[2]BUSCAR!J$65+[2]BUSCAR!J$66</f>
        <v>86222</v>
      </c>
      <c r="N63" s="1">
        <f>[2]BUSCAR!K$65+[2]BUSCAR!K$66</f>
        <v>87363</v>
      </c>
      <c r="O63" s="1">
        <f>[2]BUSCAR!L$65+[2]BUSCAR!L$66</f>
        <v>88291</v>
      </c>
      <c r="P63" s="1">
        <f>[2]BUSCAR!M$65+[2]BUSCAR!M$66</f>
        <v>87912</v>
      </c>
      <c r="Q63" s="1">
        <f>[2]BUSCAR!N$65+[2]BUSCAR!N$66</f>
        <v>87267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9.5" customHeight="1">
      <c r="A64" s="13" t="s">
        <v>228</v>
      </c>
      <c r="K64" s="1">
        <f>[2]BUSCAR!H$67+[2]BUSCAR!H$68</f>
        <v>382</v>
      </c>
      <c r="L64" s="1">
        <f>[2]BUSCAR!I$67+[2]BUSCAR!I$68</f>
        <v>426</v>
      </c>
      <c r="M64" s="1">
        <f>[2]BUSCAR!J$67+[2]BUSCAR!J$68</f>
        <v>474</v>
      </c>
      <c r="N64" s="1">
        <f>[2]BUSCAR!K$67+[2]BUSCAR!K$68</f>
        <v>519</v>
      </c>
      <c r="O64" s="1">
        <f>[2]BUSCAR!L$67+[2]BUSCAR!L$68</f>
        <v>773</v>
      </c>
      <c r="P64" s="1">
        <f>[2]BUSCAR!M$67+[2]BUSCAR!M$68</f>
        <v>901</v>
      </c>
      <c r="Q64" s="1">
        <f>[2]BUSCAR!N$67+[2]BUSCAR!N$68</f>
        <v>1548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9.5" customHeight="1">
      <c r="A65" s="13" t="s">
        <v>238</v>
      </c>
      <c r="K65" s="1">
        <f>[2]BUSCAR!H$69+[2]BUSCAR!H$70</f>
        <v>2612</v>
      </c>
      <c r="L65" s="1">
        <f>[2]BUSCAR!I$69+[2]BUSCAR!I$70</f>
        <v>2575</v>
      </c>
      <c r="M65" s="1">
        <f>[2]BUSCAR!J$69+[2]BUSCAR!J$70</f>
        <v>2680</v>
      </c>
      <c r="N65" s="1">
        <f>[2]BUSCAR!K$69+[2]BUSCAR!K$70</f>
        <v>2813</v>
      </c>
      <c r="O65" s="1">
        <f>[2]BUSCAR!L$69+[2]BUSCAR!L$70</f>
        <v>3165</v>
      </c>
      <c r="P65" s="1">
        <f>[2]BUSCAR!M$69+[2]BUSCAR!M$70</f>
        <v>4038</v>
      </c>
      <c r="Q65" s="1">
        <f>[2]BUSCAR!N$69+[2]BUSCAR!N$70</f>
        <v>5655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9.5" customHeight="1">
      <c r="A66" s="13" t="s">
        <v>52</v>
      </c>
      <c r="P66" s="4">
        <f>[1]BUSCAR!LH$118</f>
        <v>6303</v>
      </c>
      <c r="Q66" s="4">
        <f>[1]BUSCAR!IM$118</f>
        <v>6440.4</v>
      </c>
      <c r="R66" s="4">
        <f>[1]BUSCAR!IN$118</f>
        <v>6577.8</v>
      </c>
      <c r="S66" s="4">
        <f>[1]BUSCAR!IO$118</f>
        <v>6715.2</v>
      </c>
      <c r="T66" s="4">
        <f>[1]BUSCAR!IP$118</f>
        <v>6852.6</v>
      </c>
      <c r="U66" s="4">
        <f>[1]BUSCAR!IQ$118</f>
        <v>6990</v>
      </c>
      <c r="V66" s="4">
        <f>[1]BUSCAR!IR$118</f>
        <v>6990</v>
      </c>
      <c r="W66" s="4">
        <f>[1]BUSCAR!IS$118</f>
        <v>6990</v>
      </c>
      <c r="X66" s="4">
        <f>[1]BUSCAR!IT$118</f>
        <v>6990</v>
      </c>
      <c r="Y66" s="4">
        <f>[1]BUSCAR!IU$118</f>
        <v>6990</v>
      </c>
      <c r="Z66" s="4">
        <f>[1]BUSCAR!IV$118</f>
        <v>6990</v>
      </c>
      <c r="AA66" s="4">
        <f>[1]BUSCAR!IW$118</f>
        <v>6990</v>
      </c>
      <c r="AB66" s="4">
        <f>[1]BUSCAR!IX$118</f>
        <v>6990</v>
      </c>
      <c r="AC66" s="4">
        <f>[1]BUSCAR!IY$118</f>
        <v>6990</v>
      </c>
      <c r="AD66" s="4">
        <f>[1]BUSCAR!IZ$118</f>
        <v>6990</v>
      </c>
      <c r="AE66" s="4">
        <f>[1]BUSCAR!JA$118</f>
        <v>6990</v>
      </c>
      <c r="AF66" s="4">
        <f>[1]BUSCAR!JB$118</f>
        <v>6990</v>
      </c>
      <c r="AG66" s="4">
        <f>[1]BUSCAR!JC$118</f>
        <v>6990</v>
      </c>
      <c r="AH66" s="4">
        <f>[1]BUSCAR!JD$118</f>
        <v>6990</v>
      </c>
      <c r="AI66" s="4">
        <f>[1]BUSCAR!JE$118</f>
        <v>6990</v>
      </c>
      <c r="AJ66" s="4">
        <f>[1]BUSCAR!JF$118</f>
        <v>6990</v>
      </c>
      <c r="AK66" s="4">
        <f>[1]BUSCAR!JG$118</f>
        <v>6990</v>
      </c>
      <c r="AL66" s="4">
        <f>[1]BUSCAR!JH$118</f>
        <v>6990</v>
      </c>
      <c r="AM66" s="4">
        <f>[1]BUSCAR!JI$118</f>
        <v>6990</v>
      </c>
      <c r="AN66" s="4">
        <f>[1]BUSCAR!JJ$118</f>
        <v>6990</v>
      </c>
      <c r="AO66" s="4">
        <f>[1]BUSCAR!JK$118</f>
        <v>6990</v>
      </c>
      <c r="AP66" s="4">
        <f>[1]BUSCAR!JL$118</f>
        <v>6990</v>
      </c>
      <c r="AQ66" s="4">
        <f>[1]BUSCAR!JM$118</f>
        <v>6990</v>
      </c>
      <c r="AR66" s="4">
        <f>[1]BUSCAR!JN$118</f>
        <v>6990</v>
      </c>
      <c r="AS66" s="4">
        <f>[1]BUSCAR!JO$118</f>
        <v>6990</v>
      </c>
      <c r="AT66" s="4">
        <f>[1]BUSCAR!JP$118</f>
        <v>6990</v>
      </c>
    </row>
    <row r="67" spans="1:46" ht="19.5" customHeight="1">
      <c r="A67" s="13" t="s">
        <v>53</v>
      </c>
      <c r="P67" s="4">
        <f>[1]BUSCAR!LH$119</f>
        <v>5168.46</v>
      </c>
      <c r="Q67" s="4">
        <f>[1]BUSCAR!IM$119</f>
        <v>5155.308</v>
      </c>
      <c r="R67" s="4">
        <f>[1]BUSCAR!IN$119</f>
        <v>5142.1559999999999</v>
      </c>
      <c r="S67" s="4">
        <f>[1]BUSCAR!IO$119</f>
        <v>5129.0039999999999</v>
      </c>
      <c r="T67" s="4">
        <f>[1]BUSCAR!IP$119</f>
        <v>5115.8519999999999</v>
      </c>
      <c r="U67" s="4">
        <f>[1]BUSCAR!IQ$119</f>
        <v>5102.7</v>
      </c>
      <c r="V67" s="4">
        <f>[1]BUSCAR!IR$119</f>
        <v>4837.08</v>
      </c>
      <c r="W67" s="4">
        <f>[1]BUSCAR!IS$119</f>
        <v>4571.46</v>
      </c>
      <c r="X67" s="4">
        <f>[1]BUSCAR!IT$119</f>
        <v>4305.84</v>
      </c>
      <c r="Y67" s="4">
        <f>[1]BUSCAR!IU$119</f>
        <v>4040.2200000000003</v>
      </c>
      <c r="Z67" s="4">
        <f>[1]BUSCAR!IV$119</f>
        <v>3774.6000000000004</v>
      </c>
      <c r="AA67" s="4">
        <f>[1]BUSCAR!IW$119</f>
        <v>3774.6000000000004</v>
      </c>
      <c r="AB67" s="4">
        <f>[1]BUSCAR!IX$119</f>
        <v>3774.6000000000004</v>
      </c>
      <c r="AC67" s="4">
        <f>[1]BUSCAR!IY$119</f>
        <v>3774.6000000000004</v>
      </c>
      <c r="AD67" s="4">
        <f>[1]BUSCAR!IZ$119</f>
        <v>3774.6000000000004</v>
      </c>
      <c r="AE67" s="4">
        <f>[1]BUSCAR!JA$119</f>
        <v>3774.6000000000004</v>
      </c>
      <c r="AF67" s="4">
        <f>[1]BUSCAR!JB$119</f>
        <v>3774.6000000000004</v>
      </c>
      <c r="AG67" s="4">
        <f>[1]BUSCAR!JC$119</f>
        <v>3774.6000000000004</v>
      </c>
      <c r="AH67" s="4">
        <f>[1]BUSCAR!JD$119</f>
        <v>3774.6000000000004</v>
      </c>
      <c r="AI67" s="4">
        <f>[1]BUSCAR!JE$119</f>
        <v>3774.6000000000004</v>
      </c>
      <c r="AJ67" s="4">
        <f>[1]BUSCAR!JF$119</f>
        <v>3774.6000000000004</v>
      </c>
      <c r="AK67" s="4">
        <f>[1]BUSCAR!JG$119</f>
        <v>3774.6000000000004</v>
      </c>
      <c r="AL67" s="4">
        <f>[1]BUSCAR!JH$119</f>
        <v>3774.6000000000004</v>
      </c>
      <c r="AM67" s="4">
        <f>[1]BUSCAR!JI$119</f>
        <v>3774.6000000000004</v>
      </c>
      <c r="AN67" s="4">
        <f>[1]BUSCAR!JJ$119</f>
        <v>3774.6000000000004</v>
      </c>
      <c r="AO67" s="4">
        <f>[1]BUSCAR!JK$119</f>
        <v>3774.6000000000004</v>
      </c>
      <c r="AP67" s="4">
        <f>[1]BUSCAR!JL$119</f>
        <v>3774.6000000000004</v>
      </c>
      <c r="AQ67" s="4">
        <f>[1]BUSCAR!JM$119</f>
        <v>3774.6000000000004</v>
      </c>
      <c r="AR67" s="4">
        <f>[1]BUSCAR!JN$119</f>
        <v>3774.6000000000004</v>
      </c>
      <c r="AS67" s="4">
        <f>[1]BUSCAR!JO$119</f>
        <v>3774.6000000000004</v>
      </c>
      <c r="AT67" s="4">
        <f>[1]BUSCAR!JP$119</f>
        <v>3774.6000000000004</v>
      </c>
    </row>
    <row r="68" spans="1:46" ht="19.5" customHeight="1">
      <c r="A68" s="13" t="s">
        <v>54</v>
      </c>
      <c r="P68" s="4">
        <f>[1]BUSCAR!LH$120</f>
        <v>1134.54</v>
      </c>
      <c r="Q68" s="4">
        <f>[1]BUSCAR!IM$120</f>
        <v>1285.0919999999999</v>
      </c>
      <c r="R68" s="4">
        <f>[1]BUSCAR!IN$120</f>
        <v>1435.6439999999998</v>
      </c>
      <c r="S68" s="4">
        <f>[1]BUSCAR!IO$120</f>
        <v>1586.1959999999999</v>
      </c>
      <c r="T68" s="4">
        <f>[1]BUSCAR!IP$120</f>
        <v>1736.7479999999998</v>
      </c>
      <c r="U68" s="4">
        <f>[1]BUSCAR!IQ$120</f>
        <v>1887.3</v>
      </c>
      <c r="V68" s="4">
        <f>[1]BUSCAR!IR$120</f>
        <v>2152.92</v>
      </c>
      <c r="W68" s="4">
        <f>[1]BUSCAR!IS$120</f>
        <v>2418.54</v>
      </c>
      <c r="X68" s="4">
        <f>[1]BUSCAR!IT$120</f>
        <v>2684.16</v>
      </c>
      <c r="Y68" s="4">
        <f>[1]BUSCAR!IU$120</f>
        <v>2949.7799999999997</v>
      </c>
      <c r="Z68" s="4">
        <f>[1]BUSCAR!IV$120</f>
        <v>3215.4</v>
      </c>
      <c r="AA68" s="4">
        <f>[1]BUSCAR!IW$120</f>
        <v>3215.4</v>
      </c>
      <c r="AB68" s="4">
        <f>[1]BUSCAR!IX$120</f>
        <v>3215.4</v>
      </c>
      <c r="AC68" s="4">
        <f>[1]BUSCAR!IY$120</f>
        <v>3215.4</v>
      </c>
      <c r="AD68" s="4">
        <f>[1]BUSCAR!IZ$120</f>
        <v>3215.4</v>
      </c>
      <c r="AE68" s="4">
        <f>[1]BUSCAR!JA$120</f>
        <v>3215.4</v>
      </c>
      <c r="AF68" s="4">
        <f>[1]BUSCAR!JB$120</f>
        <v>3215.4</v>
      </c>
      <c r="AG68" s="4">
        <f>[1]BUSCAR!JC$120</f>
        <v>3215.4</v>
      </c>
      <c r="AH68" s="4">
        <f>[1]BUSCAR!JD$120</f>
        <v>3215.4</v>
      </c>
      <c r="AI68" s="4">
        <f>[1]BUSCAR!JE$120</f>
        <v>3215.4</v>
      </c>
      <c r="AJ68" s="4">
        <f>[1]BUSCAR!JF$120</f>
        <v>3215.4</v>
      </c>
      <c r="AK68" s="4">
        <f>[1]BUSCAR!JG$120</f>
        <v>3215.4</v>
      </c>
      <c r="AL68" s="4">
        <f>[1]BUSCAR!JH$120</f>
        <v>3215.4</v>
      </c>
      <c r="AM68" s="4">
        <f>[1]BUSCAR!JI$120</f>
        <v>3215.4</v>
      </c>
      <c r="AN68" s="4">
        <f>[1]BUSCAR!JJ$120</f>
        <v>3215.4</v>
      </c>
      <c r="AO68" s="4">
        <f>[1]BUSCAR!JK$120</f>
        <v>3215.4</v>
      </c>
      <c r="AP68" s="4">
        <f>[1]BUSCAR!JL$120</f>
        <v>3215.4</v>
      </c>
      <c r="AQ68" s="4">
        <f>[1]BUSCAR!JM$120</f>
        <v>3215.4</v>
      </c>
      <c r="AR68" s="4">
        <f>[1]BUSCAR!JN$120</f>
        <v>3215.4</v>
      </c>
      <c r="AS68" s="4">
        <f>[1]BUSCAR!JO$120</f>
        <v>3215.4</v>
      </c>
      <c r="AT68" s="4">
        <f>[1]BUSCAR!JP$120</f>
        <v>3215.4</v>
      </c>
    </row>
    <row r="69" spans="1:46" ht="19.5" customHeight="1">
      <c r="A69" s="13"/>
    </row>
    <row r="70" spans="1:46" ht="19.5" customHeight="1">
      <c r="A70" s="13" t="s">
        <v>250</v>
      </c>
      <c r="K70" s="1">
        <f>[2]BUSCAR!H302</f>
        <v>280.5161841446361</v>
      </c>
      <c r="L70" s="1">
        <f>[2]BUSCAR!I302</f>
        <v>276.39148506767521</v>
      </c>
      <c r="M70" s="1">
        <f>[2]BUSCAR!J302</f>
        <v>275.97516959013564</v>
      </c>
      <c r="N70" s="1">
        <f>[2]BUSCAR!K302</f>
        <v>274.39975482665022</v>
      </c>
      <c r="O70" s="1">
        <f>[2]BUSCAR!L302</f>
        <v>271.41528863955403</v>
      </c>
      <c r="P70" s="1">
        <f>[2]BUSCAR!M302</f>
        <v>264.85445625338747</v>
      </c>
      <c r="Q70" s="1">
        <f>[2]BUSCAR!N302</f>
        <v>260.02895995842573</v>
      </c>
      <c r="R70" s="1">
        <f>[2]BUSCAR!O302</f>
        <v>251.42503920543646</v>
      </c>
      <c r="S70" s="1">
        <f>[2]BUSCAR!P302</f>
        <v>238.99718555649855</v>
      </c>
      <c r="T70" s="4">
        <f>[1]BUSCAR!IP$302</f>
        <v>238.99718555649855</v>
      </c>
      <c r="U70" s="4">
        <f>[1]BUSCAR!IQ$302</f>
        <v>238.99718555649855</v>
      </c>
      <c r="V70" s="4">
        <f>[1]BUSCAR!IR$302</f>
        <v>238.99718555649855</v>
      </c>
      <c r="W70" s="4">
        <f>[1]BUSCAR!IS$302</f>
        <v>238.99718555649855</v>
      </c>
      <c r="X70" s="4">
        <f>[1]BUSCAR!IT$302</f>
        <v>238.99718555649855</v>
      </c>
      <c r="Y70" s="4">
        <f>[1]BUSCAR!IU$302</f>
        <v>238.99718555649855</v>
      </c>
      <c r="Z70" s="4">
        <f>[1]BUSCAR!IV$302</f>
        <v>238.99718555649855</v>
      </c>
      <c r="AA70" s="4">
        <f>[1]BUSCAR!IW$302</f>
        <v>238.99718555649855</v>
      </c>
      <c r="AB70" s="4">
        <f>[1]BUSCAR!IX$302</f>
        <v>238.99718555649855</v>
      </c>
      <c r="AC70" s="4">
        <f>[1]BUSCAR!IY$302</f>
        <v>238.99718555649855</v>
      </c>
      <c r="AD70" s="4">
        <f>[1]BUSCAR!IZ$302</f>
        <v>238.99718555649855</v>
      </c>
      <c r="AE70" s="4">
        <f>[1]BUSCAR!JA$302</f>
        <v>238.99718555649855</v>
      </c>
      <c r="AF70" s="4">
        <f>[1]BUSCAR!JB$302</f>
        <v>238.99718555649855</v>
      </c>
      <c r="AG70" s="4">
        <f>[1]BUSCAR!JC$302</f>
        <v>238.99718555649855</v>
      </c>
      <c r="AH70" s="4">
        <f>[1]BUSCAR!JD$302</f>
        <v>238.99718555649855</v>
      </c>
      <c r="AI70" s="4">
        <f>[1]BUSCAR!JE$302</f>
        <v>238.99718555649855</v>
      </c>
      <c r="AJ70" s="4">
        <f>[1]BUSCAR!JF$302</f>
        <v>238.99718555649855</v>
      </c>
      <c r="AK70" s="4">
        <f>[1]BUSCAR!JG$302</f>
        <v>238.99718555649855</v>
      </c>
      <c r="AL70" s="4">
        <f>[1]BUSCAR!JH$302</f>
        <v>238.99718555649855</v>
      </c>
      <c r="AM70" s="4">
        <f>[1]BUSCAR!JI$302</f>
        <v>238.99718555649855</v>
      </c>
      <c r="AN70" s="4">
        <f>[1]BUSCAR!JJ$302</f>
        <v>238.99718555649855</v>
      </c>
      <c r="AO70" s="4">
        <f>[1]BUSCAR!JK$302</f>
        <v>238.99718555649855</v>
      </c>
      <c r="AP70" s="4">
        <f>[1]BUSCAR!JL$302</f>
        <v>238.99718555649855</v>
      </c>
      <c r="AQ70" s="4">
        <f>[1]BUSCAR!JM$302</f>
        <v>238.99718555649855</v>
      </c>
      <c r="AR70" s="4">
        <f>[1]BUSCAR!JN$302</f>
        <v>238.99718555649855</v>
      </c>
      <c r="AS70" s="4">
        <f>[1]BUSCAR!JO$302</f>
        <v>238.99718555649855</v>
      </c>
      <c r="AT70" s="4">
        <f>[1]BUSCAR!JP$302</f>
        <v>238.99718555649855</v>
      </c>
    </row>
    <row r="71" spans="1:46">
      <c r="A71" s="13" t="s">
        <v>251</v>
      </c>
      <c r="K71" s="1">
        <f>([2]BUSCAR!H101*[2]BUSCAR!H359+[2]BUSCAR!H108*[2]BUSCAR!H385)/( [2]BUSCAR!H101+[2]BUSCAR!H108)</f>
        <v>613.71966026617088</v>
      </c>
      <c r="L71" s="1">
        <f>([2]BUSCAR!I101*[2]BUSCAR!I359+[2]BUSCAR!I108*[2]BUSCAR!I385)/( [2]BUSCAR!I101+[2]BUSCAR!I108)</f>
        <v>583.69848721807477</v>
      </c>
      <c r="M71" s="1">
        <f>([2]BUSCAR!J101*[2]BUSCAR!J359+[2]BUSCAR!J108*[2]BUSCAR!J385)/( [2]BUSCAR!J101+[2]BUSCAR!J108)</f>
        <v>531.59048091013267</v>
      </c>
      <c r="N71" s="1">
        <f>([2]BUSCAR!K101*[2]BUSCAR!K359+[2]BUSCAR!K108*[2]BUSCAR!K385)/( [2]BUSCAR!K101+[2]BUSCAR!K108)</f>
        <v>504.02366198612555</v>
      </c>
      <c r="O71" s="1">
        <f>([2]BUSCAR!L101*[2]BUSCAR!L359+[2]BUSCAR!L108*[2]BUSCAR!L385)/( [2]BUSCAR!L101+[2]BUSCAR!L108)</f>
        <v>499.5552466943297</v>
      </c>
      <c r="P71" s="1">
        <f>([2]BUSCAR!M101*[2]BUSCAR!M359+[2]BUSCAR!M108*[2]BUSCAR!M385)/( [2]BUSCAR!M101+[2]BUSCAR!M108)</f>
        <v>471.95045714646176</v>
      </c>
      <c r="Q71" s="1">
        <f>([2]BUSCAR!N101*[2]BUSCAR!N359+[2]BUSCAR!N108*[2]BUSCAR!N385)/( [2]BUSCAR!N101+[2]BUSCAR!N108)</f>
        <v>457.4433709209506</v>
      </c>
      <c r="R71" s="1">
        <f>([2]BUSCAR!O101*[2]BUSCAR!O359+[2]BUSCAR!O108*[2]BUSCAR!O385)/( [2]BUSCAR!O101+[2]BUSCAR!O108)</f>
        <v>441.42045454545456</v>
      </c>
      <c r="S71" s="1">
        <f>([2]BUSCAR!P101*[2]BUSCAR!P359+[2]BUSCAR!P108*[2]BUSCAR!P385)/( [2]BUSCAR!P101+[2]BUSCAR!P108)</f>
        <v>419.60119253370198</v>
      </c>
      <c r="T71" s="1">
        <f>[2]BUSCAR!IP359</f>
        <v>411.32473654986484</v>
      </c>
      <c r="U71" s="1">
        <f>[2]BUSCAR!IQ359</f>
        <v>385.6349056364466</v>
      </c>
      <c r="V71" s="1">
        <f>[2]BUSCAR!IR359</f>
        <v>374.25916637837986</v>
      </c>
      <c r="W71" s="1">
        <f>[2]BUSCAR!IS359</f>
        <v>364.02100104611975</v>
      </c>
      <c r="X71" s="1">
        <f>[2]BUSCAR!IT359</f>
        <v>354.80665224708571</v>
      </c>
      <c r="Y71" s="1">
        <f>[2]BUSCAR!IU359</f>
        <v>346.51373832795502</v>
      </c>
      <c r="Z71" s="1">
        <f>[2]BUSCAR!IV359</f>
        <v>339.05011580073744</v>
      </c>
      <c r="AA71" s="1">
        <f>[2]BUSCAR!IW359</f>
        <v>332.33285552624159</v>
      </c>
      <c r="AB71" s="1">
        <f>[2]BUSCAR!IX359</f>
        <v>326.28732127919534</v>
      </c>
      <c r="AC71" s="1">
        <f>[2]BUSCAR!IY359</f>
        <v>322.62240935427116</v>
      </c>
      <c r="AD71" s="1">
        <f>[2]BUSCAR!IZ359</f>
        <v>318.95749742934703</v>
      </c>
      <c r="AE71" s="1">
        <f>[2]BUSCAR!JA359</f>
        <v>315.2925855044229</v>
      </c>
      <c r="AF71" s="1">
        <f>[2]BUSCAR!JB359</f>
        <v>313.09363834946839</v>
      </c>
      <c r="AG71" s="1">
        <f>[2]BUSCAR!JC359</f>
        <v>310.89469119451394</v>
      </c>
      <c r="AH71" s="1">
        <f>[2]BUSCAR!JD359</f>
        <v>308.69574403955943</v>
      </c>
      <c r="AI71" s="1">
        <f>[2]BUSCAR!JE359</f>
        <v>306.49679688460498</v>
      </c>
      <c r="AJ71" s="1">
        <f>[2]BUSCAR!JF359</f>
        <v>304.29784972965047</v>
      </c>
      <c r="AK71" s="1">
        <f>[2]BUSCAR!JG359</f>
        <v>302.09890257469601</v>
      </c>
      <c r="AL71" s="1">
        <f>[2]BUSCAR!JH359</f>
        <v>299.8999554197415</v>
      </c>
      <c r="AM71" s="1">
        <f>[2]BUSCAR!JI359</f>
        <v>297.70100826478705</v>
      </c>
      <c r="AN71" s="1">
        <f>[2]BUSCAR!JJ359</f>
        <v>295.50206110983254</v>
      </c>
      <c r="AO71" s="1">
        <f>[2]BUSCAR!JK359</f>
        <v>293.30311395487809</v>
      </c>
      <c r="AP71" s="1">
        <f>[2]BUSCAR!JL359</f>
        <v>291.10416679992358</v>
      </c>
      <c r="AQ71" s="1">
        <f>[2]BUSCAR!JM359</f>
        <v>288.90521964496912</v>
      </c>
      <c r="AR71" s="1">
        <f>[2]BUSCAR!JN359</f>
        <v>286.70627249001461</v>
      </c>
      <c r="AS71" s="1">
        <f>[2]BUSCAR!JO359</f>
        <v>284.50732533506016</v>
      </c>
      <c r="AT71" s="1">
        <f>[2]BUSCAR!JP359</f>
        <v>282.30837818010565</v>
      </c>
    </row>
    <row r="72" spans="1:46">
      <c r="A72" s="13" t="s">
        <v>252</v>
      </c>
      <c r="K72" s="1">
        <f>[2]BUSCAR!H428</f>
        <v>292.56116086930723</v>
      </c>
      <c r="L72" s="1">
        <f>[2]BUSCAR!I428</f>
        <v>310.63093202317373</v>
      </c>
      <c r="M72" s="1">
        <f>[2]BUSCAR!J428</f>
        <v>309.57462235682067</v>
      </c>
      <c r="N72" s="1">
        <f>[2]BUSCAR!K428</f>
        <v>310.9811120035655</v>
      </c>
      <c r="O72" s="1">
        <f>[2]BUSCAR!L428</f>
        <v>311.39537553453039</v>
      </c>
      <c r="P72" s="1">
        <f>[2]BUSCAR!M428</f>
        <v>302.79788649196735</v>
      </c>
      <c r="Q72" s="1">
        <f>[2]BUSCAR!N428</f>
        <v>298.85483720077042</v>
      </c>
      <c r="R72" s="1">
        <f>[2]BUSCAR!O428</f>
        <v>290.3</v>
      </c>
      <c r="S72" s="1">
        <f>[2]BUSCAR!P428</f>
        <v>275.95057034220531</v>
      </c>
      <c r="T72" s="4">
        <f>S72</f>
        <v>275.95057034220531</v>
      </c>
      <c r="U72" s="4">
        <f>[2]BUSCAR!IQ428</f>
        <v>275.95057034220531</v>
      </c>
      <c r="V72" s="4">
        <f>[2]BUSCAR!IR428</f>
        <v>275.95057034220531</v>
      </c>
      <c r="W72" s="4">
        <f>[2]BUSCAR!IS428</f>
        <v>275.95057034220531</v>
      </c>
      <c r="X72" s="4">
        <f>[2]BUSCAR!IT428</f>
        <v>275.95057034220531</v>
      </c>
      <c r="Y72" s="4">
        <f>[2]BUSCAR!IU428</f>
        <v>275.95057034220531</v>
      </c>
      <c r="Z72" s="4">
        <f>[2]BUSCAR!IV428</f>
        <v>275.95057034220531</v>
      </c>
      <c r="AA72" s="4">
        <f>[2]BUSCAR!IW428</f>
        <v>275.95057034220531</v>
      </c>
      <c r="AB72" s="4">
        <f>[2]BUSCAR!IX428</f>
        <v>275.95057034220531</v>
      </c>
      <c r="AC72" s="4">
        <f>[2]BUSCAR!IY428</f>
        <v>275.95057034220531</v>
      </c>
      <c r="AD72" s="4">
        <f>[2]BUSCAR!IZ428</f>
        <v>275.95057034220531</v>
      </c>
      <c r="AE72" s="4">
        <f>[2]BUSCAR!JA428</f>
        <v>275.95057034220531</v>
      </c>
      <c r="AF72" s="4">
        <f>[2]BUSCAR!JB428</f>
        <v>275.95057034220531</v>
      </c>
      <c r="AG72" s="4">
        <f>[2]BUSCAR!JC428</f>
        <v>275.95057034220531</v>
      </c>
      <c r="AH72" s="4">
        <f>[2]BUSCAR!JD428</f>
        <v>275.95057034220531</v>
      </c>
      <c r="AI72" s="4">
        <f>[2]BUSCAR!JE428</f>
        <v>275.95057034220531</v>
      </c>
      <c r="AJ72" s="4">
        <f>[2]BUSCAR!JF428</f>
        <v>275.95057034220531</v>
      </c>
      <c r="AK72" s="4">
        <f>[2]BUSCAR!JG428</f>
        <v>275.95057034220531</v>
      </c>
      <c r="AL72" s="4">
        <f>[2]BUSCAR!JH428</f>
        <v>275.95057034220531</v>
      </c>
      <c r="AM72" s="4">
        <f>[2]BUSCAR!JI428</f>
        <v>275.95057034220531</v>
      </c>
      <c r="AN72" s="4">
        <f>[2]BUSCAR!JJ428</f>
        <v>275.95057034220531</v>
      </c>
      <c r="AO72" s="4">
        <f>[2]BUSCAR!JK428</f>
        <v>275.95057034220531</v>
      </c>
      <c r="AP72" s="4">
        <f>[2]BUSCAR!JL428</f>
        <v>275.95057034220531</v>
      </c>
      <c r="AQ72" s="4">
        <f>[2]BUSCAR!JM428</f>
        <v>275.95057034220531</v>
      </c>
      <c r="AR72" s="4">
        <f>[2]BUSCAR!JN428</f>
        <v>275.95057034220531</v>
      </c>
      <c r="AS72" s="4">
        <f>[2]BUSCAR!JO428</f>
        <v>275.95057034220531</v>
      </c>
      <c r="AT72" s="4">
        <f>[2]BUSCAR!JP428</f>
        <v>275.95057034220531</v>
      </c>
    </row>
    <row r="73" spans="1:46" ht="19.5" customHeight="1">
      <c r="A73" s="13" t="s">
        <v>492</v>
      </c>
      <c r="K73" s="1">
        <f>K70/1.27</f>
        <v>220.87888515325676</v>
      </c>
      <c r="L73" s="1">
        <f t="shared" ref="L73:AT75" si="11">L70/1.27</f>
        <v>217.63109060446865</v>
      </c>
      <c r="M73" s="1">
        <f t="shared" si="11"/>
        <v>217.30328314183907</v>
      </c>
      <c r="N73" s="1">
        <f t="shared" si="11"/>
        <v>216.06279907610252</v>
      </c>
      <c r="O73" s="1">
        <f t="shared" si="11"/>
        <v>213.71282570043624</v>
      </c>
      <c r="P73" s="1">
        <f t="shared" si="11"/>
        <v>208.54681594754919</v>
      </c>
      <c r="Q73" s="1">
        <f t="shared" si="11"/>
        <v>204.74721256568955</v>
      </c>
      <c r="R73" s="1">
        <f t="shared" si="11"/>
        <v>197.97247181530429</v>
      </c>
      <c r="S73" s="1">
        <f t="shared" si="11"/>
        <v>188.18676028070752</v>
      </c>
      <c r="T73" s="1">
        <f t="shared" si="11"/>
        <v>188.18676028070752</v>
      </c>
      <c r="U73" s="1">
        <f t="shared" si="11"/>
        <v>188.18676028070752</v>
      </c>
      <c r="V73" s="1">
        <f t="shared" si="11"/>
        <v>188.18676028070752</v>
      </c>
      <c r="W73" s="1">
        <f t="shared" si="11"/>
        <v>188.18676028070752</v>
      </c>
      <c r="X73" s="1">
        <f t="shared" si="11"/>
        <v>188.18676028070752</v>
      </c>
      <c r="Y73" s="1">
        <f t="shared" si="11"/>
        <v>188.18676028070752</v>
      </c>
      <c r="Z73" s="1">
        <f t="shared" si="11"/>
        <v>188.18676028070752</v>
      </c>
      <c r="AA73" s="1">
        <f t="shared" si="11"/>
        <v>188.18676028070752</v>
      </c>
      <c r="AB73" s="1">
        <f t="shared" si="11"/>
        <v>188.18676028070752</v>
      </c>
      <c r="AC73" s="1">
        <f t="shared" si="11"/>
        <v>188.18676028070752</v>
      </c>
      <c r="AD73" s="1">
        <f t="shared" si="11"/>
        <v>188.18676028070752</v>
      </c>
      <c r="AE73" s="1">
        <f t="shared" si="11"/>
        <v>188.18676028070752</v>
      </c>
      <c r="AF73" s="1">
        <f t="shared" si="11"/>
        <v>188.18676028070752</v>
      </c>
      <c r="AG73" s="1">
        <f t="shared" si="11"/>
        <v>188.18676028070752</v>
      </c>
      <c r="AH73" s="1">
        <f t="shared" si="11"/>
        <v>188.18676028070752</v>
      </c>
      <c r="AI73" s="1">
        <f t="shared" si="11"/>
        <v>188.18676028070752</v>
      </c>
      <c r="AJ73" s="1">
        <f t="shared" si="11"/>
        <v>188.18676028070752</v>
      </c>
      <c r="AK73" s="1">
        <f t="shared" si="11"/>
        <v>188.18676028070752</v>
      </c>
      <c r="AL73" s="1">
        <f t="shared" si="11"/>
        <v>188.18676028070752</v>
      </c>
      <c r="AM73" s="1">
        <f t="shared" si="11"/>
        <v>188.18676028070752</v>
      </c>
      <c r="AN73" s="1">
        <f t="shared" si="11"/>
        <v>188.18676028070752</v>
      </c>
      <c r="AO73" s="1">
        <f t="shared" si="11"/>
        <v>188.18676028070752</v>
      </c>
      <c r="AP73" s="1">
        <f t="shared" si="11"/>
        <v>188.18676028070752</v>
      </c>
      <c r="AQ73" s="1">
        <f t="shared" si="11"/>
        <v>188.18676028070752</v>
      </c>
      <c r="AR73" s="1">
        <f t="shared" si="11"/>
        <v>188.18676028070752</v>
      </c>
      <c r="AS73" s="1">
        <f t="shared" si="11"/>
        <v>188.18676028070752</v>
      </c>
      <c r="AT73" s="1">
        <f t="shared" si="11"/>
        <v>188.18676028070752</v>
      </c>
    </row>
    <row r="74" spans="1:46">
      <c r="A74" s="13" t="s">
        <v>493</v>
      </c>
      <c r="K74" s="1">
        <f t="shared" ref="K74:Z75" si="12">K71/1.27</f>
        <v>483.24382698123691</v>
      </c>
      <c r="L74" s="1">
        <f t="shared" si="12"/>
        <v>459.60510804572817</v>
      </c>
      <c r="M74" s="1">
        <f t="shared" si="12"/>
        <v>418.57518181900207</v>
      </c>
      <c r="N74" s="1">
        <f t="shared" si="12"/>
        <v>396.86902518592564</v>
      </c>
      <c r="O74" s="1">
        <f t="shared" si="12"/>
        <v>393.35058794829109</v>
      </c>
      <c r="P74" s="1">
        <f t="shared" si="12"/>
        <v>371.61453318619033</v>
      </c>
      <c r="Q74" s="1">
        <f t="shared" si="12"/>
        <v>360.19163064641776</v>
      </c>
      <c r="R74" s="1">
        <f t="shared" si="12"/>
        <v>347.57516105941306</v>
      </c>
      <c r="S74" s="1">
        <f t="shared" si="12"/>
        <v>330.39463979031649</v>
      </c>
      <c r="T74" s="1">
        <f t="shared" si="12"/>
        <v>323.87774531485422</v>
      </c>
      <c r="U74" s="1">
        <f t="shared" si="12"/>
        <v>303.64953199720202</v>
      </c>
      <c r="V74" s="1">
        <f t="shared" si="12"/>
        <v>294.6922569908503</v>
      </c>
      <c r="W74" s="1">
        <f t="shared" si="12"/>
        <v>286.63070948513365</v>
      </c>
      <c r="X74" s="1">
        <f t="shared" si="12"/>
        <v>279.37531672998875</v>
      </c>
      <c r="Y74" s="1">
        <f t="shared" si="12"/>
        <v>272.84546325035831</v>
      </c>
      <c r="Z74" s="1">
        <f t="shared" si="12"/>
        <v>266.96859511869087</v>
      </c>
      <c r="AA74" s="1">
        <f t="shared" si="11"/>
        <v>261.67941380019022</v>
      </c>
      <c r="AB74" s="1">
        <f t="shared" si="11"/>
        <v>256.91915061353961</v>
      </c>
      <c r="AC74" s="1">
        <f t="shared" si="11"/>
        <v>254.0333931923395</v>
      </c>
      <c r="AD74" s="1">
        <f t="shared" si="11"/>
        <v>251.14763577113939</v>
      </c>
      <c r="AE74" s="1">
        <f t="shared" si="11"/>
        <v>248.26187834993928</v>
      </c>
      <c r="AF74" s="1">
        <f t="shared" si="11"/>
        <v>246.53042389721921</v>
      </c>
      <c r="AG74" s="1">
        <f t="shared" si="11"/>
        <v>244.79896944449916</v>
      </c>
      <c r="AH74" s="1">
        <f t="shared" si="11"/>
        <v>243.06751499177906</v>
      </c>
      <c r="AI74" s="1">
        <f t="shared" si="11"/>
        <v>241.33606053905902</v>
      </c>
      <c r="AJ74" s="1">
        <f t="shared" si="11"/>
        <v>239.60460608633895</v>
      </c>
      <c r="AK74" s="1">
        <f t="shared" si="11"/>
        <v>237.8731516336189</v>
      </c>
      <c r="AL74" s="1">
        <f t="shared" si="11"/>
        <v>236.14169718089883</v>
      </c>
      <c r="AM74" s="1">
        <f t="shared" si="11"/>
        <v>234.41024272817879</v>
      </c>
      <c r="AN74" s="1">
        <f t="shared" si="11"/>
        <v>232.67878827545869</v>
      </c>
      <c r="AO74" s="1">
        <f t="shared" si="11"/>
        <v>230.94733382273864</v>
      </c>
      <c r="AP74" s="1">
        <f t="shared" si="11"/>
        <v>229.21587937001857</v>
      </c>
      <c r="AQ74" s="1">
        <f t="shared" si="11"/>
        <v>227.48442491729853</v>
      </c>
      <c r="AR74" s="1">
        <f t="shared" si="11"/>
        <v>225.75297046457842</v>
      </c>
      <c r="AS74" s="1">
        <f t="shared" si="11"/>
        <v>224.02151601185838</v>
      </c>
      <c r="AT74" s="1">
        <f t="shared" si="11"/>
        <v>222.29006155913831</v>
      </c>
    </row>
    <row r="75" spans="1:46">
      <c r="A75" s="13" t="s">
        <v>494</v>
      </c>
      <c r="K75" s="1">
        <f t="shared" si="12"/>
        <v>230.3631187947301</v>
      </c>
      <c r="L75" s="1">
        <f t="shared" si="11"/>
        <v>244.59128505761711</v>
      </c>
      <c r="M75" s="1">
        <f t="shared" si="11"/>
        <v>243.75954516285091</v>
      </c>
      <c r="N75" s="1">
        <f t="shared" si="11"/>
        <v>244.86701732564211</v>
      </c>
      <c r="O75" s="1">
        <f t="shared" si="11"/>
        <v>245.19320908230739</v>
      </c>
      <c r="P75" s="1">
        <f t="shared" si="11"/>
        <v>238.42353267084042</v>
      </c>
      <c r="Q75" s="1">
        <f t="shared" si="11"/>
        <v>235.31876944942553</v>
      </c>
      <c r="R75" s="1">
        <f t="shared" si="11"/>
        <v>228.58267716535434</v>
      </c>
      <c r="S75" s="1">
        <f t="shared" si="11"/>
        <v>217.28391365527978</v>
      </c>
      <c r="T75" s="1">
        <f t="shared" si="11"/>
        <v>217.28391365527978</v>
      </c>
      <c r="U75" s="1">
        <f t="shared" si="11"/>
        <v>217.28391365527978</v>
      </c>
      <c r="V75" s="1">
        <f t="shared" si="11"/>
        <v>217.28391365527978</v>
      </c>
      <c r="W75" s="1">
        <f t="shared" si="11"/>
        <v>217.28391365527978</v>
      </c>
      <c r="X75" s="1">
        <f t="shared" si="11"/>
        <v>217.28391365527978</v>
      </c>
      <c r="Y75" s="1">
        <f t="shared" si="11"/>
        <v>217.28391365527978</v>
      </c>
      <c r="Z75" s="1">
        <f t="shared" si="11"/>
        <v>217.28391365527978</v>
      </c>
      <c r="AA75" s="1">
        <f t="shared" si="11"/>
        <v>217.28391365527978</v>
      </c>
      <c r="AB75" s="1">
        <f t="shared" si="11"/>
        <v>217.28391365527978</v>
      </c>
      <c r="AC75" s="1">
        <f t="shared" si="11"/>
        <v>217.28391365527978</v>
      </c>
      <c r="AD75" s="1">
        <f t="shared" si="11"/>
        <v>217.28391365527978</v>
      </c>
      <c r="AE75" s="1">
        <f t="shared" si="11"/>
        <v>217.28391365527978</v>
      </c>
      <c r="AF75" s="1">
        <f t="shared" si="11"/>
        <v>217.28391365527978</v>
      </c>
      <c r="AG75" s="1">
        <f t="shared" si="11"/>
        <v>217.28391365527978</v>
      </c>
      <c r="AH75" s="1">
        <f t="shared" si="11"/>
        <v>217.28391365527978</v>
      </c>
      <c r="AI75" s="1">
        <f t="shared" si="11"/>
        <v>217.28391365527978</v>
      </c>
      <c r="AJ75" s="1">
        <f t="shared" si="11"/>
        <v>217.28391365527978</v>
      </c>
      <c r="AK75" s="1">
        <f t="shared" si="11"/>
        <v>217.28391365527978</v>
      </c>
      <c r="AL75" s="1">
        <f t="shared" si="11"/>
        <v>217.28391365527978</v>
      </c>
      <c r="AM75" s="1">
        <f t="shared" si="11"/>
        <v>217.28391365527978</v>
      </c>
      <c r="AN75" s="1">
        <f t="shared" si="11"/>
        <v>217.28391365527978</v>
      </c>
      <c r="AO75" s="1">
        <f t="shared" si="11"/>
        <v>217.28391365527978</v>
      </c>
      <c r="AP75" s="1">
        <f t="shared" si="11"/>
        <v>217.28391365527978</v>
      </c>
      <c r="AQ75" s="1">
        <f t="shared" si="11"/>
        <v>217.28391365527978</v>
      </c>
      <c r="AR75" s="1">
        <f t="shared" si="11"/>
        <v>217.28391365527978</v>
      </c>
      <c r="AS75" s="1">
        <f t="shared" si="11"/>
        <v>217.28391365527978</v>
      </c>
      <c r="AT75" s="1">
        <f t="shared" si="11"/>
        <v>217.28391365527978</v>
      </c>
    </row>
    <row r="76" spans="1:46" ht="19.5" customHeight="1">
      <c r="A76" s="13" t="s">
        <v>56</v>
      </c>
      <c r="P76" s="4">
        <f>([1]BUSCAR!LH$428*[1]BUSCAR!LH$117+[1]BUSCAR!LH$414*[1]BUSCAR!LH$116+[1]BUSCAR!LH$359*[1]BUSCAR!LH$115)/SUM([1]BUSCAR!LH$114:LH$117)</f>
        <v>334.52722577635819</v>
      </c>
      <c r="Q76" s="4">
        <f>([1]BUSCAR!IM$428*[1]BUSCAR!IM$117+[1]BUSCAR!IM$414*[1]BUSCAR!IM$116+[1]BUSCAR!IM$359*[1]BUSCAR!IM$115)/SUM([1]BUSCAR!IM$114:IM$117)</f>
        <v>341.56408533309843</v>
      </c>
      <c r="R76" s="4">
        <f>([1]BUSCAR!IN$428*[1]BUSCAR!IN$117+[1]BUSCAR!IN$414*[1]BUSCAR!IN$116+[1]BUSCAR!IN$359*[1]BUSCAR!IN$115)/SUM([1]BUSCAR!IN$114:IN$117)</f>
        <v>348.06680934544403</v>
      </c>
      <c r="S76" s="4">
        <f>([1]BUSCAR!IO$428*[1]BUSCAR!IO$117+[1]BUSCAR!IO$414*[1]BUSCAR!IO$116+[1]BUSCAR!IO$359*[1]BUSCAR!IO$115)/SUM([1]BUSCAR!IO$114:IO$117)</f>
        <v>343.8407296887097</v>
      </c>
      <c r="T76" s="4">
        <f>([1]BUSCAR!IP$428*[1]BUSCAR!IP$117+[1]BUSCAR!IP$414*[1]BUSCAR!IP$116+[1]BUSCAR!IP$359*[1]BUSCAR!IP$115)/SUM([1]BUSCAR!IP$114:IP$117)</f>
        <v>331.20387174783764</v>
      </c>
      <c r="U76" s="4">
        <f>([1]BUSCAR!IQ$428*[1]BUSCAR!IQ$117+[1]BUSCAR!IQ$414*[1]BUSCAR!IQ$116+[1]BUSCAR!IQ$359*[1]BUSCAR!IQ$115)/SUM([1]BUSCAR!IQ$114:IQ$117)</f>
        <v>324.69916380631253</v>
      </c>
      <c r="V76" s="4">
        <f>([1]BUSCAR!IR$428*[1]BUSCAR!IR$117+[1]BUSCAR!IR$414*[1]BUSCAR!IR$116+[1]BUSCAR!IR$359*[1]BUSCAR!IR$115)/SUM([1]BUSCAR!IR$114:IR$117)</f>
        <v>316.16772326609492</v>
      </c>
      <c r="W76" s="4">
        <f>([1]BUSCAR!IS$428*[1]BUSCAR!IS$117+[1]BUSCAR!IS$414*[1]BUSCAR!IS$116+[1]BUSCAR!IS$359*[1]BUSCAR!IS$115)/SUM([1]BUSCAR!IS$114:IS$117)</f>
        <v>309.54969419456575</v>
      </c>
      <c r="X76" s="4">
        <f>([1]BUSCAR!IT$428*[1]BUSCAR!IT$117+[1]BUSCAR!IT$414*[1]BUSCAR!IT$116+[1]BUSCAR!IT$359*[1]BUSCAR!IT$115)/SUM([1]BUSCAR!IT$114:IT$117)</f>
        <v>304.28947477677173</v>
      </c>
      <c r="Y76" s="4">
        <f>([1]BUSCAR!IU$428*[1]BUSCAR!IU$117+[1]BUSCAR!IU$414*[1]BUSCAR!IU$116+[1]BUSCAR!IU$359*[1]BUSCAR!IU$115)/SUM([1]BUSCAR!IU$114:IU$117)</f>
        <v>300.0289973326033</v>
      </c>
      <c r="Z76" s="4">
        <f>([1]BUSCAR!IV$428*[1]BUSCAR!IV$117+[1]BUSCAR!IV$414*[1]BUSCAR!IV$116+[1]BUSCAR!IV$359*[1]BUSCAR!IV$115)/SUM([1]BUSCAR!IV$114:IV$117)</f>
        <v>296.5265090786832</v>
      </c>
      <c r="AA76" s="4">
        <f>([1]BUSCAR!IW$428*[1]BUSCAR!IW$117+[1]BUSCAR!IW$414*[1]BUSCAR!IW$116+[1]BUSCAR!IW$359*[1]BUSCAR!IW$115)/SUM([1]BUSCAR!IW$114:IW$117)</f>
        <v>294.33609811960844</v>
      </c>
      <c r="AB76" s="4">
        <f>([1]BUSCAR!IX$428*[1]BUSCAR!IX$117+[1]BUSCAR!IX$414*[1]BUSCAR!IX$116+[1]BUSCAR!IX$359*[1]BUSCAR!IX$115)/SUM([1]BUSCAR!IX$114:IX$117)</f>
        <v>292.3647282564412</v>
      </c>
      <c r="AC76" s="4">
        <f>([1]BUSCAR!IY$428*[1]BUSCAR!IY$117+[1]BUSCAR!IY$414*[1]BUSCAR!IY$116+[1]BUSCAR!IY$359*[1]BUSCAR!IY$115)/SUM([1]BUSCAR!IY$114:IY$117)</f>
        <v>291.16964828092244</v>
      </c>
      <c r="AD76" s="4">
        <f>([1]BUSCAR!IZ$428*[1]BUSCAR!IZ$117+[1]BUSCAR!IZ$414*[1]BUSCAR!IZ$116+[1]BUSCAR!IZ$359*[1]BUSCAR!IZ$115)/SUM([1]BUSCAR!IZ$114:IZ$117)</f>
        <v>289.97456830540369</v>
      </c>
      <c r="AE76" s="4">
        <f>([1]BUSCAR!JA$428*[1]BUSCAR!JA$117+[1]BUSCAR!JA$414*[1]BUSCAR!JA$116+[1]BUSCAR!JA$359*[1]BUSCAR!JA$115)/SUM([1]BUSCAR!JA$114:JA$117)</f>
        <v>288.779488329885</v>
      </c>
      <c r="AF76" s="4">
        <f>([1]BUSCAR!JB$428*[1]BUSCAR!JB$117+[1]BUSCAR!JB$414*[1]BUSCAR!JB$116+[1]BUSCAR!JB$359*[1]BUSCAR!JB$115)/SUM([1]BUSCAR!JB$114:JB$117)</f>
        <v>288.0624403445737</v>
      </c>
      <c r="AG76" s="4">
        <f>([1]BUSCAR!JC$428*[1]BUSCAR!JC$117+[1]BUSCAR!JC$414*[1]BUSCAR!JC$116+[1]BUSCAR!JC$359*[1]BUSCAR!JC$115)/SUM([1]BUSCAR!JC$114:JC$117)</f>
        <v>287.34539235926252</v>
      </c>
      <c r="AH76" s="4">
        <f>([1]BUSCAR!JD$428*[1]BUSCAR!JD$117+[1]BUSCAR!JD$414*[1]BUSCAR!JD$116+[1]BUSCAR!JD$359*[1]BUSCAR!JD$115)/SUM([1]BUSCAR!JD$114:JD$117)</f>
        <v>286.62834437395122</v>
      </c>
      <c r="AI76" s="4">
        <f>([1]BUSCAR!JE$428*[1]BUSCAR!JE$117+[1]BUSCAR!JE$414*[1]BUSCAR!JE$116+[1]BUSCAR!JE$359*[1]BUSCAR!JE$115)/SUM([1]BUSCAR!JE$114:JE$117)</f>
        <v>285.91129638863998</v>
      </c>
      <c r="AJ76" s="4">
        <f>([1]BUSCAR!JF$428*[1]BUSCAR!JF$117+[1]BUSCAR!JF$414*[1]BUSCAR!JF$116+[1]BUSCAR!JF$359*[1]BUSCAR!JF$115)/SUM([1]BUSCAR!JF$114:JF$117)</f>
        <v>285.19424840332874</v>
      </c>
      <c r="AK76" s="4">
        <f>([1]BUSCAR!JG$428*[1]BUSCAR!JG$117+[1]BUSCAR!JG$414*[1]BUSCAR!JG$116+[1]BUSCAR!JG$359*[1]BUSCAR!JG$115)/SUM([1]BUSCAR!JG$114:JG$117)</f>
        <v>284.4772004180175</v>
      </c>
      <c r="AL76" s="4">
        <f>([1]BUSCAR!JH$428*[1]BUSCAR!JH$117+[1]BUSCAR!JH$414*[1]BUSCAR!JH$116+[1]BUSCAR!JH$359*[1]BUSCAR!JH$115)/SUM([1]BUSCAR!JH$114:JH$117)</f>
        <v>283.76015243270626</v>
      </c>
      <c r="AM76" s="4">
        <f>([1]BUSCAR!JI$428*[1]BUSCAR!JI$117+[1]BUSCAR!JI$414*[1]BUSCAR!JI$116+[1]BUSCAR!JI$359*[1]BUSCAR!JI$115)/SUM([1]BUSCAR!JI$114:JI$117)</f>
        <v>283.04310444739502</v>
      </c>
      <c r="AN76" s="4">
        <f>([1]BUSCAR!JJ$428*[1]BUSCAR!JJ$117+[1]BUSCAR!JJ$414*[1]BUSCAR!JJ$116+[1]BUSCAR!JJ$359*[1]BUSCAR!JJ$115)/SUM([1]BUSCAR!JJ$114:JJ$117)</f>
        <v>282.32605646208378</v>
      </c>
      <c r="AO76" s="4">
        <f>([1]BUSCAR!JK$428*[1]BUSCAR!JK$117+[1]BUSCAR!JK$414*[1]BUSCAR!JK$116+[1]BUSCAR!JK$359*[1]BUSCAR!JK$115)/SUM([1]BUSCAR!JK$114:JK$117)</f>
        <v>281.60900847677254</v>
      </c>
      <c r="AP76" s="4">
        <f>([1]BUSCAR!JL$428*[1]BUSCAR!JL$117+[1]BUSCAR!JL$414*[1]BUSCAR!JL$116+[1]BUSCAR!JL$359*[1]BUSCAR!JL$115)/SUM([1]BUSCAR!JL$114:JL$117)</f>
        <v>280.89196049146125</v>
      </c>
      <c r="AQ76" s="4">
        <f>([1]BUSCAR!JM$428*[1]BUSCAR!JM$117+[1]BUSCAR!JM$414*[1]BUSCAR!JM$116+[1]BUSCAR!JM$359*[1]BUSCAR!JM$115)/SUM([1]BUSCAR!JM$114:JM$117)</f>
        <v>280.17491250615006</v>
      </c>
      <c r="AR76" s="4">
        <f>([1]BUSCAR!JN$428*[1]BUSCAR!JN$117+[1]BUSCAR!JN$414*[1]BUSCAR!JN$116+[1]BUSCAR!JN$359*[1]BUSCAR!JN$115)/SUM([1]BUSCAR!JN$114:JN$117)</f>
        <v>279.45786452083877</v>
      </c>
      <c r="AS76" s="4">
        <f>([1]BUSCAR!JO$428*[1]BUSCAR!JO$117+[1]BUSCAR!JO$414*[1]BUSCAR!JO$116+[1]BUSCAR!JO$359*[1]BUSCAR!JO$115)/SUM([1]BUSCAR!JO$114:JO$117)</f>
        <v>278.74081653552759</v>
      </c>
      <c r="AT76" s="4">
        <f>([1]BUSCAR!JP$428*[1]BUSCAR!JP$117+[1]BUSCAR!JP$414*[1]BUSCAR!JP$116+[1]BUSCAR!JP$359*[1]BUSCAR!JP$115)/SUM([1]BUSCAR!JP$114:JP$117)</f>
        <v>278.02376855021629</v>
      </c>
    </row>
    <row r="77" spans="1:46" ht="19.5" customHeight="1">
      <c r="A77" s="13" t="s">
        <v>59</v>
      </c>
      <c r="P77" s="15">
        <f>[1]BUSCAR!LH$113/[1]BUSCAR!LH$118</f>
        <v>0.82</v>
      </c>
      <c r="Q77" s="15">
        <f>[1]BUSCAR!IM$113/[1]BUSCAR!IM$118</f>
        <v>0.80046394633873674</v>
      </c>
      <c r="R77" s="15">
        <f>[1]BUSCAR!IN$113/[1]BUSCAR!IN$118</f>
        <v>0.78174404816199938</v>
      </c>
      <c r="S77" s="15">
        <f>[1]BUSCAR!IO$113/[1]BUSCAR!IO$118</f>
        <v>0.76379020729092206</v>
      </c>
      <c r="T77" s="15">
        <f>[1]BUSCAR!IP$113/[1]BUSCAR!IP$118</f>
        <v>0.74655634357762013</v>
      </c>
      <c r="U77" s="15">
        <f>[1]BUSCAR!IQ$113/[1]BUSCAR!IQ$118</f>
        <v>0.73</v>
      </c>
      <c r="V77" s="15">
        <f>[1]BUSCAR!IR$113/[1]BUSCAR!IR$118</f>
        <v>0.69199999999999995</v>
      </c>
      <c r="W77" s="15">
        <f>[1]BUSCAR!IS$113/[1]BUSCAR!IS$118</f>
        <v>0.65400000000000003</v>
      </c>
      <c r="X77" s="15">
        <f>[1]BUSCAR!IT$113/[1]BUSCAR!IT$118</f>
        <v>0.61599999999999999</v>
      </c>
      <c r="Y77" s="15">
        <f>[1]BUSCAR!IU$113/[1]BUSCAR!IU$118</f>
        <v>0.57800000000000007</v>
      </c>
      <c r="Z77" s="15">
        <f>[1]BUSCAR!IV$113/[1]BUSCAR!IV$118</f>
        <v>0.54</v>
      </c>
      <c r="AA77" s="15">
        <f>[1]BUSCAR!IW$113/[1]BUSCAR!IW$118</f>
        <v>0.54</v>
      </c>
      <c r="AB77" s="15">
        <f>[1]BUSCAR!IX$113/[1]BUSCAR!IX$118</f>
        <v>0.54</v>
      </c>
      <c r="AC77" s="15">
        <f>[1]BUSCAR!IY$113/[1]BUSCAR!IY$118</f>
        <v>0.54</v>
      </c>
      <c r="AD77" s="15">
        <f>[1]BUSCAR!IZ$113/[1]BUSCAR!IZ$118</f>
        <v>0.54</v>
      </c>
      <c r="AE77" s="15">
        <f>[1]BUSCAR!JA$113/[1]BUSCAR!JA$118</f>
        <v>0.54</v>
      </c>
      <c r="AF77" s="15">
        <f>[1]BUSCAR!JB$113/[1]BUSCAR!JB$118</f>
        <v>0.54</v>
      </c>
      <c r="AG77" s="15">
        <f>[1]BUSCAR!JC$113/[1]BUSCAR!JC$118</f>
        <v>0.54</v>
      </c>
      <c r="AH77" s="15">
        <f>[1]BUSCAR!JD$113/[1]BUSCAR!JD$118</f>
        <v>0.54</v>
      </c>
      <c r="AI77" s="15">
        <f>[1]BUSCAR!JE$113/[1]BUSCAR!JE$118</f>
        <v>0.54</v>
      </c>
      <c r="AJ77" s="15">
        <f>[1]BUSCAR!JF$113/[1]BUSCAR!JF$118</f>
        <v>0.54</v>
      </c>
      <c r="AK77" s="15">
        <f>[1]BUSCAR!JG$113/[1]BUSCAR!JG$118</f>
        <v>0.54</v>
      </c>
      <c r="AL77" s="15">
        <f>[1]BUSCAR!JH$113/[1]BUSCAR!JH$118</f>
        <v>0.54</v>
      </c>
      <c r="AM77" s="15">
        <f>[1]BUSCAR!JI$113/[1]BUSCAR!JI$118</f>
        <v>0.54</v>
      </c>
      <c r="AN77" s="15">
        <f>[1]BUSCAR!JJ$113/[1]BUSCAR!JJ$118</f>
        <v>0.54</v>
      </c>
      <c r="AO77" s="15">
        <f>[1]BUSCAR!JK$113/[1]BUSCAR!JK$118</f>
        <v>0.54</v>
      </c>
      <c r="AP77" s="15">
        <f>[1]BUSCAR!JL$113/[1]BUSCAR!JL$118</f>
        <v>0.54</v>
      </c>
      <c r="AQ77" s="15">
        <f>[1]BUSCAR!JM$113/[1]BUSCAR!JM$118</f>
        <v>0.54</v>
      </c>
      <c r="AR77" s="15">
        <f>[1]BUSCAR!JN$113/[1]BUSCAR!JN$118</f>
        <v>0.54</v>
      </c>
      <c r="AS77" s="15">
        <f>[1]BUSCAR!JO$113/[1]BUSCAR!JO$118</f>
        <v>0.54</v>
      </c>
      <c r="AT77" s="15">
        <f>[1]BUSCAR!JP$113/[1]BUSCAR!JP$118</f>
        <v>0.54</v>
      </c>
    </row>
    <row r="78" spans="1:46" ht="19.5" customHeight="1">
      <c r="A78" s="13" t="s">
        <v>60</v>
      </c>
      <c r="P78" s="4">
        <f t="shared" ref="P78:AT78" si="13">1-P77</f>
        <v>0.18000000000000005</v>
      </c>
      <c r="Q78" s="4">
        <f t="shared" si="13"/>
        <v>0.19953605366126326</v>
      </c>
      <c r="R78" s="4">
        <f t="shared" si="13"/>
        <v>0.21825595183800062</v>
      </c>
      <c r="S78" s="4">
        <f t="shared" si="13"/>
        <v>0.23620979270907794</v>
      </c>
      <c r="T78" s="4">
        <f t="shared" si="13"/>
        <v>0.25344365642237987</v>
      </c>
      <c r="U78" s="4">
        <f t="shared" si="13"/>
        <v>0.27</v>
      </c>
      <c r="V78" s="4">
        <f t="shared" si="13"/>
        <v>0.30800000000000005</v>
      </c>
      <c r="W78" s="4">
        <f t="shared" si="13"/>
        <v>0.34599999999999997</v>
      </c>
      <c r="X78" s="4">
        <f t="shared" si="13"/>
        <v>0.38400000000000001</v>
      </c>
      <c r="Y78" s="4">
        <f t="shared" si="13"/>
        <v>0.42199999999999993</v>
      </c>
      <c r="Z78" s="4">
        <f t="shared" si="13"/>
        <v>0.45999999999999996</v>
      </c>
      <c r="AA78" s="4">
        <f t="shared" si="13"/>
        <v>0.45999999999999996</v>
      </c>
      <c r="AB78" s="4">
        <f t="shared" si="13"/>
        <v>0.45999999999999996</v>
      </c>
      <c r="AC78" s="4">
        <f t="shared" si="13"/>
        <v>0.45999999999999996</v>
      </c>
      <c r="AD78" s="4">
        <f t="shared" si="13"/>
        <v>0.45999999999999996</v>
      </c>
      <c r="AE78" s="4">
        <f t="shared" si="13"/>
        <v>0.45999999999999996</v>
      </c>
      <c r="AF78" s="4">
        <f t="shared" si="13"/>
        <v>0.45999999999999996</v>
      </c>
      <c r="AG78" s="4">
        <f t="shared" si="13"/>
        <v>0.45999999999999996</v>
      </c>
      <c r="AH78" s="4">
        <f t="shared" si="13"/>
        <v>0.45999999999999996</v>
      </c>
      <c r="AI78" s="4">
        <f t="shared" si="13"/>
        <v>0.45999999999999996</v>
      </c>
      <c r="AJ78" s="4">
        <f t="shared" si="13"/>
        <v>0.45999999999999996</v>
      </c>
      <c r="AK78" s="4">
        <f t="shared" si="13"/>
        <v>0.45999999999999996</v>
      </c>
      <c r="AL78" s="4">
        <f t="shared" si="13"/>
        <v>0.45999999999999996</v>
      </c>
      <c r="AM78" s="4">
        <f t="shared" si="13"/>
        <v>0.45999999999999996</v>
      </c>
      <c r="AN78" s="4">
        <f t="shared" si="13"/>
        <v>0.45999999999999996</v>
      </c>
      <c r="AO78" s="4">
        <f t="shared" si="13"/>
        <v>0.45999999999999996</v>
      </c>
      <c r="AP78" s="4">
        <f t="shared" si="13"/>
        <v>0.45999999999999996</v>
      </c>
      <c r="AQ78" s="4">
        <f t="shared" si="13"/>
        <v>0.45999999999999996</v>
      </c>
      <c r="AR78" s="4">
        <f t="shared" si="13"/>
        <v>0.45999999999999996</v>
      </c>
      <c r="AS78" s="4">
        <f t="shared" si="13"/>
        <v>0.45999999999999996</v>
      </c>
      <c r="AT78" s="4">
        <f t="shared" si="13"/>
        <v>0.45999999999999996</v>
      </c>
    </row>
    <row r="79" spans="1:46" ht="19.5" customHeight="1">
      <c r="A79" s="13" t="s">
        <v>63</v>
      </c>
      <c r="P79" s="4">
        <f t="shared" ref="P79:AT79" si="14">P86-P70</f>
        <v>69.672769522970725</v>
      </c>
      <c r="Q79" s="4">
        <f t="shared" si="14"/>
        <v>89.459329170955868</v>
      </c>
      <c r="R79" s="4">
        <f t="shared" si="14"/>
        <v>109.92410934739002</v>
      </c>
      <c r="S79" s="4">
        <f t="shared" si="14"/>
        <v>121.01743127558763</v>
      </c>
      <c r="T79" s="4">
        <f t="shared" si="14"/>
        <v>105.17902015508128</v>
      </c>
      <c r="U79" s="4">
        <f t="shared" si="14"/>
        <v>96.781204037111138</v>
      </c>
      <c r="V79" s="4">
        <f t="shared" si="14"/>
        <v>88.858773972419954</v>
      </c>
      <c r="W79" s="4">
        <f t="shared" si="14"/>
        <v>82.668042610250438</v>
      </c>
      <c r="X79" s="4">
        <f t="shared" si="14"/>
        <v>77.648819074521327</v>
      </c>
      <c r="Y79" s="4">
        <f t="shared" si="14"/>
        <v>73.478165753224744</v>
      </c>
      <c r="Z79" s="4">
        <f t="shared" si="14"/>
        <v>69.953167779843454</v>
      </c>
      <c r="AA79" s="4">
        <f t="shared" si="14"/>
        <v>69.432719817441637</v>
      </c>
      <c r="AB79" s="4">
        <f t="shared" si="14"/>
        <v>68.606421298419491</v>
      </c>
      <c r="AC79" s="4">
        <f t="shared" si="14"/>
        <v>68.510238416099526</v>
      </c>
      <c r="AD79" s="4">
        <f t="shared" si="14"/>
        <v>68.080036559348741</v>
      </c>
      <c r="AE79" s="4">
        <f t="shared" si="14"/>
        <v>67.360613567090525</v>
      </c>
      <c r="AF79" s="4">
        <f t="shared" si="14"/>
        <v>66.938950691567925</v>
      </c>
      <c r="AG79" s="4">
        <f t="shared" si="14"/>
        <v>66.388016848177926</v>
      </c>
      <c r="AH79" s="4">
        <f t="shared" si="14"/>
        <v>65.71943811968373</v>
      </c>
      <c r="AI79" s="4">
        <f t="shared" si="14"/>
        <v>64.943487032435542</v>
      </c>
      <c r="AJ79" s="4">
        <f t="shared" si="14"/>
        <v>64.069273968388188</v>
      </c>
      <c r="AK79" s="4">
        <f t="shared" si="14"/>
        <v>63.350459881251084</v>
      </c>
      <c r="AL79" s="4">
        <f t="shared" si="14"/>
        <v>62.625689524223276</v>
      </c>
      <c r="AM79" s="4">
        <f t="shared" si="14"/>
        <v>61.894998778448837</v>
      </c>
      <c r="AN79" s="4">
        <f t="shared" si="14"/>
        <v>61.158423237447153</v>
      </c>
      <c r="AO79" s="4">
        <f t="shared" si="14"/>
        <v>60.415998209989652</v>
      </c>
      <c r="AP79" s="4">
        <f t="shared" si="14"/>
        <v>59.804109049562214</v>
      </c>
      <c r="AQ79" s="4">
        <f t="shared" si="14"/>
        <v>59.157036734655435</v>
      </c>
      <c r="AR79" s="4">
        <f t="shared" si="14"/>
        <v>58.474781265269371</v>
      </c>
      <c r="AS79" s="4">
        <f t="shared" si="14"/>
        <v>57.75734264140408</v>
      </c>
      <c r="AT79" s="4">
        <f t="shared" si="14"/>
        <v>57.004720863059504</v>
      </c>
    </row>
    <row r="80" spans="1:46" ht="31.5" customHeight="1">
      <c r="A80" s="13" t="s">
        <v>49</v>
      </c>
      <c r="P80" s="18">
        <f>[1]BUSCAR!LH$118</f>
        <v>6303</v>
      </c>
      <c r="Q80" s="18">
        <f>[1]BUSCAR!LI$118</f>
        <v>6440.4</v>
      </c>
      <c r="R80" s="18">
        <f>[1]BUSCAR!LJ$118</f>
        <v>6577.8</v>
      </c>
      <c r="S80" s="18">
        <f>[1]BUSCAR!LK$118</f>
        <v>6715.2</v>
      </c>
      <c r="T80" s="18">
        <f>[1]BUSCAR!LL$118</f>
        <v>6852.6</v>
      </c>
      <c r="U80" s="18">
        <f>[1]BUSCAR!LM$118</f>
        <v>6990</v>
      </c>
      <c r="V80" s="18">
        <f>[1]BUSCAR!LN$118</f>
        <v>6990</v>
      </c>
      <c r="W80" s="18">
        <f>[1]BUSCAR!LO$118</f>
        <v>6990</v>
      </c>
      <c r="X80" s="18">
        <f>[1]BUSCAR!LP$118</f>
        <v>6990</v>
      </c>
      <c r="Y80" s="18">
        <f>[1]BUSCAR!LQ$118</f>
        <v>6990</v>
      </c>
      <c r="Z80" s="18">
        <f>[1]BUSCAR!LR$118</f>
        <v>6990</v>
      </c>
      <c r="AA80" s="18">
        <f>[1]BUSCAR!LS$118</f>
        <v>6990</v>
      </c>
      <c r="AB80" s="18">
        <f>[1]BUSCAR!LT$118</f>
        <v>6990</v>
      </c>
      <c r="AC80" s="18">
        <f>[1]BUSCAR!LU$118</f>
        <v>6990</v>
      </c>
      <c r="AD80" s="18">
        <f>[1]BUSCAR!LV$118</f>
        <v>6990</v>
      </c>
      <c r="AE80" s="18">
        <f>[1]BUSCAR!LW$118</f>
        <v>6990</v>
      </c>
      <c r="AF80" s="18">
        <f>[1]BUSCAR!LX$118</f>
        <v>6990</v>
      </c>
      <c r="AG80" s="18">
        <f>[1]BUSCAR!LY$118</f>
        <v>6990</v>
      </c>
      <c r="AH80" s="18">
        <f>[1]BUSCAR!LZ$118</f>
        <v>6990</v>
      </c>
      <c r="AI80" s="18">
        <f>[1]BUSCAR!MA$118</f>
        <v>6990</v>
      </c>
      <c r="AJ80" s="18">
        <f>[1]BUSCAR!MB$118</f>
        <v>6990</v>
      </c>
      <c r="AK80" s="18">
        <f>[1]BUSCAR!MC$118</f>
        <v>6990</v>
      </c>
      <c r="AL80" s="18">
        <f>[1]BUSCAR!MD$118</f>
        <v>6990</v>
      </c>
      <c r="AM80" s="18">
        <f>[1]BUSCAR!ME$118</f>
        <v>6990</v>
      </c>
      <c r="AN80" s="18">
        <f>[1]BUSCAR!MF$118</f>
        <v>6990</v>
      </c>
      <c r="AO80" s="18">
        <f>[1]BUSCAR!MG$118</f>
        <v>6990</v>
      </c>
      <c r="AP80" s="18">
        <f>[1]BUSCAR!MH$118</f>
        <v>6990</v>
      </c>
      <c r="AQ80" s="18">
        <f>[1]BUSCAR!MI$118</f>
        <v>6990</v>
      </c>
      <c r="AR80" s="18">
        <f>[1]BUSCAR!MJ$118</f>
        <v>6990</v>
      </c>
      <c r="AS80" s="18">
        <f>[1]BUSCAR!MK$118</f>
        <v>6990</v>
      </c>
      <c r="AT80" s="18">
        <f>[1]BUSCAR!ML$118</f>
        <v>6990</v>
      </c>
    </row>
    <row r="81" spans="1:46" ht="31.5" customHeight="1">
      <c r="A81" s="13" t="s">
        <v>50</v>
      </c>
      <c r="P81" s="18">
        <f>[1]BUSCAR!LH$113</f>
        <v>5168.46</v>
      </c>
      <c r="Q81" s="18">
        <f>[1]BUSCAR!LI$113</f>
        <v>5071.4279999999999</v>
      </c>
      <c r="R81" s="18">
        <f>[1]BUSCAR!LJ$113</f>
        <v>4974.3959999999997</v>
      </c>
      <c r="S81" s="18">
        <f>[1]BUSCAR!LK$113</f>
        <v>4877.3640000000005</v>
      </c>
      <c r="T81" s="18">
        <f>[1]BUSCAR!LL$113</f>
        <v>4780.3320000000003</v>
      </c>
      <c r="U81" s="18">
        <f>[1]BUSCAR!LM$113</f>
        <v>4683.3</v>
      </c>
      <c r="V81" s="18">
        <f>[1]BUSCAR!LN$113</f>
        <v>4221.96</v>
      </c>
      <c r="W81" s="18">
        <f>[1]BUSCAR!LO$113</f>
        <v>3760.6200000000003</v>
      </c>
      <c r="X81" s="18">
        <f>[1]BUSCAR!LP$113</f>
        <v>3299.28</v>
      </c>
      <c r="Y81" s="18">
        <f>[1]BUSCAR!LQ$113</f>
        <v>2837.9400000000005</v>
      </c>
      <c r="Z81" s="18">
        <f>[1]BUSCAR!LR$113</f>
        <v>2376.6000000000004</v>
      </c>
      <c r="AA81" s="18">
        <f>[1]BUSCAR!LS$113</f>
        <v>2124.9600000000005</v>
      </c>
      <c r="AB81" s="18">
        <f>[1]BUSCAR!LT$113</f>
        <v>1873.3200000000002</v>
      </c>
      <c r="AC81" s="18">
        <f>[1]BUSCAR!LU$113</f>
        <v>1621.6800000000003</v>
      </c>
      <c r="AD81" s="18">
        <f>[1]BUSCAR!LV$113</f>
        <v>1370.0400000000002</v>
      </c>
      <c r="AE81" s="18">
        <f>[1]BUSCAR!LW$113</f>
        <v>1118.4000000000001</v>
      </c>
      <c r="AF81" s="18">
        <f>[1]BUSCAR!LX$113</f>
        <v>908.7</v>
      </c>
      <c r="AG81" s="18">
        <f>[1]BUSCAR!LY$113</f>
        <v>699.00000000000011</v>
      </c>
      <c r="AH81" s="18">
        <f>[1]BUSCAR!LZ$113</f>
        <v>489.30000000000007</v>
      </c>
      <c r="AI81" s="18">
        <f>[1]BUSCAR!MA$113</f>
        <v>279.60000000000014</v>
      </c>
      <c r="AJ81" s="18">
        <f>[1]BUSCAR!MB$113</f>
        <v>69.900000000000006</v>
      </c>
      <c r="AK81" s="18">
        <f>[1]BUSCAR!MC$113</f>
        <v>55.92</v>
      </c>
      <c r="AL81" s="18">
        <f>[1]BUSCAR!MD$113</f>
        <v>41.940000000000005</v>
      </c>
      <c r="AM81" s="18">
        <f>[1]BUSCAR!ME$113</f>
        <v>27.96</v>
      </c>
      <c r="AN81" s="18">
        <f>[1]BUSCAR!MF$113</f>
        <v>13.980000000000004</v>
      </c>
      <c r="AO81" s="18">
        <f>[1]BUSCAR!MG$113</f>
        <v>0</v>
      </c>
      <c r="AP81" s="18">
        <f>[1]BUSCAR!MH$113</f>
        <v>0</v>
      </c>
      <c r="AQ81" s="18">
        <f>[1]BUSCAR!MI$113</f>
        <v>0</v>
      </c>
      <c r="AR81" s="18">
        <f>[1]BUSCAR!MJ$113</f>
        <v>0</v>
      </c>
      <c r="AS81" s="18">
        <f>[1]BUSCAR!MK$113</f>
        <v>0</v>
      </c>
      <c r="AT81" s="18">
        <f>[1]BUSCAR!ML$113</f>
        <v>0</v>
      </c>
    </row>
    <row r="82" spans="1:46" ht="31.5" customHeight="1">
      <c r="A82" s="13" t="s">
        <v>51</v>
      </c>
      <c r="P82" s="14">
        <f>SUM([1]BUSCAR!LH$120)</f>
        <v>1134.54</v>
      </c>
      <c r="Q82" s="14">
        <f>SUM([1]BUSCAR!LI$120)</f>
        <v>1368.972</v>
      </c>
      <c r="R82" s="14">
        <f>SUM([1]BUSCAR!LJ$120)</f>
        <v>1603.404</v>
      </c>
      <c r="S82" s="14">
        <f>SUM([1]BUSCAR!LK$120)</f>
        <v>1837.8360000000002</v>
      </c>
      <c r="T82" s="14">
        <f>SUM([1]BUSCAR!LL$120)</f>
        <v>2072.268</v>
      </c>
      <c r="U82" s="14">
        <f>SUM([1]BUSCAR!LM$120)</f>
        <v>2306.6999999999998</v>
      </c>
      <c r="V82" s="14">
        <f>SUM([1]BUSCAR!LN$120)</f>
        <v>2768.04</v>
      </c>
      <c r="W82" s="14">
        <f>SUM([1]BUSCAR!LO$120)</f>
        <v>3229.38</v>
      </c>
      <c r="X82" s="14">
        <f>SUM([1]BUSCAR!LP$120)</f>
        <v>3690.7200000000003</v>
      </c>
      <c r="Y82" s="14">
        <f>SUM([1]BUSCAR!LQ$120)</f>
        <v>4152.0599999999995</v>
      </c>
      <c r="Z82" s="14">
        <f>SUM([1]BUSCAR!LR$120)</f>
        <v>4613.3999999999996</v>
      </c>
      <c r="AA82" s="14">
        <f>SUM([1]BUSCAR!LS$120)</f>
        <v>4879.0200000000004</v>
      </c>
      <c r="AB82" s="14">
        <f>SUM([1]BUSCAR!LT$120)</f>
        <v>5144.6400000000003</v>
      </c>
      <c r="AC82" s="14">
        <f>SUM([1]BUSCAR!LU$120)</f>
        <v>5410.26</v>
      </c>
      <c r="AD82" s="14">
        <f>SUM([1]BUSCAR!LV$120)</f>
        <v>5675.88</v>
      </c>
      <c r="AE82" s="14">
        <f>SUM([1]BUSCAR!LW$120)</f>
        <v>5941.5</v>
      </c>
      <c r="AF82" s="14">
        <f>SUM([1]BUSCAR!LX$120)</f>
        <v>6137.22</v>
      </c>
      <c r="AG82" s="14">
        <f>SUM([1]BUSCAR!LY$120)</f>
        <v>6332.9400000000005</v>
      </c>
      <c r="AH82" s="14">
        <f>SUM([1]BUSCAR!LZ$120)</f>
        <v>6528.6600000000008</v>
      </c>
      <c r="AI82" s="14">
        <f>SUM([1]BUSCAR!MA$120)</f>
        <v>6724.380000000001</v>
      </c>
      <c r="AJ82" s="14">
        <f>SUM([1]BUSCAR!MB$120)</f>
        <v>6920.1</v>
      </c>
      <c r="AK82" s="14">
        <f>SUM([1]BUSCAR!MC$120)</f>
        <v>6934.08</v>
      </c>
      <c r="AL82" s="14">
        <f>SUM([1]BUSCAR!MD$120)</f>
        <v>6948.06</v>
      </c>
      <c r="AM82" s="14">
        <f>SUM([1]BUSCAR!ME$120)</f>
        <v>6962.04</v>
      </c>
      <c r="AN82" s="14">
        <f>SUM([1]BUSCAR!MF$120)</f>
        <v>6976.02</v>
      </c>
      <c r="AO82" s="14">
        <f>SUM([1]BUSCAR!MG$120)</f>
        <v>6990</v>
      </c>
      <c r="AP82" s="14">
        <f>SUM([1]BUSCAR!MH$120)</f>
        <v>6990</v>
      </c>
      <c r="AQ82" s="14">
        <f>SUM([1]BUSCAR!MI$120)</f>
        <v>6990</v>
      </c>
      <c r="AR82" s="14">
        <f>SUM([1]BUSCAR!MJ$120)</f>
        <v>6990</v>
      </c>
      <c r="AS82" s="14">
        <f>SUM([1]BUSCAR!MK$120)</f>
        <v>6990</v>
      </c>
      <c r="AT82" s="14">
        <f>SUM([1]BUSCAR!ML$120)</f>
        <v>6990</v>
      </c>
    </row>
    <row r="83" spans="1:46">
      <c r="A83" s="13" t="s">
        <v>249</v>
      </c>
      <c r="P83" s="14">
        <f>[1]BUSCAR!LH$302</f>
        <v>264.85445625338747</v>
      </c>
      <c r="Q83" s="14">
        <f>[1]BUSCAR!LI$302</f>
        <v>260.02895995842573</v>
      </c>
      <c r="R83" s="14">
        <f>[1]BUSCAR!LJ$302</f>
        <v>251.42503920543646</v>
      </c>
      <c r="S83" s="14">
        <f>[1]BUSCAR!LK$302</f>
        <v>238.99718555649855</v>
      </c>
      <c r="T83" s="14">
        <f>[1]BUSCAR!LL$302</f>
        <v>238.99718555649855</v>
      </c>
      <c r="U83" s="14">
        <f>[1]BUSCAR!LM$302</f>
        <v>238.99718555649855</v>
      </c>
      <c r="V83" s="14">
        <f>[1]BUSCAR!LN$302</f>
        <v>238.99718555649855</v>
      </c>
      <c r="W83" s="14">
        <f>[1]BUSCAR!LO$302</f>
        <v>238.99718555649855</v>
      </c>
      <c r="X83" s="14">
        <f>[1]BUSCAR!LP$302</f>
        <v>238.99718555649855</v>
      </c>
      <c r="Y83" s="14">
        <f>[1]BUSCAR!LQ$302</f>
        <v>238.99718555649855</v>
      </c>
      <c r="Z83" s="14">
        <f>[1]BUSCAR!LR$302</f>
        <v>238.99718555649855</v>
      </c>
      <c r="AA83" s="14">
        <f>[1]BUSCAR!LS$302</f>
        <v>238.99718555649855</v>
      </c>
      <c r="AB83" s="14">
        <f>[1]BUSCAR!LT$302</f>
        <v>238.99718555649855</v>
      </c>
      <c r="AC83" s="14">
        <f>[1]BUSCAR!LU$302</f>
        <v>238.99718555649855</v>
      </c>
      <c r="AD83" s="14">
        <f>[1]BUSCAR!LV$302</f>
        <v>238.99718555649855</v>
      </c>
      <c r="AE83" s="14">
        <f>[1]BUSCAR!LW$302</f>
        <v>238.99718555649855</v>
      </c>
      <c r="AF83" s="14">
        <f>[1]BUSCAR!LX$302</f>
        <v>238.99718555649855</v>
      </c>
      <c r="AG83" s="14">
        <f>[1]BUSCAR!LY$302</f>
        <v>238.99718555649855</v>
      </c>
      <c r="AH83" s="14">
        <f>[1]BUSCAR!LZ$302</f>
        <v>238.99718555649855</v>
      </c>
      <c r="AI83" s="14">
        <f>[1]BUSCAR!MA$302</f>
        <v>238.99718555649855</v>
      </c>
      <c r="AJ83" s="14">
        <f>[1]BUSCAR!MB$302</f>
        <v>238.99718555649855</v>
      </c>
      <c r="AK83" s="14">
        <f>[1]BUSCAR!MC$302</f>
        <v>238.99718555649855</v>
      </c>
      <c r="AL83" s="14">
        <f>[1]BUSCAR!MD$302</f>
        <v>238.99718555649855</v>
      </c>
      <c r="AM83" s="14">
        <f>[1]BUSCAR!ME$302</f>
        <v>238.99718555649855</v>
      </c>
      <c r="AN83" s="14">
        <f>[1]BUSCAR!MF$302</f>
        <v>238.99718555649855</v>
      </c>
      <c r="AO83" s="14">
        <f>[1]BUSCAR!MG$302</f>
        <v>238.99718555649855</v>
      </c>
      <c r="AP83" s="14">
        <f>[1]BUSCAR!MH$302</f>
        <v>238.99718555649855</v>
      </c>
      <c r="AQ83" s="14">
        <f>[1]BUSCAR!MI$302</f>
        <v>238.99718555649855</v>
      </c>
      <c r="AR83" s="14">
        <f>[1]BUSCAR!MJ$302</f>
        <v>238.99718555649855</v>
      </c>
      <c r="AS83" s="14">
        <f>[1]BUSCAR!MK$302</f>
        <v>238.99718555649855</v>
      </c>
      <c r="AT83" s="14">
        <f>[1]BUSCAR!ML$302</f>
        <v>238.99718555649855</v>
      </c>
    </row>
    <row r="84" spans="1:46">
      <c r="A84" s="1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spans="1:46">
      <c r="A85" s="13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spans="1:46">
      <c r="A86" s="13" t="s">
        <v>48</v>
      </c>
      <c r="P86" s="14">
        <f>([1]BUSCAR!LH$428*[1]BUSCAR!LH$117+[1]BUSCAR!LH$414*[1]BUSCAR!LH$116+[1]BUSCAR!LH$359*[1]BUSCAR!LH$115)/SUM([1]BUSCAR!LH$114:LH$117)</f>
        <v>334.52722577635819</v>
      </c>
      <c r="Q86" s="14">
        <f>([1]BUSCAR!LI$428*[1]BUSCAR!LI$117+[1]BUSCAR!LI$414*[1]BUSCAR!LI$116+[1]BUSCAR!LI$359*[1]BUSCAR!LI$115)/SUM([1]BUSCAR!LI$114:LI$117)</f>
        <v>349.4882891293816</v>
      </c>
      <c r="R86" s="14">
        <f>([1]BUSCAR!LJ$428*[1]BUSCAR!LJ$117+[1]BUSCAR!LJ$414*[1]BUSCAR!LJ$116+[1]BUSCAR!LJ$359*[1]BUSCAR!LJ$115)/SUM([1]BUSCAR!LJ$114:LJ$117)</f>
        <v>361.34914855282648</v>
      </c>
      <c r="S86" s="14">
        <f>([1]BUSCAR!LK$428*[1]BUSCAR!LK$117+[1]BUSCAR!LK$414*[1]BUSCAR!LK$116+[1]BUSCAR!LK$359*[1]BUSCAR!LK$115)/SUM([1]BUSCAR!LK$114:LK$117)</f>
        <v>360.01461683208618</v>
      </c>
      <c r="T86" s="14">
        <f>([1]BUSCAR!LL$428*[1]BUSCAR!LL$117+[1]BUSCAR!LL$414*[1]BUSCAR!LL$116+[1]BUSCAR!LL$359*[1]BUSCAR!LL$115)/SUM([1]BUSCAR!LL$114:LL$117)</f>
        <v>344.17620571157983</v>
      </c>
      <c r="U86" s="14">
        <f>([1]BUSCAR!LM$428*[1]BUSCAR!LM$117+[1]BUSCAR!LM$414*[1]BUSCAR!LM$116+[1]BUSCAR!LM$359*[1]BUSCAR!LM$115)/SUM([1]BUSCAR!LM$114:LM$117)</f>
        <v>335.77838959360969</v>
      </c>
      <c r="V86" s="14">
        <f>([1]BUSCAR!LN$428*[1]BUSCAR!LN$117+[1]BUSCAR!LN$414*[1]BUSCAR!LN$116+[1]BUSCAR!LN$359*[1]BUSCAR!LN$115)/SUM([1]BUSCAR!LN$114:LN$117)</f>
        <v>327.8559595289185</v>
      </c>
      <c r="W86" s="14">
        <f>([1]BUSCAR!LO$428*[1]BUSCAR!LO$117+[1]BUSCAR!LO$414*[1]BUSCAR!LO$116+[1]BUSCAR!LO$359*[1]BUSCAR!LO$115)/SUM([1]BUSCAR!LO$114:LO$117)</f>
        <v>321.66522816674899</v>
      </c>
      <c r="X86" s="14">
        <f>([1]BUSCAR!LP$428*[1]BUSCAR!LP$117+[1]BUSCAR!LP$414*[1]BUSCAR!LP$116+[1]BUSCAR!LP$359*[1]BUSCAR!LP$115)/SUM([1]BUSCAR!LP$114:LP$117)</f>
        <v>316.64600463101988</v>
      </c>
      <c r="Y86" s="14">
        <f>([1]BUSCAR!LQ$428*[1]BUSCAR!LQ$117+[1]BUSCAR!LQ$414*[1]BUSCAR!LQ$116+[1]BUSCAR!LQ$359*[1]BUSCAR!LQ$115)/SUM([1]BUSCAR!LQ$114:LQ$117)</f>
        <v>312.47535130972329</v>
      </c>
      <c r="Z86" s="14">
        <f>([1]BUSCAR!LR$428*[1]BUSCAR!LR$117+[1]BUSCAR!LR$414*[1]BUSCAR!LR$116+[1]BUSCAR!LR$359*[1]BUSCAR!LR$115)/SUM([1]BUSCAR!LR$114:LR$117)</f>
        <v>308.950353336342</v>
      </c>
      <c r="AA86" s="14">
        <f>([1]BUSCAR!LS$428*[1]BUSCAR!LS$117+[1]BUSCAR!LS$414*[1]BUSCAR!LS$116+[1]BUSCAR!LS$359*[1]BUSCAR!LS$115)/SUM([1]BUSCAR!LS$114:LS$117)</f>
        <v>308.42990537394019</v>
      </c>
      <c r="AB86" s="14">
        <f>([1]BUSCAR!LT$428*[1]BUSCAR!LT$117+[1]BUSCAR!LT$414*[1]BUSCAR!LT$116+[1]BUSCAR!LT$359*[1]BUSCAR!LT$115)/SUM([1]BUSCAR!LT$114:LT$117)</f>
        <v>307.60360685491804</v>
      </c>
      <c r="AC86" s="14">
        <f>([1]BUSCAR!LU$428*[1]BUSCAR!LU$117+[1]BUSCAR!LU$414*[1]BUSCAR!LU$116+[1]BUSCAR!LU$359*[1]BUSCAR!LU$115)/SUM([1]BUSCAR!LU$114:LU$117)</f>
        <v>307.50742397259808</v>
      </c>
      <c r="AD86" s="14">
        <f>([1]BUSCAR!LV$428*[1]BUSCAR!LV$117+[1]BUSCAR!LV$414*[1]BUSCAR!LV$116+[1]BUSCAR!LV$359*[1]BUSCAR!LV$115)/SUM([1]BUSCAR!LV$114:LV$117)</f>
        <v>307.07722211584729</v>
      </c>
      <c r="AE86" s="14">
        <f>([1]BUSCAR!LW$428*[1]BUSCAR!LW$117+[1]BUSCAR!LW$414*[1]BUSCAR!LW$116+[1]BUSCAR!LW$359*[1]BUSCAR!LW$115)/SUM([1]BUSCAR!LW$114:LW$117)</f>
        <v>306.35779912358907</v>
      </c>
      <c r="AF86" s="14">
        <f>([1]BUSCAR!LX$428*[1]BUSCAR!LX$117+[1]BUSCAR!LX$414*[1]BUSCAR!LX$116+[1]BUSCAR!LX$359*[1]BUSCAR!LX$115)/SUM([1]BUSCAR!LX$114:LX$117)</f>
        <v>305.93613624806648</v>
      </c>
      <c r="AG86" s="14">
        <f>([1]BUSCAR!LY$428*[1]BUSCAR!LY$117+[1]BUSCAR!LY$414*[1]BUSCAR!LY$116+[1]BUSCAR!LY$359*[1]BUSCAR!LY$115)/SUM([1]BUSCAR!LY$114:LY$117)</f>
        <v>305.38520240467648</v>
      </c>
      <c r="AH86" s="14">
        <f>([1]BUSCAR!LZ$428*[1]BUSCAR!LZ$117+[1]BUSCAR!LZ$414*[1]BUSCAR!LZ$116+[1]BUSCAR!LZ$359*[1]BUSCAR!LZ$115)/SUM([1]BUSCAR!LZ$114:LZ$117)</f>
        <v>304.71662367618228</v>
      </c>
      <c r="AI86" s="14">
        <f>([1]BUSCAR!MA$428*[1]BUSCAR!MA$117+[1]BUSCAR!MA$414*[1]BUSCAR!MA$116+[1]BUSCAR!MA$359*[1]BUSCAR!MA$115)/SUM([1]BUSCAR!MA$114:MA$117)</f>
        <v>303.94067258893409</v>
      </c>
      <c r="AJ86" s="14">
        <f>([1]BUSCAR!MB$428*[1]BUSCAR!MB$117+[1]BUSCAR!MB$414*[1]BUSCAR!MB$116+[1]BUSCAR!MB$359*[1]BUSCAR!MB$115)/SUM([1]BUSCAR!MB$114:MB$117)</f>
        <v>303.06645952488674</v>
      </c>
      <c r="AK86" s="14">
        <f>([1]BUSCAR!MC$428*[1]BUSCAR!MC$117+[1]BUSCAR!MC$414*[1]BUSCAR!MC$116+[1]BUSCAR!MC$359*[1]BUSCAR!MC$115)/SUM([1]BUSCAR!MC$114:MC$117)</f>
        <v>302.34764543774963</v>
      </c>
      <c r="AL86" s="14">
        <f>([1]BUSCAR!MD$428*[1]BUSCAR!MD$117+[1]BUSCAR!MD$414*[1]BUSCAR!MD$116+[1]BUSCAR!MD$359*[1]BUSCAR!MD$115)/SUM([1]BUSCAR!MD$114:MD$117)</f>
        <v>301.62287508072183</v>
      </c>
      <c r="AM86" s="14">
        <f>([1]BUSCAR!ME$428*[1]BUSCAR!ME$117+[1]BUSCAR!ME$414*[1]BUSCAR!ME$116+[1]BUSCAR!ME$359*[1]BUSCAR!ME$115)/SUM([1]BUSCAR!ME$114:ME$117)</f>
        <v>300.89218433494739</v>
      </c>
      <c r="AN86" s="14">
        <f>([1]BUSCAR!MF$428*[1]BUSCAR!MF$117+[1]BUSCAR!MF$414*[1]BUSCAR!MF$116+[1]BUSCAR!MF$359*[1]BUSCAR!MF$115)/SUM([1]BUSCAR!MF$114:MF$117)</f>
        <v>300.1556087939457</v>
      </c>
      <c r="AO86" s="14">
        <f>([1]BUSCAR!MG$428*[1]BUSCAR!MG$117+[1]BUSCAR!MG$414*[1]BUSCAR!MG$116+[1]BUSCAR!MG$359*[1]BUSCAR!MG$115)/SUM([1]BUSCAR!MG$114:MG$117)</f>
        <v>299.4131837664882</v>
      </c>
      <c r="AP86" s="14">
        <f>([1]BUSCAR!MH$428*[1]BUSCAR!MH$117+[1]BUSCAR!MH$414*[1]BUSCAR!MH$116+[1]BUSCAR!MH$359*[1]BUSCAR!MH$115)/SUM([1]BUSCAR!MH$114:MH$117)</f>
        <v>298.80129460606076</v>
      </c>
      <c r="AQ86" s="14">
        <f>([1]BUSCAR!MI$428*[1]BUSCAR!MI$117+[1]BUSCAR!MI$414*[1]BUSCAR!MI$116+[1]BUSCAR!MI$359*[1]BUSCAR!MI$115)/SUM([1]BUSCAR!MI$114:MI$117)</f>
        <v>298.15422229115399</v>
      </c>
      <c r="AR86" s="14">
        <f>([1]BUSCAR!MJ$428*[1]BUSCAR!MJ$117+[1]BUSCAR!MJ$414*[1]BUSCAR!MJ$116+[1]BUSCAR!MJ$359*[1]BUSCAR!MJ$115)/SUM([1]BUSCAR!MJ$114:MJ$117)</f>
        <v>297.47196682176792</v>
      </c>
      <c r="AS86" s="14">
        <f>([1]BUSCAR!MK$428*[1]BUSCAR!MK$117+[1]BUSCAR!MK$414*[1]BUSCAR!MK$116+[1]BUSCAR!MK$359*[1]BUSCAR!MK$115)/SUM([1]BUSCAR!MK$114:MK$117)</f>
        <v>296.75452819790263</v>
      </c>
      <c r="AT86" s="14">
        <f>([1]BUSCAR!ML$428*[1]BUSCAR!ML$117+[1]BUSCAR!ML$414*[1]BUSCAR!ML$116+[1]BUSCAR!ML$359*[1]BUSCAR!ML$115)/SUM([1]BUSCAR!ML$114:ML$117)</f>
        <v>296.00190641955805</v>
      </c>
    </row>
    <row r="87" spans="1:46">
      <c r="A87" s="13" t="s">
        <v>58</v>
      </c>
      <c r="P87" s="9">
        <f>[1]BUSCAR!LH$113/[1]BUSCAR!LH$118</f>
        <v>0.82</v>
      </c>
      <c r="Q87" s="9">
        <f>[1]BUSCAR!LI$113/[1]BUSCAR!LI$118</f>
        <v>0.7874399105645612</v>
      </c>
      <c r="R87" s="9">
        <f>[1]BUSCAR!LJ$113/[1]BUSCAR!LJ$118</f>
        <v>0.756240080269999</v>
      </c>
      <c r="S87" s="9">
        <f>[1]BUSCAR!LK$113/[1]BUSCAR!LK$118</f>
        <v>0.72631701215153688</v>
      </c>
      <c r="T87" s="9">
        <f>[1]BUSCAR!LL$113/[1]BUSCAR!LL$118</f>
        <v>0.69759390596270032</v>
      </c>
      <c r="U87" s="9">
        <f>[1]BUSCAR!LM$113/[1]BUSCAR!LM$118</f>
        <v>0.67</v>
      </c>
      <c r="V87" s="9">
        <f>[1]BUSCAR!LN$113/[1]BUSCAR!LN$118</f>
        <v>0.60399999999999998</v>
      </c>
      <c r="W87" s="9">
        <f>[1]BUSCAR!LO$113/[1]BUSCAR!LO$118</f>
        <v>0.53800000000000003</v>
      </c>
      <c r="X87" s="9">
        <f>[1]BUSCAR!LP$113/[1]BUSCAR!LP$118</f>
        <v>0.47200000000000003</v>
      </c>
      <c r="Y87" s="9">
        <f>[1]BUSCAR!LQ$113/[1]BUSCAR!LQ$118</f>
        <v>0.40600000000000008</v>
      </c>
      <c r="Z87" s="9">
        <f>[1]BUSCAR!LR$113/[1]BUSCAR!LR$118</f>
        <v>0.34</v>
      </c>
      <c r="AA87" s="9">
        <f>[1]BUSCAR!LS$113/[1]BUSCAR!LS$118</f>
        <v>0.30400000000000005</v>
      </c>
      <c r="AB87" s="9">
        <f>[1]BUSCAR!LT$113/[1]BUSCAR!LT$118</f>
        <v>0.26800000000000002</v>
      </c>
      <c r="AC87" s="9">
        <f>[1]BUSCAR!LU$113/[1]BUSCAR!LU$118</f>
        <v>0.23200000000000004</v>
      </c>
      <c r="AD87" s="9">
        <f>[1]BUSCAR!LV$113/[1]BUSCAR!LV$118</f>
        <v>0.19600000000000004</v>
      </c>
      <c r="AE87" s="9">
        <f>[1]BUSCAR!LW$113/[1]BUSCAR!LW$118</f>
        <v>0.16</v>
      </c>
      <c r="AF87" s="9">
        <f>[1]BUSCAR!LX$113/[1]BUSCAR!LX$118</f>
        <v>0.13</v>
      </c>
      <c r="AG87" s="9">
        <f>[1]BUSCAR!LY$113/[1]BUSCAR!LY$118</f>
        <v>0.10000000000000002</v>
      </c>
      <c r="AH87" s="9">
        <f>[1]BUSCAR!LZ$113/[1]BUSCAR!LZ$118</f>
        <v>7.0000000000000007E-2</v>
      </c>
      <c r="AI87" s="9">
        <f>[1]BUSCAR!MA$113/[1]BUSCAR!MA$118</f>
        <v>4.0000000000000022E-2</v>
      </c>
      <c r="AJ87" s="9">
        <f>[1]BUSCAR!MB$113/[1]BUSCAR!MB$118</f>
        <v>0.01</v>
      </c>
      <c r="AK87" s="9">
        <f>[1]BUSCAR!MC$113/[1]BUSCAR!MC$118</f>
        <v>8.0000000000000002E-3</v>
      </c>
      <c r="AL87" s="9">
        <f>[1]BUSCAR!MD$113/[1]BUSCAR!MD$118</f>
        <v>6.000000000000001E-3</v>
      </c>
      <c r="AM87" s="9">
        <f>[1]BUSCAR!ME$113/[1]BUSCAR!ME$118</f>
        <v>4.0000000000000001E-3</v>
      </c>
      <c r="AN87" s="9">
        <f>[1]BUSCAR!MF$113/[1]BUSCAR!MF$118</f>
        <v>2.0000000000000005E-3</v>
      </c>
      <c r="AO87" s="9">
        <f>[1]BUSCAR!MG$113/[1]BUSCAR!MG$118</f>
        <v>0</v>
      </c>
      <c r="AP87" s="9">
        <f>[1]BUSCAR!MH$113/[1]BUSCAR!MH$118</f>
        <v>0</v>
      </c>
      <c r="AQ87" s="9">
        <f>[1]BUSCAR!MI$113/[1]BUSCAR!MI$118</f>
        <v>0</v>
      </c>
      <c r="AR87" s="9">
        <f>[1]BUSCAR!MJ$113/[1]BUSCAR!MJ$118</f>
        <v>0</v>
      </c>
      <c r="AS87" s="9">
        <f>[1]BUSCAR!MK$113/[1]BUSCAR!MK$118</f>
        <v>0</v>
      </c>
      <c r="AT87" s="9">
        <f>[1]BUSCAR!ML$113/[1]BUSCAR!ML$118</f>
        <v>0</v>
      </c>
    </row>
    <row r="88" spans="1:46">
      <c r="A88" s="13" t="s">
        <v>57</v>
      </c>
      <c r="P88" s="14">
        <f t="shared" ref="P88:AT88" si="15">1-P87</f>
        <v>0.18000000000000005</v>
      </c>
      <c r="Q88" s="14">
        <f t="shared" si="15"/>
        <v>0.2125600894354388</v>
      </c>
      <c r="R88" s="14">
        <f t="shared" si="15"/>
        <v>0.243759919730001</v>
      </c>
      <c r="S88" s="14">
        <f t="shared" si="15"/>
        <v>0.27368298784846312</v>
      </c>
      <c r="T88" s="14">
        <f t="shared" si="15"/>
        <v>0.30240609403729968</v>
      </c>
      <c r="U88" s="14">
        <f t="shared" si="15"/>
        <v>0.32999999999999996</v>
      </c>
      <c r="V88" s="14">
        <f t="shared" si="15"/>
        <v>0.39600000000000002</v>
      </c>
      <c r="W88" s="14">
        <f t="shared" si="15"/>
        <v>0.46199999999999997</v>
      </c>
      <c r="X88" s="14">
        <f t="shared" si="15"/>
        <v>0.52800000000000002</v>
      </c>
      <c r="Y88" s="14">
        <f t="shared" si="15"/>
        <v>0.59399999999999986</v>
      </c>
      <c r="Z88" s="14">
        <f t="shared" si="15"/>
        <v>0.65999999999999992</v>
      </c>
      <c r="AA88" s="14">
        <f t="shared" si="15"/>
        <v>0.69599999999999995</v>
      </c>
      <c r="AB88" s="14">
        <f t="shared" si="15"/>
        <v>0.73199999999999998</v>
      </c>
      <c r="AC88" s="14">
        <f t="shared" si="15"/>
        <v>0.76800000000000002</v>
      </c>
      <c r="AD88" s="14">
        <f t="shared" si="15"/>
        <v>0.80399999999999994</v>
      </c>
      <c r="AE88" s="14">
        <f t="shared" si="15"/>
        <v>0.84</v>
      </c>
      <c r="AF88" s="14">
        <f t="shared" si="15"/>
        <v>0.87</v>
      </c>
      <c r="AG88" s="14">
        <f t="shared" si="15"/>
        <v>0.9</v>
      </c>
      <c r="AH88" s="14">
        <f t="shared" si="15"/>
        <v>0.92999999999999994</v>
      </c>
      <c r="AI88" s="14">
        <f t="shared" si="15"/>
        <v>0.96</v>
      </c>
      <c r="AJ88" s="14">
        <f t="shared" si="15"/>
        <v>0.99</v>
      </c>
      <c r="AK88" s="14">
        <f t="shared" si="15"/>
        <v>0.99199999999999999</v>
      </c>
      <c r="AL88" s="14">
        <f t="shared" si="15"/>
        <v>0.99399999999999999</v>
      </c>
      <c r="AM88" s="14">
        <f t="shared" si="15"/>
        <v>0.996</v>
      </c>
      <c r="AN88" s="14">
        <f t="shared" si="15"/>
        <v>0.998</v>
      </c>
      <c r="AO88" s="14">
        <f t="shared" si="15"/>
        <v>1</v>
      </c>
      <c r="AP88" s="14">
        <f t="shared" si="15"/>
        <v>1</v>
      </c>
      <c r="AQ88" s="14">
        <f t="shared" si="15"/>
        <v>1</v>
      </c>
      <c r="AR88" s="14">
        <f t="shared" si="15"/>
        <v>1</v>
      </c>
      <c r="AS88" s="14">
        <f t="shared" si="15"/>
        <v>1</v>
      </c>
      <c r="AT88" s="14">
        <f t="shared" si="15"/>
        <v>1</v>
      </c>
    </row>
    <row r="89" spans="1:46" ht="19.5" customHeight="1">
      <c r="A89" s="13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 spans="1:46">
      <c r="A90" s="39" t="s">
        <v>239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 spans="1:46" ht="19.5" customHeight="1">
      <c r="A91" s="13" t="s">
        <v>240</v>
      </c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 spans="1:46">
      <c r="A92" s="13"/>
      <c r="K92" s="6">
        <v>34044.871655546056</v>
      </c>
      <c r="L92" s="6">
        <v>34560.313951966935</v>
      </c>
      <c r="M92" s="6">
        <v>34105.075992542806</v>
      </c>
      <c r="N92" s="6">
        <v>34109.517373872615</v>
      </c>
      <c r="O92" s="6">
        <v>33528.400707877983</v>
      </c>
      <c r="P92" s="33">
        <v>25856.157109288113</v>
      </c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</row>
    <row r="94" spans="1:46">
      <c r="A94" s="47" t="s">
        <v>245</v>
      </c>
      <c r="B94" s="55">
        <v>2015</v>
      </c>
      <c r="C94" s="43">
        <v>2016</v>
      </c>
      <c r="D94" s="43">
        <v>2017</v>
      </c>
      <c r="N94" s="43">
        <v>2018</v>
      </c>
      <c r="O94" s="43">
        <v>2019</v>
      </c>
      <c r="P94" s="43">
        <v>2020</v>
      </c>
      <c r="Q94" s="43">
        <v>2025</v>
      </c>
      <c r="R94" s="43">
        <v>2030</v>
      </c>
      <c r="S94" s="43">
        <v>2035</v>
      </c>
      <c r="T94" s="43">
        <v>2040</v>
      </c>
      <c r="U94" s="43">
        <v>2045</v>
      </c>
      <c r="V94" s="43">
        <v>2050</v>
      </c>
    </row>
    <row r="95" spans="1:46">
      <c r="A95" s="44" t="s">
        <v>241</v>
      </c>
      <c r="B95" s="56"/>
      <c r="C95" s="45"/>
      <c r="D95" s="45"/>
      <c r="N95" s="46">
        <f>'[5]B&amp;C'!F102</f>
        <v>331.48517369065064</v>
      </c>
      <c r="O95" s="46">
        <f>'[5]B&amp;C'!G102</f>
        <v>327.50735160636276</v>
      </c>
      <c r="P95" s="46">
        <f>'[5]B&amp;C'!H102</f>
        <v>324.23227809029913</v>
      </c>
      <c r="Q95" s="46">
        <f>'[5]B&amp;C'!I102</f>
        <v>313.11406778687785</v>
      </c>
      <c r="R95" s="46">
        <f>'[5]B&amp;C'!J102</f>
        <v>282.40643496712039</v>
      </c>
      <c r="S95" s="46">
        <f>'[5]B&amp;C'!K102</f>
        <v>268.67766483516505</v>
      </c>
      <c r="T95" s="46">
        <f>'[5]B&amp;C'!L102</f>
        <v>255.29914285714315</v>
      </c>
      <c r="U95" s="46">
        <f>'[5]B&amp;C'!M102</f>
        <v>243.76690434782594</v>
      </c>
      <c r="V95" s="46">
        <f>'[5]B&amp;C'!N102</f>
        <v>236.43974712643688</v>
      </c>
    </row>
    <row r="96" spans="1:46">
      <c r="A96" s="44" t="s">
        <v>242</v>
      </c>
      <c r="B96" s="56"/>
      <c r="C96" s="45"/>
      <c r="D96" s="45"/>
      <c r="N96" s="46">
        <f>'[5]B&amp;C'!F103</f>
        <v>388.58681014237294</v>
      </c>
      <c r="O96" s="46">
        <f>'[5]B&amp;C'!G103</f>
        <v>386.22451597517738</v>
      </c>
      <c r="P96" s="46">
        <f>'[5]B&amp;C'!H103</f>
        <v>384.19721531875763</v>
      </c>
      <c r="Q96" s="46">
        <f>'[5]B&amp;C'!I103</f>
        <v>362.44502617435916</v>
      </c>
      <c r="R96" s="46">
        <f>'[5]B&amp;C'!J103</f>
        <v>348.31467553751264</v>
      </c>
      <c r="S96" s="46">
        <f>'[5]B&amp;C'!K103</f>
        <v>344.94441574199601</v>
      </c>
      <c r="T96" s="46">
        <f>'[5]B&amp;C'!L103</f>
        <v>345</v>
      </c>
      <c r="U96" s="46">
        <f>'[5]B&amp;C'!M103</f>
        <v>345</v>
      </c>
      <c r="V96" s="46">
        <f>'[5]B&amp;C'!N103</f>
        <v>345</v>
      </c>
    </row>
    <row r="97" spans="1:50">
      <c r="A97" s="44" t="s">
        <v>243</v>
      </c>
      <c r="B97" s="56"/>
      <c r="C97" s="45"/>
      <c r="D97" s="45"/>
      <c r="N97" s="46">
        <f>'[5]B&amp;C'!F104</f>
        <v>144</v>
      </c>
      <c r="O97" s="46">
        <f>'[5]B&amp;C'!G104</f>
        <v>144</v>
      </c>
      <c r="P97" s="46">
        <f>'[5]B&amp;C'!H104</f>
        <v>144</v>
      </c>
      <c r="Q97" s="46">
        <f>'[5]B&amp;C'!I104</f>
        <v>137.35268007111199</v>
      </c>
      <c r="R97" s="46">
        <f>'[5]B&amp;C'!J104</f>
        <v>134.87113796766499</v>
      </c>
      <c r="S97" s="46">
        <f>'[5]B&amp;C'!K104</f>
        <v>131.699781103254</v>
      </c>
      <c r="T97" s="46">
        <f>'[5]B&amp;C'!L104</f>
        <v>126.819091837681</v>
      </c>
      <c r="U97" s="46">
        <f>'[5]B&amp;C'!M104</f>
        <v>121.44905669769101</v>
      </c>
      <c r="V97" s="46">
        <f>'[5]B&amp;C'!N104</f>
        <v>117.39239911873899</v>
      </c>
    </row>
    <row r="98" spans="1:50">
      <c r="A98" s="44" t="s">
        <v>244</v>
      </c>
      <c r="B98" s="56"/>
      <c r="C98" s="45"/>
      <c r="D98" s="45"/>
      <c r="N98" s="46">
        <f>'[5]B&amp;C'!F105</f>
        <v>230.43599999999998</v>
      </c>
      <c r="O98" s="46">
        <f>'[5]B&amp;C'!G105</f>
        <v>230.43599999999998</v>
      </c>
      <c r="P98" s="46">
        <f>'[5]B&amp;C'!H105</f>
        <v>230.43599999999998</v>
      </c>
      <c r="Q98" s="46">
        <f>'[5]B&amp;C'!I105</f>
        <v>223.10999999999999</v>
      </c>
      <c r="R98" s="46">
        <f>'[5]B&amp;C'!J105</f>
        <v>209.78999999999996</v>
      </c>
      <c r="S98" s="46">
        <f>'[5]B&amp;C'!K105</f>
        <v>199.79999999999998</v>
      </c>
      <c r="T98" s="46">
        <f>'[5]B&amp;C'!L105</f>
        <v>189.81</v>
      </c>
      <c r="U98" s="46">
        <f>'[5]B&amp;C'!M105</f>
        <v>183.14999999999998</v>
      </c>
      <c r="V98" s="46">
        <f>'[5]B&amp;C'!N105</f>
        <v>173.16</v>
      </c>
    </row>
    <row r="100" spans="1:50" s="13" customFormat="1">
      <c r="A100" s="39" t="s">
        <v>235</v>
      </c>
      <c r="B100" s="5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36"/>
    </row>
    <row r="101" spans="1:50" s="13" customFormat="1">
      <c r="A101" s="13" t="s">
        <v>246</v>
      </c>
      <c r="B101" s="54"/>
      <c r="N101" s="4">
        <f>N95/11360*N92/100</f>
        <v>9.9531683901253771</v>
      </c>
      <c r="O101" s="4">
        <f t="shared" ref="O101:P101" si="16">O95/11360*O92/100</f>
        <v>9.6661951755581139</v>
      </c>
      <c r="P101" s="4">
        <f t="shared" si="16"/>
        <v>7.3797541568707468</v>
      </c>
      <c r="S101" s="14"/>
      <c r="T101" s="14"/>
      <c r="U101" s="14"/>
      <c r="V101" s="14"/>
      <c r="W101" s="14"/>
      <c r="X101" s="14"/>
      <c r="Y101" s="14"/>
      <c r="Z101" s="14"/>
      <c r="AA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V101" s="14"/>
      <c r="AW101" s="37"/>
      <c r="AX101" s="38"/>
    </row>
    <row r="102" spans="1:50" s="13" customFormat="1">
      <c r="A102" s="13" t="s">
        <v>247</v>
      </c>
      <c r="B102" s="54"/>
      <c r="N102" s="4">
        <f>N97/11360*$O$92/100</f>
        <v>4.2500789629704485</v>
      </c>
      <c r="O102" s="4">
        <f t="shared" ref="O102:P102" si="17">O97/11360*$O$92/100</f>
        <v>4.2500789629704485</v>
      </c>
      <c r="P102" s="4">
        <f t="shared" si="17"/>
        <v>4.2500789629704485</v>
      </c>
      <c r="S102" s="14"/>
      <c r="T102" s="14"/>
      <c r="U102" s="14"/>
      <c r="V102" s="14"/>
      <c r="W102" s="14"/>
      <c r="X102" s="14"/>
      <c r="Y102" s="14"/>
      <c r="Z102" s="14"/>
      <c r="AA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V102" s="14"/>
      <c r="AX102" s="38"/>
    </row>
    <row r="103" spans="1:50" s="13" customFormat="1">
      <c r="A103" s="13" t="s">
        <v>248</v>
      </c>
      <c r="B103" s="54"/>
      <c r="N103" s="4">
        <f>N96/11360*$O$92/100</f>
        <v>11.468921021346464</v>
      </c>
      <c r="O103" s="4">
        <f t="shared" ref="O103:P103" si="18">O96/11360*$O$92/100</f>
        <v>11.399199238399621</v>
      </c>
      <c r="P103" s="4">
        <f t="shared" si="18"/>
        <v>11.33936460040333</v>
      </c>
      <c r="S103" s="14"/>
      <c r="T103" s="14"/>
      <c r="U103" s="14"/>
      <c r="V103" s="14"/>
      <c r="W103" s="14"/>
      <c r="X103" s="14"/>
      <c r="Y103" s="14"/>
      <c r="Z103" s="14"/>
      <c r="AA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V103" s="14"/>
      <c r="AX103" s="38"/>
    </row>
    <row r="104" spans="1:50" s="13" customFormat="1">
      <c r="A104" s="16"/>
      <c r="B104" s="54"/>
      <c r="P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27"/>
    </row>
    <row r="105" spans="1:50" s="13" customFormat="1">
      <c r="A105" s="16"/>
      <c r="B105" s="54"/>
      <c r="P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2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573F-CE93-48EF-A172-8270314F72E7}">
  <dimension ref="A1:CR50"/>
  <sheetViews>
    <sheetView zoomScale="106" zoomScaleNormal="106" workbookViewId="0">
      <pane xSplit="1" ySplit="1" topLeftCell="J23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baseColWidth="10" defaultRowHeight="15"/>
  <cols>
    <col min="1" max="1" width="28.42578125" customWidth="1"/>
    <col min="2" max="2" width="14" customWidth="1"/>
    <col min="3" max="3" width="15.42578125" customWidth="1"/>
    <col min="4" max="4" width="12" bestFit="1" customWidth="1"/>
    <col min="19" max="19" width="12.7109375" bestFit="1" customWidth="1"/>
  </cols>
  <sheetData>
    <row r="1" spans="1:95" s="13" customFormat="1">
      <c r="A1" s="16"/>
      <c r="B1" s="16"/>
      <c r="C1" s="16"/>
      <c r="D1" s="13">
        <v>2006</v>
      </c>
      <c r="E1" s="13">
        <v>2007</v>
      </c>
      <c r="F1" s="13">
        <v>2008</v>
      </c>
      <c r="G1" s="13">
        <v>2009</v>
      </c>
      <c r="H1" s="13">
        <v>2010</v>
      </c>
      <c r="I1" s="13">
        <v>2011</v>
      </c>
      <c r="J1" s="13">
        <v>2012</v>
      </c>
      <c r="K1" s="13">
        <v>2013</v>
      </c>
      <c r="L1" s="13">
        <v>2014</v>
      </c>
      <c r="M1" s="13">
        <v>2015</v>
      </c>
      <c r="N1" s="13">
        <v>2016</v>
      </c>
      <c r="O1" s="13">
        <v>2017</v>
      </c>
      <c r="P1" s="13">
        <v>2018</v>
      </c>
      <c r="Q1" s="13">
        <v>2019</v>
      </c>
      <c r="R1" s="14">
        <v>2020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27"/>
    </row>
    <row r="2" spans="1:95">
      <c r="A2" s="25" t="s">
        <v>314</v>
      </c>
      <c r="B2" s="25"/>
      <c r="C2" s="25">
        <f>D2/(1+[7]BaselineHypotheses!$B$3)</f>
        <v>82053.489198362018</v>
      </c>
      <c r="D2" s="4">
        <f>'sorties bus'!B62</f>
        <v>83370.884508394811</v>
      </c>
      <c r="E2" s="4">
        <f>'sorties bus'!C62</f>
        <v>83308.735014922582</v>
      </c>
      <c r="F2" s="4">
        <f>'sorties bus'!D62</f>
        <v>83478.362387539324</v>
      </c>
      <c r="G2" s="4">
        <f>'sorties bus'!E62</f>
        <v>83909.566567147791</v>
      </c>
      <c r="H2" s="4">
        <f>'sorties bus'!F62</f>
        <v>84562.429723533787</v>
      </c>
      <c r="I2" s="4">
        <f>'sorties bus'!G62</f>
        <v>85574.448113806255</v>
      </c>
      <c r="J2" s="4">
        <f>'sorties bus'!H62</f>
        <v>86152.573770491872</v>
      </c>
      <c r="K2" s="4">
        <f>'sorties bus'!I62</f>
        <v>86548.491780821947</v>
      </c>
      <c r="L2" s="4">
        <f>'sorties bus'!J62</f>
        <v>87608.497260273944</v>
      </c>
      <c r="M2" s="4">
        <f>'sorties bus'!K62</f>
        <v>87263</v>
      </c>
      <c r="N2" s="4">
        <f>'sorties bus'!L62</f>
        <v>88431</v>
      </c>
      <c r="O2" s="4">
        <f>'sorties bus'!M62</f>
        <v>89376</v>
      </c>
      <c r="P2" s="4">
        <f>'sorties bus'!N62</f>
        <v>90695</v>
      </c>
      <c r="Q2" s="4">
        <f>'sorties bus'!O62</f>
        <v>92229</v>
      </c>
      <c r="R2" s="4">
        <f>'sorties bus'!P62</f>
        <v>92851</v>
      </c>
      <c r="S2" s="27">
        <f>SUM(R3:R5)-R2</f>
        <v>0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CQ2" s="41"/>
    </row>
    <row r="3" spans="1:95">
      <c r="A3" s="25" t="s">
        <v>315</v>
      </c>
      <c r="B3" s="25"/>
      <c r="C3" s="25">
        <f>D3/(1+[7]BaselineHypotheses!$B$3)</f>
        <v>80709.652332694153</v>
      </c>
      <c r="D3" s="42">
        <f t="shared" ref="D3:L5" si="0">D$2*D30</f>
        <v>82005.471907172308</v>
      </c>
      <c r="E3" s="4">
        <f t="shared" si="0"/>
        <v>81778.347590156103</v>
      </c>
      <c r="F3" s="4">
        <f t="shared" si="0"/>
        <v>81778.528231901422</v>
      </c>
      <c r="G3" s="4">
        <f t="shared" si="0"/>
        <v>82033.762147039539</v>
      </c>
      <c r="H3" s="4">
        <f t="shared" si="0"/>
        <v>82503.539832006791</v>
      </c>
      <c r="I3" s="4">
        <f t="shared" si="0"/>
        <v>83320.410915734741</v>
      </c>
      <c r="J3" s="4">
        <f t="shared" si="0"/>
        <v>83711.649669566119</v>
      </c>
      <c r="K3" s="4">
        <f t="shared" si="0"/>
        <v>83923.902406196445</v>
      </c>
      <c r="L3" s="4">
        <f t="shared" si="0"/>
        <v>84777.203182615209</v>
      </c>
      <c r="M3" s="4">
        <f>'sorties bus'!K63</f>
        <v>84269</v>
      </c>
      <c r="N3" s="4">
        <f>'sorties bus'!L63</f>
        <v>85430</v>
      </c>
      <c r="O3" s="4">
        <f>'sorties bus'!M63</f>
        <v>86222</v>
      </c>
      <c r="P3" s="4">
        <f>'sorties bus'!N63</f>
        <v>87363</v>
      </c>
      <c r="Q3" s="4">
        <f>'sorties bus'!O63</f>
        <v>88291</v>
      </c>
      <c r="R3" s="4">
        <f>'sorties bus'!P63</f>
        <v>87912</v>
      </c>
      <c r="S3" s="51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CQ3" s="41"/>
    </row>
    <row r="4" spans="1:95">
      <c r="A4" s="25" t="s">
        <v>316</v>
      </c>
      <c r="B4" s="25"/>
      <c r="C4" s="25">
        <f>D4/(1+[7]BaselineHypotheses!$B$3)</f>
        <v>359.19499528751345</v>
      </c>
      <c r="D4" s="42">
        <f>D$2*D31</f>
        <v>364.96198712176772</v>
      </c>
      <c r="E4" s="4">
        <f t="shared" si="0"/>
        <v>364.68992328593362</v>
      </c>
      <c r="F4" s="4">
        <f t="shared" si="0"/>
        <v>365.43247919553556</v>
      </c>
      <c r="G4" s="4">
        <f t="shared" si="0"/>
        <v>367.32010621512501</v>
      </c>
      <c r="H4" s="4">
        <f t="shared" si="0"/>
        <v>370.17806119878878</v>
      </c>
      <c r="I4" s="4">
        <f t="shared" si="0"/>
        <v>374.60824380864727</v>
      </c>
      <c r="J4" s="4">
        <f t="shared" si="0"/>
        <v>377.13903006231612</v>
      </c>
      <c r="K4" s="4">
        <f t="shared" si="0"/>
        <v>378.87218936174531</v>
      </c>
      <c r="L4" s="4">
        <f t="shared" si="0"/>
        <v>383.5124388735735</v>
      </c>
      <c r="M4" s="4">
        <f>'sorties bus'!K64</f>
        <v>382</v>
      </c>
      <c r="N4" s="4">
        <f>'sorties bus'!L64</f>
        <v>426</v>
      </c>
      <c r="O4" s="4">
        <f>'sorties bus'!M64</f>
        <v>474</v>
      </c>
      <c r="P4" s="4">
        <f>'sorties bus'!N64</f>
        <v>519</v>
      </c>
      <c r="Q4" s="4">
        <f>'sorties bus'!O64</f>
        <v>773</v>
      </c>
      <c r="R4" s="4">
        <f>'sorties bus'!P64</f>
        <v>901</v>
      </c>
      <c r="S4" s="51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CQ4" s="41"/>
    </row>
    <row r="5" spans="1:95">
      <c r="A5" s="25" t="s">
        <v>317</v>
      </c>
      <c r="B5" s="25"/>
      <c r="C5" s="25">
        <f>D5/(1+[7]BaselineHypotheses!$B$3)</f>
        <v>984.64187038034413</v>
      </c>
      <c r="D5" s="42">
        <f t="shared" si="0"/>
        <v>1000.4506141007378</v>
      </c>
      <c r="E5" s="4">
        <f t="shared" si="0"/>
        <v>1165.697501480541</v>
      </c>
      <c r="F5" s="4">
        <f t="shared" si="0"/>
        <v>1334.4016764423618</v>
      </c>
      <c r="G5" s="4">
        <f t="shared" si="0"/>
        <v>1508.4843138931217</v>
      </c>
      <c r="H5" s="4">
        <f t="shared" si="0"/>
        <v>1688.7118303281961</v>
      </c>
      <c r="I5" s="4">
        <f t="shared" si="0"/>
        <v>1879.4289542628514</v>
      </c>
      <c r="J5" s="4">
        <f t="shared" si="0"/>
        <v>2063.7850708634151</v>
      </c>
      <c r="K5" s="4">
        <f t="shared" si="0"/>
        <v>2245.7171852637362</v>
      </c>
      <c r="L5" s="4">
        <f t="shared" si="0"/>
        <v>2447.7816387851321</v>
      </c>
      <c r="M5" s="4">
        <f>'sorties bus'!K65</f>
        <v>2612</v>
      </c>
      <c r="N5" s="4">
        <f>'sorties bus'!L65</f>
        <v>2575</v>
      </c>
      <c r="O5" s="4">
        <f>'sorties bus'!M65</f>
        <v>2680</v>
      </c>
      <c r="P5" s="4">
        <f>'sorties bus'!N65</f>
        <v>2813</v>
      </c>
      <c r="Q5" s="4">
        <f>'sorties bus'!O65</f>
        <v>3165</v>
      </c>
      <c r="R5" s="4">
        <f>'sorties bus'!P65</f>
        <v>4038</v>
      </c>
      <c r="S5" s="51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CQ5" s="41"/>
    </row>
    <row r="6" spans="1:95">
      <c r="A6" s="25" t="s">
        <v>318</v>
      </c>
      <c r="B6" s="25"/>
      <c r="C6" s="4">
        <f t="shared" ref="C6:P8" si="1">D6</f>
        <v>8.75</v>
      </c>
      <c r="D6" s="4">
        <v>8.75</v>
      </c>
      <c r="E6" s="4">
        <f>D6</f>
        <v>8.75</v>
      </c>
      <c r="F6" s="4">
        <f t="shared" ref="F6:R6" si="2">E6</f>
        <v>8.75</v>
      </c>
      <c r="G6" s="4">
        <f t="shared" si="2"/>
        <v>8.75</v>
      </c>
      <c r="H6" s="4">
        <f t="shared" si="2"/>
        <v>8.75</v>
      </c>
      <c r="I6" s="4">
        <f t="shared" si="2"/>
        <v>8.75</v>
      </c>
      <c r="J6" s="4">
        <f t="shared" si="2"/>
        <v>8.75</v>
      </c>
      <c r="K6" s="4">
        <f t="shared" si="2"/>
        <v>8.75</v>
      </c>
      <c r="L6" s="4">
        <f t="shared" si="2"/>
        <v>8.75</v>
      </c>
      <c r="M6" s="4">
        <f t="shared" si="2"/>
        <v>8.75</v>
      </c>
      <c r="N6" s="4">
        <f t="shared" si="2"/>
        <v>8.75</v>
      </c>
      <c r="O6" s="4">
        <f t="shared" si="2"/>
        <v>8.75</v>
      </c>
      <c r="P6" s="4">
        <f t="shared" si="2"/>
        <v>8.75</v>
      </c>
      <c r="Q6" s="4">
        <f t="shared" si="2"/>
        <v>8.75</v>
      </c>
      <c r="R6" s="4">
        <f t="shared" si="2"/>
        <v>8.75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CQ6" s="41"/>
    </row>
    <row r="7" spans="1:95">
      <c r="A7" s="25" t="s">
        <v>319</v>
      </c>
      <c r="B7" s="25"/>
      <c r="C7" s="4">
        <f t="shared" si="1"/>
        <v>4.2500789629704485</v>
      </c>
      <c r="D7" s="30">
        <f t="shared" si="1"/>
        <v>4.2500789629704485</v>
      </c>
      <c r="E7" s="4">
        <f t="shared" si="1"/>
        <v>4.2500789629704485</v>
      </c>
      <c r="F7" s="4">
        <f t="shared" si="1"/>
        <v>4.2500789629704485</v>
      </c>
      <c r="G7" s="4">
        <f t="shared" si="1"/>
        <v>4.2500789629704485</v>
      </c>
      <c r="H7" s="4">
        <f t="shared" si="1"/>
        <v>4.2500789629704485</v>
      </c>
      <c r="I7" s="4">
        <f t="shared" si="1"/>
        <v>4.2500789629704485</v>
      </c>
      <c r="J7" s="4">
        <f t="shared" si="1"/>
        <v>4.2500789629704485</v>
      </c>
      <c r="K7" s="4">
        <f t="shared" si="1"/>
        <v>4.2500789629704485</v>
      </c>
      <c r="L7" s="4">
        <f t="shared" si="1"/>
        <v>4.2500789629704485</v>
      </c>
      <c r="M7" s="4">
        <f t="shared" si="1"/>
        <v>4.2500789629704485</v>
      </c>
      <c r="N7" s="4">
        <f t="shared" si="1"/>
        <v>4.2500789629704485</v>
      </c>
      <c r="O7" s="4">
        <f t="shared" si="1"/>
        <v>4.2500789629704485</v>
      </c>
      <c r="P7" s="4">
        <f t="shared" si="1"/>
        <v>4.2500789629704485</v>
      </c>
      <c r="Q7" s="4">
        <f t="shared" ref="Q7:Q8" si="3">R7</f>
        <v>4.2500789629704485</v>
      </c>
      <c r="R7" s="4">
        <f>'sorties bus'!P102</f>
        <v>4.2500789629704485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CQ7" s="41"/>
    </row>
    <row r="8" spans="1:95">
      <c r="A8" s="25" t="s">
        <v>320</v>
      </c>
      <c r="B8" s="25"/>
      <c r="C8" s="4">
        <f t="shared" si="1"/>
        <v>11.33936460040333</v>
      </c>
      <c r="D8" s="30">
        <f t="shared" si="1"/>
        <v>11.33936460040333</v>
      </c>
      <c r="E8" s="4">
        <f t="shared" si="1"/>
        <v>11.33936460040333</v>
      </c>
      <c r="F8" s="4">
        <f t="shared" si="1"/>
        <v>11.33936460040333</v>
      </c>
      <c r="G8" s="4">
        <f t="shared" si="1"/>
        <v>11.33936460040333</v>
      </c>
      <c r="H8" s="4">
        <f t="shared" si="1"/>
        <v>11.33936460040333</v>
      </c>
      <c r="I8" s="4">
        <f t="shared" si="1"/>
        <v>11.33936460040333</v>
      </c>
      <c r="J8" s="4">
        <f t="shared" si="1"/>
        <v>11.33936460040333</v>
      </c>
      <c r="K8" s="4">
        <f t="shared" si="1"/>
        <v>11.33936460040333</v>
      </c>
      <c r="L8" s="4">
        <f t="shared" si="1"/>
        <v>11.33936460040333</v>
      </c>
      <c r="M8" s="4">
        <f t="shared" si="1"/>
        <v>11.33936460040333</v>
      </c>
      <c r="N8" s="4">
        <f t="shared" si="1"/>
        <v>11.33936460040333</v>
      </c>
      <c r="O8" s="4">
        <f t="shared" si="1"/>
        <v>11.33936460040333</v>
      </c>
      <c r="P8" s="4">
        <f t="shared" si="1"/>
        <v>11.33936460040333</v>
      </c>
      <c r="Q8" s="4">
        <f t="shared" si="3"/>
        <v>11.33936460040333</v>
      </c>
      <c r="R8" s="4">
        <f>'sorties bus'!P103</f>
        <v>11.33936460040333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CQ8" s="41"/>
    </row>
    <row r="9" spans="1:95">
      <c r="A9" s="25" t="s">
        <v>321</v>
      </c>
      <c r="B9" s="25"/>
      <c r="C9" s="25"/>
      <c r="D9" s="4">
        <f t="shared" ref="D9:Q9" si="4">D25-D18</f>
        <v>25.077443187298513</v>
      </c>
      <c r="E9" s="4">
        <f t="shared" si="4"/>
        <v>17.718871508510574</v>
      </c>
      <c r="F9" s="4">
        <f t="shared" si="4"/>
        <v>17.202665018112384</v>
      </c>
      <c r="G9" s="4">
        <f t="shared" si="4"/>
        <v>16.131012806603394</v>
      </c>
      <c r="H9" s="4">
        <f t="shared" si="4"/>
        <v>16.612319552805729</v>
      </c>
      <c r="I9" s="4">
        <f t="shared" si="4"/>
        <v>16.608946919171558</v>
      </c>
      <c r="J9" s="4">
        <f t="shared" si="4"/>
        <v>16.348086574677154</v>
      </c>
      <c r="K9" s="4">
        <f t="shared" si="4"/>
        <v>16.44476503391752</v>
      </c>
      <c r="L9" s="4">
        <f t="shared" si="4"/>
        <v>16.454181908575947</v>
      </c>
      <c r="M9" s="4">
        <f t="shared" si="4"/>
        <v>16.442567341205859</v>
      </c>
      <c r="N9" s="4">
        <f t="shared" si="4"/>
        <v>16.76682438793182</v>
      </c>
      <c r="O9" s="4">
        <f t="shared" si="4"/>
        <v>17.571126158903098</v>
      </c>
      <c r="P9" s="4">
        <f t="shared" si="4"/>
        <v>17.476534098452703</v>
      </c>
      <c r="Q9" s="4">
        <f t="shared" si="4"/>
        <v>18.037273303877328</v>
      </c>
      <c r="R9" s="4">
        <f>R25-R18</f>
        <v>6.0615164655050648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CQ9" s="57"/>
    </row>
    <row r="10" spans="1:95">
      <c r="A10" s="25" t="s">
        <v>322</v>
      </c>
      <c r="B10" s="25"/>
      <c r="C10" s="25"/>
      <c r="D10" s="4">
        <f t="shared" ref="D10:Q10" si="5">D26-D19</f>
        <v>142.21559456591785</v>
      </c>
      <c r="E10" s="4">
        <f t="shared" si="5"/>
        <v>145.46492402238934</v>
      </c>
      <c r="F10" s="4">
        <f t="shared" si="5"/>
        <v>141.22707368944677</v>
      </c>
      <c r="G10" s="4">
        <f t="shared" si="5"/>
        <v>132.42923322083914</v>
      </c>
      <c r="H10" s="4">
        <f t="shared" si="5"/>
        <v>136.38057008168201</v>
      </c>
      <c r="I10" s="4">
        <f t="shared" si="5"/>
        <v>136.35288294396554</v>
      </c>
      <c r="J10" s="4">
        <f t="shared" si="5"/>
        <v>134.21132277017583</v>
      </c>
      <c r="K10" s="4">
        <f t="shared" si="5"/>
        <v>135.0050145895168</v>
      </c>
      <c r="L10" s="4">
        <f t="shared" si="5"/>
        <v>135.08232316748516</v>
      </c>
      <c r="M10" s="4">
        <f t="shared" si="5"/>
        <v>134.98697166585509</v>
      </c>
      <c r="N10" s="4">
        <f t="shared" si="5"/>
        <v>137.64899498377051</v>
      </c>
      <c r="O10" s="4">
        <f t="shared" si="5"/>
        <v>144.25199323151273</v>
      </c>
      <c r="P10" s="4">
        <f t="shared" si="5"/>
        <v>143.47542960750343</v>
      </c>
      <c r="Q10" s="4">
        <f t="shared" si="5"/>
        <v>148.07887704653956</v>
      </c>
      <c r="R10" s="4">
        <f t="shared" ref="R10:R11" si="6">R26-R19</f>
        <v>147.85917997318265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CQ10" s="41"/>
    </row>
    <row r="11" spans="1:95">
      <c r="A11" s="25" t="s">
        <v>323</v>
      </c>
      <c r="B11" s="25"/>
      <c r="C11" s="25"/>
      <c r="D11" s="4">
        <f>D27-D20</f>
        <v>35.268638787747925</v>
      </c>
      <c r="E11" s="4">
        <f t="shared" ref="E11:Q11" si="7">E27-E20</f>
        <v>36.074451845827248</v>
      </c>
      <c r="F11" s="4">
        <f t="shared" si="7"/>
        <v>35.023489669838106</v>
      </c>
      <c r="G11" s="4">
        <f t="shared" si="7"/>
        <v>32.841676627850205</v>
      </c>
      <c r="H11" s="4">
        <f t="shared" si="7"/>
        <v>33.821584999989241</v>
      </c>
      <c r="I11" s="4">
        <f t="shared" si="7"/>
        <v>33.814718862455074</v>
      </c>
      <c r="J11" s="4">
        <f t="shared" si="7"/>
        <v>33.283624399901861</v>
      </c>
      <c r="K11" s="4">
        <f t="shared" si="7"/>
        <v>33.480455330665798</v>
      </c>
      <c r="L11" s="4">
        <f t="shared" si="7"/>
        <v>33.499627378079936</v>
      </c>
      <c r="M11" s="4">
        <f t="shared" si="7"/>
        <v>33.47598077498165</v>
      </c>
      <c r="N11" s="4">
        <f t="shared" si="7"/>
        <v>34.136146999348256</v>
      </c>
      <c r="O11" s="4">
        <f t="shared" si="7"/>
        <v>35.773652000439171</v>
      </c>
      <c r="P11" s="4">
        <f t="shared" si="7"/>
        <v>35.581068873912855</v>
      </c>
      <c r="Q11" s="4">
        <f t="shared" si="7"/>
        <v>36.722696922774958</v>
      </c>
      <c r="R11" s="4">
        <f t="shared" si="6"/>
        <v>35.769066782610224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CQ11" s="41"/>
    </row>
    <row r="12" spans="1:95">
      <c r="A12" s="25" t="s">
        <v>324</v>
      </c>
      <c r="B12" s="25"/>
      <c r="C12" s="25"/>
      <c r="D12" s="41">
        <f>D33-D15</f>
        <v>1.3096009450476287E-2</v>
      </c>
      <c r="E12" s="41">
        <f t="shared" ref="E12:Q12" si="8">E33-E15</f>
        <v>9.2012687861341425E-3</v>
      </c>
      <c r="F12" s="41">
        <f t="shared" si="8"/>
        <v>8.9332068708625201E-3</v>
      </c>
      <c r="G12" s="41">
        <f t="shared" si="8"/>
        <v>8.3767064134040448E-3</v>
      </c>
      <c r="H12" s="41">
        <f t="shared" si="8"/>
        <v>8.6266451699404945E-3</v>
      </c>
      <c r="I12" s="41">
        <f t="shared" si="8"/>
        <v>8.6248937873210085E-3</v>
      </c>
      <c r="J12" s="41">
        <f t="shared" si="8"/>
        <v>8.4894310912964066E-3</v>
      </c>
      <c r="K12" s="41">
        <f t="shared" si="8"/>
        <v>8.5396354457811796E-3</v>
      </c>
      <c r="L12" s="41">
        <f t="shared" si="8"/>
        <v>8.5445255521169328E-3</v>
      </c>
      <c r="M12" s="41">
        <f t="shared" si="8"/>
        <v>8.5384941999999686E-3</v>
      </c>
      <c r="N12" s="41">
        <f t="shared" si="8"/>
        <v>8.7068782999999428E-3</v>
      </c>
      <c r="O12" s="41">
        <f t="shared" si="8"/>
        <v>9.1245457999999946E-3</v>
      </c>
      <c r="P12" s="41">
        <f t="shared" si="8"/>
        <v>9.0754249000000176E-3</v>
      </c>
      <c r="Q12" s="41">
        <f t="shared" si="8"/>
        <v>9.3666123000000212E-3</v>
      </c>
      <c r="R12" s="41">
        <f>R33-R15</f>
        <v>3.1476972000000769E-3</v>
      </c>
      <c r="S12" s="41">
        <f>R12-(R33-R15)</f>
        <v>0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CQ12" s="41"/>
    </row>
    <row r="13" spans="1:95">
      <c r="A13" s="25" t="s">
        <v>325</v>
      </c>
      <c r="B13" s="25"/>
      <c r="C13" s="25"/>
      <c r="D13" s="41">
        <f t="shared" ref="D13:Q13" si="9">D34-D16</f>
        <v>0.28122814940291652</v>
      </c>
      <c r="E13" s="41">
        <f t="shared" si="9"/>
        <v>0.28765359812903513</v>
      </c>
      <c r="F13" s="41">
        <f t="shared" si="9"/>
        <v>0.27927334490778488</v>
      </c>
      <c r="G13" s="41">
        <f t="shared" si="9"/>
        <v>0.261875814343899</v>
      </c>
      <c r="H13" s="41">
        <f t="shared" si="9"/>
        <v>0.26968949360954586</v>
      </c>
      <c r="I13" s="41">
        <f t="shared" si="9"/>
        <v>0.26963474298363355</v>
      </c>
      <c r="J13" s="41">
        <f t="shared" si="9"/>
        <v>0.26539985624221707</v>
      </c>
      <c r="K13" s="41">
        <f t="shared" si="9"/>
        <v>0.26696936367833912</v>
      </c>
      <c r="L13" s="41">
        <f t="shared" si="9"/>
        <v>0.26712223985150596</v>
      </c>
      <c r="M13" s="41">
        <f t="shared" si="9"/>
        <v>0.26693368443614529</v>
      </c>
      <c r="N13" s="41">
        <f t="shared" si="9"/>
        <v>0.27219777516177457</v>
      </c>
      <c r="O13" s="41">
        <f t="shared" si="9"/>
        <v>0.28525505497155201</v>
      </c>
      <c r="P13" s="41">
        <f t="shared" si="9"/>
        <v>0.28371941801821837</v>
      </c>
      <c r="Q13" s="41">
        <f t="shared" si="9"/>
        <v>0.29282263126162383</v>
      </c>
      <c r="R13" s="41">
        <f t="shared" ref="R13" si="10">R34-R16</f>
        <v>0.29238818525436361</v>
      </c>
      <c r="S13" s="41">
        <f t="shared" ref="S13:S14" si="11">R13-(R34-R16)</f>
        <v>0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CQ13" s="41"/>
    </row>
    <row r="14" spans="1:95">
      <c r="A14" s="25" t="s">
        <v>326</v>
      </c>
      <c r="B14" s="25"/>
      <c r="C14" s="25"/>
      <c r="D14" s="68">
        <f t="shared" ref="D14:Q14" si="12">D35-D17</f>
        <v>1.4427860919597859E-2</v>
      </c>
      <c r="E14" s="68">
        <f t="shared" si="12"/>
        <v>1.4757505816932944E-2</v>
      </c>
      <c r="F14" s="68">
        <f t="shared" si="12"/>
        <v>1.4327573267430622E-2</v>
      </c>
      <c r="G14" s="68">
        <f t="shared" si="12"/>
        <v>1.3435026970776628E-2</v>
      </c>
      <c r="H14" s="68">
        <f t="shared" si="12"/>
        <v>1.3835892450894133E-2</v>
      </c>
      <c r="I14" s="68">
        <f t="shared" si="12"/>
        <v>1.3833083647058774E-2</v>
      </c>
      <c r="J14" s="68">
        <f t="shared" si="12"/>
        <v>1.3615821024610512E-2</v>
      </c>
      <c r="K14" s="68">
        <f t="shared" si="12"/>
        <v>1.3696341546902982E-2</v>
      </c>
      <c r="L14" s="68">
        <f t="shared" si="12"/>
        <v>1.3704184535642618E-2</v>
      </c>
      <c r="M14" s="68">
        <f t="shared" si="12"/>
        <v>1.3694511063746501E-2</v>
      </c>
      <c r="N14" s="68">
        <f t="shared" si="12"/>
        <v>1.3964574953961424E-2</v>
      </c>
      <c r="O14" s="68">
        <f t="shared" si="12"/>
        <v>1.4634453170919069E-2</v>
      </c>
      <c r="P14" s="68">
        <f t="shared" si="12"/>
        <v>1.4555670379065432E-2</v>
      </c>
      <c r="Q14" s="68">
        <f t="shared" si="12"/>
        <v>1.5022692939723463E-2</v>
      </c>
      <c r="R14" s="68">
        <f>R35-R17</f>
        <v>1.4632577443571354E-2</v>
      </c>
      <c r="S14" s="41">
        <f t="shared" si="11"/>
        <v>0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CQ14" s="41"/>
    </row>
    <row r="15" spans="1:95">
      <c r="A15" s="25" t="s">
        <v>327</v>
      </c>
      <c r="B15" s="25"/>
      <c r="C15" s="25"/>
      <c r="D15" s="13">
        <f>D6*D3/1000000</f>
        <v>0.71754787918775775</v>
      </c>
      <c r="E15" s="13">
        <f t="shared" ref="E15:P15" si="13">E6*E3/1000000</f>
        <v>0.71556054141386582</v>
      </c>
      <c r="F15" s="13">
        <f t="shared" si="13"/>
        <v>0.71556212202913749</v>
      </c>
      <c r="G15" s="13">
        <f t="shared" si="13"/>
        <v>0.71779541878659592</v>
      </c>
      <c r="H15" s="13">
        <f t="shared" si="13"/>
        <v>0.72190597353005947</v>
      </c>
      <c r="I15" s="13">
        <f t="shared" si="13"/>
        <v>0.72905359551267901</v>
      </c>
      <c r="J15" s="13">
        <f t="shared" si="13"/>
        <v>0.73247693460870356</v>
      </c>
      <c r="K15" s="13">
        <f t="shared" si="13"/>
        <v>0.73433414605421887</v>
      </c>
      <c r="L15" s="13">
        <f t="shared" si="13"/>
        <v>0.74180052784788308</v>
      </c>
      <c r="M15" s="13">
        <f t="shared" si="13"/>
        <v>0.73735375000000003</v>
      </c>
      <c r="N15" s="13">
        <f t="shared" si="13"/>
        <v>0.74751250000000002</v>
      </c>
      <c r="O15" s="13">
        <f t="shared" si="13"/>
        <v>0.75444250000000002</v>
      </c>
      <c r="P15" s="13">
        <f t="shared" si="13"/>
        <v>0.76442624999999997</v>
      </c>
      <c r="Q15" s="13">
        <f>Q6*Q3/1000000</f>
        <v>0.77254624999999999</v>
      </c>
      <c r="R15" s="13">
        <f>R6*R3/1000000</f>
        <v>0.76922999999999997</v>
      </c>
      <c r="S15" s="13">
        <f>(R6*R3)/1000000-R15</f>
        <v>0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CQ15" s="41"/>
    </row>
    <row r="16" spans="1:95">
      <c r="A16" s="25" t="s">
        <v>328</v>
      </c>
      <c r="B16" s="25"/>
      <c r="C16" s="25"/>
      <c r="D16" s="13">
        <f t="shared" ref="D16:Q16" si="14">D7*D4/1000000</f>
        <v>1.5511172637501167E-3</v>
      </c>
      <c r="E16" s="13">
        <f t="shared" si="14"/>
        <v>1.5499609709648532E-3</v>
      </c>
      <c r="F16" s="13">
        <f t="shared" si="14"/>
        <v>1.5531168922150818E-3</v>
      </c>
      <c r="G16" s="13">
        <f t="shared" si="14"/>
        <v>1.5611394561009736E-3</v>
      </c>
      <c r="H16" s="13">
        <f t="shared" si="14"/>
        <v>1.5732859904541594E-3</v>
      </c>
      <c r="I16" s="13">
        <f t="shared" si="14"/>
        <v>1.5921146163664366E-3</v>
      </c>
      <c r="J16" s="13">
        <f t="shared" si="14"/>
        <v>1.6028706577829294E-3</v>
      </c>
      <c r="K16" s="13">
        <f t="shared" si="14"/>
        <v>1.61023672166091E-3</v>
      </c>
      <c r="L16" s="13">
        <f t="shared" si="14"/>
        <v>1.6299581484940648E-3</v>
      </c>
      <c r="M16" s="13">
        <f t="shared" si="14"/>
        <v>1.6235301638547115E-3</v>
      </c>
      <c r="N16" s="13">
        <f t="shared" si="14"/>
        <v>1.8105336382254111E-3</v>
      </c>
      <c r="O16" s="13">
        <f t="shared" si="14"/>
        <v>2.0145374284479926E-3</v>
      </c>
      <c r="P16" s="13">
        <f t="shared" si="14"/>
        <v>2.2057909817816625E-3</v>
      </c>
      <c r="Q16" s="13">
        <f t="shared" si="14"/>
        <v>3.2853110383761568E-3</v>
      </c>
      <c r="R16" s="13">
        <f t="shared" ref="R16:R17" si="15">R7*R4/1000000</f>
        <v>3.8293211456363742E-3</v>
      </c>
      <c r="S16" s="13">
        <f t="shared" ref="S16:S17" si="16">(R7*R4)/1000000-R16</f>
        <v>0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CQ16" s="41"/>
    </row>
    <row r="17" spans="1:95">
      <c r="A17" s="25" t="s">
        <v>329</v>
      </c>
      <c r="B17" s="25"/>
      <c r="C17" s="25"/>
      <c r="D17" s="13">
        <f t="shared" ref="D17:Q17" si="17">D8*D5/1000000</f>
        <v>1.1344474277985678E-2</v>
      </c>
      <c r="E17" s="13">
        <f t="shared" si="17"/>
        <v>1.3218268983067055E-2</v>
      </c>
      <c r="F17" s="13">
        <f t="shared" si="17"/>
        <v>1.5131267132569376E-2</v>
      </c>
      <c r="G17" s="13">
        <f t="shared" si="17"/>
        <v>1.7105253629223372E-2</v>
      </c>
      <c r="H17" s="13">
        <f t="shared" si="17"/>
        <v>1.9148919149105863E-2</v>
      </c>
      <c r="I17" s="13">
        <f t="shared" si="17"/>
        <v>2.1311530152941228E-2</v>
      </c>
      <c r="J17" s="13">
        <f t="shared" si="17"/>
        <v>2.3402011375389487E-2</v>
      </c>
      <c r="K17" s="13">
        <f t="shared" si="17"/>
        <v>2.5465005953097017E-2</v>
      </c>
      <c r="L17" s="13">
        <f t="shared" si="17"/>
        <v>2.7756288464357379E-2</v>
      </c>
      <c r="M17" s="13">
        <f t="shared" si="17"/>
        <v>2.9618420336253497E-2</v>
      </c>
      <c r="N17" s="13">
        <f t="shared" si="17"/>
        <v>2.9198863846038578E-2</v>
      </c>
      <c r="O17" s="13">
        <f t="shared" si="17"/>
        <v>3.0389497129080928E-2</v>
      </c>
      <c r="P17" s="13">
        <f t="shared" si="17"/>
        <v>3.189763262093457E-2</v>
      </c>
      <c r="Q17" s="13">
        <f t="shared" si="17"/>
        <v>3.5889088960276538E-2</v>
      </c>
      <c r="R17" s="13">
        <f t="shared" si="15"/>
        <v>4.5788354256428646E-2</v>
      </c>
      <c r="S17" s="13">
        <f t="shared" si="16"/>
        <v>0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CQ17" s="41"/>
    </row>
    <row r="18" spans="1:95">
      <c r="A18" s="25" t="s">
        <v>330</v>
      </c>
      <c r="B18" s="25"/>
      <c r="C18" s="25"/>
      <c r="D18" s="4">
        <f>D25*D15/D33</f>
        <v>1374.0266638127016</v>
      </c>
      <c r="E18" s="4">
        <f t="shared" ref="E18:Q18" si="18">E25*E15/E33</f>
        <v>1377.9540174914894</v>
      </c>
      <c r="F18" s="4">
        <f t="shared" si="18"/>
        <v>1377.9570609818877</v>
      </c>
      <c r="G18" s="4">
        <f t="shared" si="18"/>
        <v>1382.2577181933966</v>
      </c>
      <c r="H18" s="4">
        <f t="shared" si="18"/>
        <v>1390.1734084471943</v>
      </c>
      <c r="I18" s="4">
        <f t="shared" si="18"/>
        <v>1403.9375750808285</v>
      </c>
      <c r="J18" s="4">
        <f t="shared" si="18"/>
        <v>1410.5298944253229</v>
      </c>
      <c r="K18" s="4">
        <f t="shared" si="18"/>
        <v>1414.1063239660825</v>
      </c>
      <c r="L18" s="4">
        <f t="shared" si="18"/>
        <v>1428.484326091424</v>
      </c>
      <c r="M18" s="4">
        <f t="shared" si="18"/>
        <v>1419.921171658794</v>
      </c>
      <c r="N18" s="4">
        <f t="shared" si="18"/>
        <v>1439.4838636120683</v>
      </c>
      <c r="O18" s="4">
        <f t="shared" si="18"/>
        <v>1452.828955841097</v>
      </c>
      <c r="P18" s="4">
        <f t="shared" si="18"/>
        <v>1472.0546499015472</v>
      </c>
      <c r="Q18" s="4">
        <f t="shared" si="18"/>
        <v>1487.6913236961227</v>
      </c>
      <c r="R18" s="4">
        <f>R25*R15/R33</f>
        <v>1481.3052255344949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CQ18" s="57"/>
    </row>
    <row r="19" spans="1:95">
      <c r="A19" s="25" t="s">
        <v>331</v>
      </c>
      <c r="B19" s="25"/>
      <c r="C19" s="25"/>
      <c r="D19" s="4">
        <f t="shared" ref="D19:Q19" si="19">D26*D16/D34</f>
        <v>0.78439183408214963</v>
      </c>
      <c r="E19" s="4">
        <f t="shared" si="19"/>
        <v>0.78380717761066387</v>
      </c>
      <c r="F19" s="4">
        <f t="shared" si="19"/>
        <v>0.7854031105532463</v>
      </c>
      <c r="G19" s="4">
        <f t="shared" si="19"/>
        <v>0.78946007916086236</v>
      </c>
      <c r="H19" s="4">
        <f t="shared" si="19"/>
        <v>0.7956025183180041</v>
      </c>
      <c r="I19" s="4">
        <f t="shared" si="19"/>
        <v>0.80512405603444936</v>
      </c>
      <c r="J19" s="4">
        <f t="shared" si="19"/>
        <v>0.81056332982417478</v>
      </c>
      <c r="K19" s="4">
        <f t="shared" si="19"/>
        <v>0.81428831048318928</v>
      </c>
      <c r="L19" s="4">
        <f t="shared" si="19"/>
        <v>0.82426133251484035</v>
      </c>
      <c r="M19" s="4">
        <f t="shared" si="19"/>
        <v>0.8210107341448788</v>
      </c>
      <c r="N19" s="4">
        <f t="shared" si="19"/>
        <v>0.91557741622950517</v>
      </c>
      <c r="O19" s="4">
        <f t="shared" si="19"/>
        <v>1.0187410684872527</v>
      </c>
      <c r="P19" s="4">
        <f t="shared" si="19"/>
        <v>1.1154569924965765</v>
      </c>
      <c r="Q19" s="4">
        <f t="shared" si="19"/>
        <v>1.6613646534604409</v>
      </c>
      <c r="R19" s="4">
        <f t="shared" ref="R19" si="20">R26*R16/R34</f>
        <v>1.9364677268173327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CQ19" s="41"/>
    </row>
    <row r="20" spans="1:95">
      <c r="A20" s="25" t="s">
        <v>332</v>
      </c>
      <c r="B20" s="25"/>
      <c r="C20" s="25"/>
      <c r="D20" s="4">
        <f t="shared" ref="D20:Q20" si="21">D27*D17/D35</f>
        <v>27.731357252252074</v>
      </c>
      <c r="E20" s="4">
        <f t="shared" si="21"/>
        <v>32.31181568417275</v>
      </c>
      <c r="F20" s="4">
        <f t="shared" si="21"/>
        <v>36.988104560161894</v>
      </c>
      <c r="G20" s="4">
        <f t="shared" si="21"/>
        <v>41.813478272149794</v>
      </c>
      <c r="H20" s="4">
        <f t="shared" si="21"/>
        <v>46.809181190010761</v>
      </c>
      <c r="I20" s="4">
        <f t="shared" si="21"/>
        <v>52.095643967544923</v>
      </c>
      <c r="J20" s="4">
        <f t="shared" si="21"/>
        <v>57.205786960098145</v>
      </c>
      <c r="K20" s="4">
        <f t="shared" si="21"/>
        <v>62.248739299334197</v>
      </c>
      <c r="L20" s="4">
        <f t="shared" si="21"/>
        <v>67.84973732192006</v>
      </c>
      <c r="M20" s="4">
        <f t="shared" si="21"/>
        <v>72.401684525018354</v>
      </c>
      <c r="N20" s="4">
        <f t="shared" si="21"/>
        <v>71.376086400651744</v>
      </c>
      <c r="O20" s="4">
        <f t="shared" si="21"/>
        <v>74.286567599560826</v>
      </c>
      <c r="P20" s="4">
        <f t="shared" si="21"/>
        <v>77.973177026087143</v>
      </c>
      <c r="Q20" s="4">
        <f t="shared" si="21"/>
        <v>87.730218677225039</v>
      </c>
      <c r="R20" s="4">
        <f>R27*R17/R35</f>
        <v>111.92879091738976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CQ20" s="41"/>
    </row>
    <row r="21" spans="1:95">
      <c r="A21" s="25" t="s">
        <v>333</v>
      </c>
      <c r="B21" s="25"/>
      <c r="C21" s="25"/>
      <c r="D21" s="13">
        <f t="shared" ref="D21:P23" si="22">E21</f>
        <v>213.71282570043624</v>
      </c>
      <c r="E21" s="13">
        <f t="shared" si="22"/>
        <v>213.71282570043624</v>
      </c>
      <c r="F21" s="13">
        <f t="shared" si="22"/>
        <v>213.71282570043624</v>
      </c>
      <c r="G21" s="13">
        <f t="shared" si="22"/>
        <v>213.71282570043624</v>
      </c>
      <c r="H21" s="13">
        <f t="shared" si="22"/>
        <v>213.71282570043624</v>
      </c>
      <c r="I21" s="13">
        <f t="shared" si="22"/>
        <v>213.71282570043624</v>
      </c>
      <c r="J21" s="13">
        <f t="shared" si="22"/>
        <v>213.71282570043624</v>
      </c>
      <c r="K21" s="13">
        <f t="shared" si="22"/>
        <v>213.71282570043624</v>
      </c>
      <c r="L21" s="13">
        <f t="shared" si="22"/>
        <v>213.71282570043624</v>
      </c>
      <c r="M21" s="13">
        <f t="shared" si="22"/>
        <v>213.71282570043624</v>
      </c>
      <c r="N21" s="13">
        <f t="shared" si="22"/>
        <v>213.71282570043624</v>
      </c>
      <c r="O21" s="13">
        <f t="shared" si="22"/>
        <v>213.71282570043624</v>
      </c>
      <c r="P21" s="13">
        <f t="shared" si="22"/>
        <v>213.71282570043624</v>
      </c>
      <c r="Q21" s="13">
        <f>R21</f>
        <v>213.71282570043624</v>
      </c>
      <c r="R21" s="13">
        <f>'sorties bus'!O70/1.27</f>
        <v>213.71282570043624</v>
      </c>
      <c r="S21" s="13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CQ21" s="41"/>
    </row>
    <row r="22" spans="1:95">
      <c r="A22" s="25" t="s">
        <v>334</v>
      </c>
      <c r="B22" s="25"/>
      <c r="C22" s="25"/>
      <c r="D22" s="13">
        <f t="shared" si="22"/>
        <v>393.35058794829109</v>
      </c>
      <c r="E22" s="13">
        <f t="shared" si="22"/>
        <v>393.35058794829109</v>
      </c>
      <c r="F22" s="13">
        <f t="shared" si="22"/>
        <v>393.35058794829109</v>
      </c>
      <c r="G22" s="13">
        <f t="shared" si="22"/>
        <v>393.35058794829109</v>
      </c>
      <c r="H22" s="13">
        <f t="shared" si="22"/>
        <v>393.35058794829109</v>
      </c>
      <c r="I22" s="13">
        <f t="shared" si="22"/>
        <v>393.35058794829109</v>
      </c>
      <c r="J22" s="13">
        <f t="shared" si="22"/>
        <v>393.35058794829109</v>
      </c>
      <c r="K22" s="13">
        <f t="shared" si="22"/>
        <v>393.35058794829109</v>
      </c>
      <c r="L22" s="13">
        <f t="shared" si="22"/>
        <v>393.35058794829109</v>
      </c>
      <c r="M22" s="13">
        <f t="shared" si="22"/>
        <v>393.35058794829109</v>
      </c>
      <c r="N22" s="13">
        <f t="shared" si="22"/>
        <v>393.35058794829109</v>
      </c>
      <c r="O22" s="13">
        <f t="shared" si="22"/>
        <v>393.35058794829109</v>
      </c>
      <c r="P22" s="13">
        <f t="shared" si="22"/>
        <v>393.35058794829109</v>
      </c>
      <c r="Q22" s="13">
        <f t="shared" ref="Q22:Q23" si="23">R22</f>
        <v>393.35058794829109</v>
      </c>
      <c r="R22" s="13">
        <f>'sorties bus'!O71/1.27</f>
        <v>393.35058794829109</v>
      </c>
      <c r="S22" s="13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CQ22" s="41"/>
    </row>
    <row r="23" spans="1:95">
      <c r="A23" s="25" t="s">
        <v>335</v>
      </c>
      <c r="B23" s="25"/>
      <c r="C23" s="25"/>
      <c r="D23" s="13">
        <f t="shared" si="22"/>
        <v>245.19320908230739</v>
      </c>
      <c r="E23" s="13">
        <f t="shared" si="22"/>
        <v>245.19320908230739</v>
      </c>
      <c r="F23" s="13">
        <f t="shared" si="22"/>
        <v>245.19320908230739</v>
      </c>
      <c r="G23" s="13">
        <f t="shared" si="22"/>
        <v>245.19320908230739</v>
      </c>
      <c r="H23" s="13">
        <f t="shared" si="22"/>
        <v>245.19320908230739</v>
      </c>
      <c r="I23" s="13">
        <f t="shared" si="22"/>
        <v>245.19320908230739</v>
      </c>
      <c r="J23" s="13">
        <f t="shared" si="22"/>
        <v>245.19320908230739</v>
      </c>
      <c r="K23" s="13">
        <f t="shared" si="22"/>
        <v>245.19320908230739</v>
      </c>
      <c r="L23" s="13">
        <f t="shared" si="22"/>
        <v>245.19320908230739</v>
      </c>
      <c r="M23" s="13">
        <f t="shared" si="22"/>
        <v>245.19320908230739</v>
      </c>
      <c r="N23" s="13">
        <f t="shared" si="22"/>
        <v>245.19320908230739</v>
      </c>
      <c r="O23" s="13">
        <f t="shared" si="22"/>
        <v>245.19320908230739</v>
      </c>
      <c r="P23" s="13">
        <f t="shared" si="22"/>
        <v>245.19320908230739</v>
      </c>
      <c r="Q23" s="13">
        <f t="shared" si="23"/>
        <v>245.19320908230739</v>
      </c>
      <c r="R23" s="13">
        <f>'sorties bus'!O72/1.27</f>
        <v>245.19320908230739</v>
      </c>
      <c r="S23" s="13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CQ23" s="41"/>
    </row>
    <row r="24" spans="1:95">
      <c r="A24" s="25" t="s">
        <v>336</v>
      </c>
      <c r="B24" s="25"/>
      <c r="C24" s="25"/>
      <c r="D24" s="4">
        <f t="shared" ref="D24:Q24" si="24">SUM(D25:D27)</f>
        <v>1605.1040894400003</v>
      </c>
      <c r="E24" s="4">
        <f t="shared" si="24"/>
        <v>1610.3078877299999</v>
      </c>
      <c r="F24" s="4">
        <f t="shared" si="24"/>
        <v>1609.1837970300001</v>
      </c>
      <c r="G24" s="4">
        <f t="shared" si="24"/>
        <v>1606.2625792000001</v>
      </c>
      <c r="H24" s="4">
        <f t="shared" si="24"/>
        <v>1624.5926667900001</v>
      </c>
      <c r="I24" s="4">
        <f t="shared" si="24"/>
        <v>1643.61489183</v>
      </c>
      <c r="J24" s="4">
        <f t="shared" si="24"/>
        <v>1652.3892784600002</v>
      </c>
      <c r="K24" s="4">
        <f t="shared" si="24"/>
        <v>1662.0995865299999</v>
      </c>
      <c r="L24" s="4">
        <f t="shared" si="24"/>
        <v>1682.1944572</v>
      </c>
      <c r="M24" s="4">
        <f t="shared" si="24"/>
        <v>1678.0493866999998</v>
      </c>
      <c r="N24" s="4">
        <f t="shared" si="24"/>
        <v>1700.3274938000002</v>
      </c>
      <c r="O24" s="4">
        <f t="shared" si="24"/>
        <v>1725.7310359000001</v>
      </c>
      <c r="P24" s="4">
        <f t="shared" si="24"/>
        <v>1747.6763165</v>
      </c>
      <c r="Q24" s="4">
        <f t="shared" si="24"/>
        <v>1779.9217543000002</v>
      </c>
      <c r="R24" s="4">
        <f>SUM(R25:R27)</f>
        <v>1784.8602473999999</v>
      </c>
      <c r="S24" s="27">
        <f>R24-SUM(R25:R27)</f>
        <v>0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CQ24" s="41"/>
    </row>
    <row r="25" spans="1:95">
      <c r="A25" s="25" t="s">
        <v>337</v>
      </c>
      <c r="B25" s="25"/>
      <c r="C25" s="25"/>
      <c r="D25" s="4">
        <f>résultats!D42</f>
        <v>1399.1041070000001</v>
      </c>
      <c r="E25" s="4">
        <f>résultats!E42</f>
        <v>1395.6728889999999</v>
      </c>
      <c r="F25" s="4">
        <f>résultats!F42</f>
        <v>1395.1597260000001</v>
      </c>
      <c r="G25" s="4">
        <f>résultats!G42</f>
        <v>1398.388731</v>
      </c>
      <c r="H25" s="4">
        <f>résultats!H42</f>
        <v>1406.7857280000001</v>
      </c>
      <c r="I25" s="4">
        <f>résultats!I42</f>
        <v>1420.5465220000001</v>
      </c>
      <c r="J25" s="4">
        <f>résultats!J42</f>
        <v>1426.8779810000001</v>
      </c>
      <c r="K25" s="4">
        <f>résultats!K42</f>
        <v>1430.551089</v>
      </c>
      <c r="L25" s="4">
        <f>résultats!L42</f>
        <v>1444.938508</v>
      </c>
      <c r="M25" s="4">
        <f>résultats!M42</f>
        <v>1436.3637389999999</v>
      </c>
      <c r="N25" s="4">
        <f>résultats!N42</f>
        <v>1456.2506880000001</v>
      </c>
      <c r="O25" s="4">
        <f>résultats!O42</f>
        <v>1470.4000820000001</v>
      </c>
      <c r="P25" s="4">
        <f>résultats!P42</f>
        <v>1489.5311839999999</v>
      </c>
      <c r="Q25" s="4">
        <f>résultats!Q42</f>
        <v>1505.728597</v>
      </c>
      <c r="R25" s="4">
        <f>résultats!R42</f>
        <v>1487.3667419999999</v>
      </c>
      <c r="S25" s="27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CQ25" s="41"/>
    </row>
    <row r="26" spans="1:95">
      <c r="A26" s="25" t="s">
        <v>338</v>
      </c>
      <c r="B26" s="25"/>
      <c r="C26" s="25"/>
      <c r="D26" s="4">
        <f>résultats!D43</f>
        <v>142.99998640000001</v>
      </c>
      <c r="E26" s="4">
        <f>résultats!E43</f>
        <v>146.24873120000001</v>
      </c>
      <c r="F26" s="4">
        <f>résultats!F43</f>
        <v>142.0124768</v>
      </c>
      <c r="G26" s="4">
        <f>résultats!G43</f>
        <v>133.21869330000001</v>
      </c>
      <c r="H26" s="4">
        <f>résultats!H43</f>
        <v>137.1761726</v>
      </c>
      <c r="I26" s="4">
        <f>résultats!I43</f>
        <v>137.158007</v>
      </c>
      <c r="J26" s="4">
        <f>résultats!J43</f>
        <v>135.02188609999999</v>
      </c>
      <c r="K26" s="4">
        <f>résultats!K43</f>
        <v>135.8193029</v>
      </c>
      <c r="L26" s="4">
        <f>résultats!L43</f>
        <v>135.90658450000001</v>
      </c>
      <c r="M26" s="4">
        <f>résultats!M43</f>
        <v>135.80798239999999</v>
      </c>
      <c r="N26" s="4">
        <f>résultats!N43</f>
        <v>138.5645724</v>
      </c>
      <c r="O26" s="4">
        <f>résultats!O43</f>
        <v>145.27073429999999</v>
      </c>
      <c r="P26" s="4">
        <f>résultats!P43</f>
        <v>144.5908866</v>
      </c>
      <c r="Q26" s="4">
        <f>résultats!Q43</f>
        <v>149.74024170000001</v>
      </c>
      <c r="R26" s="4">
        <f>résultats!R43</f>
        <v>149.79564769999999</v>
      </c>
      <c r="S26" s="27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CQ26" s="41"/>
    </row>
    <row r="27" spans="1:95">
      <c r="A27" s="25" t="s">
        <v>339</v>
      </c>
      <c r="B27" s="25"/>
      <c r="C27" s="25"/>
      <c r="D27" s="4">
        <f>résultats!D44</f>
        <v>62.999996039999999</v>
      </c>
      <c r="E27" s="4">
        <f>résultats!E44</f>
        <v>68.386267529999998</v>
      </c>
      <c r="F27" s="4">
        <f>résultats!F44</f>
        <v>72.01159423</v>
      </c>
      <c r="G27" s="4">
        <f>résultats!G44</f>
        <v>74.655154899999999</v>
      </c>
      <c r="H27" s="4">
        <f>résultats!H44</f>
        <v>80.630766190000003</v>
      </c>
      <c r="I27" s="4">
        <f>résultats!I44</f>
        <v>85.910362829999997</v>
      </c>
      <c r="J27" s="4">
        <f>résultats!J44</f>
        <v>90.489411360000005</v>
      </c>
      <c r="K27" s="4">
        <f>résultats!K44</f>
        <v>95.729194629999995</v>
      </c>
      <c r="L27" s="4">
        <f>résultats!L44</f>
        <v>101.3493647</v>
      </c>
      <c r="M27" s="4">
        <f>résultats!M44</f>
        <v>105.8776653</v>
      </c>
      <c r="N27" s="4">
        <f>résultats!N44</f>
        <v>105.5122334</v>
      </c>
      <c r="O27" s="4">
        <f>résultats!O44</f>
        <v>110.0602196</v>
      </c>
      <c r="P27" s="4">
        <f>résultats!P44</f>
        <v>113.5542459</v>
      </c>
      <c r="Q27" s="4">
        <f>résultats!Q44</f>
        <v>124.4529156</v>
      </c>
      <c r="R27" s="4">
        <f>résultats!R44</f>
        <v>147.69785769999999</v>
      </c>
      <c r="S27" s="27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CQ27" s="41"/>
    </row>
    <row r="28" spans="1:95">
      <c r="A28" s="25" t="s">
        <v>288</v>
      </c>
      <c r="B28" s="25"/>
      <c r="C28" s="25"/>
      <c r="D28" s="4">
        <f>résultats!D59</f>
        <v>25688.370599999998</v>
      </c>
      <c r="E28" s="4">
        <f>résultats!E59</f>
        <v>25849.027590000002</v>
      </c>
      <c r="F28" s="4">
        <f>résultats!F59</f>
        <v>26077.5268</v>
      </c>
      <c r="G28" s="4">
        <f>résultats!G59</f>
        <v>26252.676009999999</v>
      </c>
      <c r="H28" s="4">
        <f>résultats!H59</f>
        <v>26515.370439999999</v>
      </c>
      <c r="I28" s="4">
        <f>résultats!I59</f>
        <v>26905.835599999999</v>
      </c>
      <c r="J28" s="4">
        <f>résultats!J59</f>
        <v>27182.044259999999</v>
      </c>
      <c r="K28" s="4">
        <f>résultats!K59</f>
        <v>27448.531879999999</v>
      </c>
      <c r="L28" s="4">
        <f>résultats!L59</f>
        <v>27852.99641</v>
      </c>
      <c r="M28" s="4">
        <f>résultats!M59</f>
        <v>28019.964609999999</v>
      </c>
      <c r="N28" s="4">
        <f>résultats!N59</f>
        <v>28433.957119999999</v>
      </c>
      <c r="O28" s="4">
        <f>résultats!O59</f>
        <v>28856.385190000001</v>
      </c>
      <c r="P28" s="4">
        <f>résultats!P59</f>
        <v>29367.43622</v>
      </c>
      <c r="Q28" s="4">
        <f>résultats!Q59</f>
        <v>29930.410759999999</v>
      </c>
      <c r="R28" s="4">
        <f>résultats!R59</f>
        <v>30123.822219999998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CQ28" s="41"/>
    </row>
    <row r="29" spans="1:95">
      <c r="A29" s="25" t="s">
        <v>313</v>
      </c>
      <c r="B29" s="25"/>
      <c r="C29" s="25"/>
      <c r="D29" s="4">
        <f>résultats!D63</f>
        <v>17203.998350000002</v>
      </c>
      <c r="E29" s="4">
        <f>résultats!E63</f>
        <v>17597.073810000002</v>
      </c>
      <c r="F29" s="4">
        <f>résultats!F63</f>
        <v>17084.41576</v>
      </c>
      <c r="G29" s="4">
        <f>résultats!G63</f>
        <v>16020.13</v>
      </c>
      <c r="H29" s="4">
        <f>résultats!H63</f>
        <v>16498.12816</v>
      </c>
      <c r="I29" s="4">
        <f>résultats!I63</f>
        <v>16494.77881</v>
      </c>
      <c r="J29" s="4">
        <f>résultats!J63</f>
        <v>16235.711600000001</v>
      </c>
      <c r="K29" s="4">
        <f>résultats!K63</f>
        <v>16331.725479999999</v>
      </c>
      <c r="L29" s="4">
        <f>résultats!L63</f>
        <v>16341.07761</v>
      </c>
      <c r="M29" s="4">
        <f>résultats!M63</f>
        <v>16329.542820000001</v>
      </c>
      <c r="N29" s="4">
        <f>résultats!N63</f>
        <v>16651.571100000001</v>
      </c>
      <c r="O29" s="4">
        <f>résultats!O63</f>
        <v>17450.344059999999</v>
      </c>
      <c r="P29" s="4">
        <f>résultats!P63</f>
        <v>17356.402190000001</v>
      </c>
      <c r="Q29" s="4">
        <f>résultats!Q63</f>
        <v>17913.286990000001</v>
      </c>
      <c r="R29" s="4">
        <f>résultats!R63</f>
        <v>17888.599900000001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CQ29" s="41"/>
    </row>
    <row r="30" spans="1:95">
      <c r="A30" s="25" t="s">
        <v>340</v>
      </c>
      <c r="B30" s="25"/>
      <c r="C30" s="25"/>
      <c r="D30" s="42">
        <f>1-D31-D32</f>
        <v>0.98362242874987105</v>
      </c>
      <c r="E30" s="42">
        <f>D30+($M30-$D30)/(2015-2006)</f>
        <v>0.98162992842836527</v>
      </c>
      <c r="F30" s="42">
        <f t="shared" ref="F30:L30" si="25">E30+($M30-$D30)/(2015-2006)</f>
        <v>0.9796374281068595</v>
      </c>
      <c r="G30" s="42">
        <f t="shared" si="25"/>
        <v>0.97764492778535372</v>
      </c>
      <c r="H30" s="42">
        <f t="shared" si="25"/>
        <v>0.97565242746384795</v>
      </c>
      <c r="I30" s="42">
        <f t="shared" si="25"/>
        <v>0.97365992714234217</v>
      </c>
      <c r="J30" s="42">
        <f t="shared" si="25"/>
        <v>0.9716674268208364</v>
      </c>
      <c r="K30" s="42">
        <f t="shared" si="25"/>
        <v>0.96967492649933062</v>
      </c>
      <c r="L30" s="42">
        <f t="shared" si="25"/>
        <v>0.96768242617782485</v>
      </c>
      <c r="M30" s="42">
        <f t="shared" ref="M30:P32" si="26">M3/M$2</f>
        <v>0.96568992585631941</v>
      </c>
      <c r="N30" s="42">
        <f t="shared" si="26"/>
        <v>0.96606393685472292</v>
      </c>
      <c r="O30" s="42">
        <f t="shared" si="26"/>
        <v>0.96471088435374153</v>
      </c>
      <c r="P30" s="42">
        <f t="shared" si="26"/>
        <v>0.96326148078725393</v>
      </c>
      <c r="Q30" s="42">
        <f t="shared" ref="Q30" si="27">Q3/Q$2</f>
        <v>0.9573019332314131</v>
      </c>
      <c r="R30" s="42">
        <f>R3/R$2</f>
        <v>0.94680725032579083</v>
      </c>
      <c r="S30" s="4">
        <f>R3/R2-R30</f>
        <v>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CQ30" s="41"/>
    </row>
    <row r="31" spans="1:95">
      <c r="A31" s="25" t="s">
        <v>341</v>
      </c>
      <c r="B31" s="25"/>
      <c r="C31" s="25"/>
      <c r="D31" s="42">
        <f>M31</f>
        <v>4.3775712501289204E-3</v>
      </c>
      <c r="E31" s="42">
        <f t="shared" ref="E31:L32" si="28">D31+($M31-$D31)/(2015-2006)</f>
        <v>4.3775712501289204E-3</v>
      </c>
      <c r="F31" s="42">
        <f t="shared" si="28"/>
        <v>4.3775712501289204E-3</v>
      </c>
      <c r="G31" s="42">
        <f t="shared" si="28"/>
        <v>4.3775712501289204E-3</v>
      </c>
      <c r="H31" s="42">
        <f t="shared" si="28"/>
        <v>4.3775712501289204E-3</v>
      </c>
      <c r="I31" s="42">
        <f t="shared" si="28"/>
        <v>4.3775712501289204E-3</v>
      </c>
      <c r="J31" s="42">
        <f t="shared" si="28"/>
        <v>4.3775712501289204E-3</v>
      </c>
      <c r="K31" s="42">
        <f t="shared" si="28"/>
        <v>4.3775712501289204E-3</v>
      </c>
      <c r="L31" s="42">
        <f t="shared" si="28"/>
        <v>4.3775712501289204E-3</v>
      </c>
      <c r="M31" s="42">
        <f t="shared" si="26"/>
        <v>4.3775712501289204E-3</v>
      </c>
      <c r="N31" s="42">
        <f t="shared" si="26"/>
        <v>4.8173151948977169E-3</v>
      </c>
      <c r="O31" s="42">
        <f t="shared" si="26"/>
        <v>5.3034371643394199E-3</v>
      </c>
      <c r="P31" s="42">
        <f t="shared" si="26"/>
        <v>5.7224764319973535E-3</v>
      </c>
      <c r="Q31" s="42">
        <f t="shared" ref="Q31" si="29">Q4/Q$2</f>
        <v>8.3813117349206857E-3</v>
      </c>
      <c r="R31" s="42">
        <f t="shared" ref="R31:R32" si="30">R4/R$2</f>
        <v>9.7037188614016012E-3</v>
      </c>
      <c r="S31" s="4">
        <f>R4/R2-R31</f>
        <v>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CQ31" s="41"/>
    </row>
    <row r="32" spans="1:95">
      <c r="A32" s="25" t="s">
        <v>342</v>
      </c>
      <c r="B32" s="25"/>
      <c r="C32" s="25"/>
      <c r="D32" s="42">
        <f>0.012</f>
        <v>1.2E-2</v>
      </c>
      <c r="E32" s="42">
        <f t="shared" si="28"/>
        <v>1.3992500321505742E-2</v>
      </c>
      <c r="F32" s="42">
        <f t="shared" si="28"/>
        <v>1.5985000643011484E-2</v>
      </c>
      <c r="G32" s="42">
        <f t="shared" si="28"/>
        <v>1.7977500964517223E-2</v>
      </c>
      <c r="H32" s="42">
        <f t="shared" si="28"/>
        <v>1.9970001286022963E-2</v>
      </c>
      <c r="I32" s="42">
        <f t="shared" si="28"/>
        <v>2.1962501607528703E-2</v>
      </c>
      <c r="J32" s="42">
        <f t="shared" si="28"/>
        <v>2.3955001929034443E-2</v>
      </c>
      <c r="K32" s="42">
        <f t="shared" si="28"/>
        <v>2.5947502250540183E-2</v>
      </c>
      <c r="L32" s="42">
        <f t="shared" si="28"/>
        <v>2.7940002572045923E-2</v>
      </c>
      <c r="M32" s="42">
        <f t="shared" si="26"/>
        <v>2.9932502893551677E-2</v>
      </c>
      <c r="N32" s="42">
        <f t="shared" si="26"/>
        <v>2.911874795037939E-2</v>
      </c>
      <c r="O32" s="42">
        <f t="shared" si="26"/>
        <v>2.9985678481919083E-2</v>
      </c>
      <c r="P32" s="42">
        <f t="shared" si="26"/>
        <v>3.1016042780748664E-2</v>
      </c>
      <c r="Q32" s="42">
        <f t="shared" ref="Q32" si="31">Q5/Q$2</f>
        <v>3.4316755033666199E-2</v>
      </c>
      <c r="R32" s="42">
        <f t="shared" si="30"/>
        <v>4.3489030812807618E-2</v>
      </c>
      <c r="S32" s="4">
        <f>R5/R2-R32</f>
        <v>0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CQ32" s="41"/>
    </row>
    <row r="33" spans="1:96">
      <c r="A33" s="25" t="s">
        <v>343</v>
      </c>
      <c r="B33" s="25"/>
      <c r="C33" s="25"/>
      <c r="D33" s="41">
        <f>[7]Donnees_energie!$D$59</f>
        <v>0.73064388863823404</v>
      </c>
      <c r="E33" s="41">
        <f>résultats!E33</f>
        <v>0.72476181019999997</v>
      </c>
      <c r="F33" s="41">
        <f>résultats!F33</f>
        <v>0.72449532890000001</v>
      </c>
      <c r="G33" s="41">
        <f>résultats!G33</f>
        <v>0.72617212519999996</v>
      </c>
      <c r="H33" s="41">
        <f>résultats!H33</f>
        <v>0.73053261869999997</v>
      </c>
      <c r="I33" s="41">
        <f>résultats!I33</f>
        <v>0.73767848930000002</v>
      </c>
      <c r="J33" s="41">
        <f>résultats!J33</f>
        <v>0.74096636569999996</v>
      </c>
      <c r="K33" s="41">
        <f>résultats!K33</f>
        <v>0.74287378150000005</v>
      </c>
      <c r="L33" s="41">
        <f>résultats!L33</f>
        <v>0.75034505340000002</v>
      </c>
      <c r="M33" s="41">
        <f>résultats!M33</f>
        <v>0.7458922442</v>
      </c>
      <c r="N33" s="41">
        <f>résultats!N33</f>
        <v>0.75621937829999997</v>
      </c>
      <c r="O33" s="41">
        <f>résultats!O33</f>
        <v>0.76356704580000001</v>
      </c>
      <c r="P33" s="41">
        <f>résultats!P33</f>
        <v>0.77350167489999999</v>
      </c>
      <c r="Q33" s="41">
        <f>résultats!Q33</f>
        <v>0.78191286230000001</v>
      </c>
      <c r="R33" s="41">
        <f>résultats!R33</f>
        <v>0.77237769720000005</v>
      </c>
      <c r="S33" s="27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CQ33" s="41"/>
    </row>
    <row r="34" spans="1:96">
      <c r="A34" s="25" t="s">
        <v>344</v>
      </c>
      <c r="B34" s="25"/>
      <c r="C34" s="25"/>
      <c r="D34" s="41">
        <f>[7]Donnees_energie!$E$59</f>
        <v>0.28277926666666664</v>
      </c>
      <c r="E34" s="41">
        <f>résultats!E34</f>
        <v>0.28920355910000001</v>
      </c>
      <c r="F34" s="41">
        <f>résultats!F34</f>
        <v>0.28082646179999998</v>
      </c>
      <c r="G34" s="41">
        <f>résultats!G34</f>
        <v>0.26343695379999998</v>
      </c>
      <c r="H34" s="41">
        <f>résultats!H34</f>
        <v>0.2712627796</v>
      </c>
      <c r="I34" s="41">
        <f>résultats!I34</f>
        <v>0.27122685759999998</v>
      </c>
      <c r="J34" s="41">
        <f>résultats!J34</f>
        <v>0.26700272689999999</v>
      </c>
      <c r="K34" s="41">
        <f>résultats!K34</f>
        <v>0.26857960040000001</v>
      </c>
      <c r="L34" s="41">
        <f>résultats!L34</f>
        <v>0.268752198</v>
      </c>
      <c r="M34" s="41">
        <f>résultats!M34</f>
        <v>0.26855721459999998</v>
      </c>
      <c r="N34" s="41">
        <f>résultats!N34</f>
        <v>0.27400830879999999</v>
      </c>
      <c r="O34" s="41">
        <f>résultats!O34</f>
        <v>0.2872695924</v>
      </c>
      <c r="P34" s="41">
        <f>résultats!P34</f>
        <v>0.28592520900000001</v>
      </c>
      <c r="Q34" s="41">
        <f>résultats!Q34</f>
        <v>0.29610794229999998</v>
      </c>
      <c r="R34" s="41">
        <f>résultats!R34</f>
        <v>0.2962175064</v>
      </c>
      <c r="S34" s="27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CQ34" s="41"/>
    </row>
    <row r="35" spans="1:96">
      <c r="A35" s="25" t="s">
        <v>345</v>
      </c>
      <c r="B35" s="25"/>
      <c r="C35" s="25"/>
      <c r="D35" s="41">
        <f>[7]Donnees_energie!$F$59</f>
        <v>2.5772335197583537E-2</v>
      </c>
      <c r="E35" s="41">
        <f>résultats!E35</f>
        <v>2.7975774799999999E-2</v>
      </c>
      <c r="F35" s="41">
        <f>résultats!F35</f>
        <v>2.9458840399999998E-2</v>
      </c>
      <c r="G35" s="41">
        <f>résultats!G35</f>
        <v>3.0540280600000001E-2</v>
      </c>
      <c r="H35" s="41">
        <f>résultats!H35</f>
        <v>3.2984811599999997E-2</v>
      </c>
      <c r="I35" s="41">
        <f>résultats!I35</f>
        <v>3.5144613800000002E-2</v>
      </c>
      <c r="J35" s="41">
        <f>résultats!J35</f>
        <v>3.7017832399999999E-2</v>
      </c>
      <c r="K35" s="41">
        <f>résultats!K35</f>
        <v>3.9161347499999999E-2</v>
      </c>
      <c r="L35" s="41">
        <f>résultats!L35</f>
        <v>4.1460472999999998E-2</v>
      </c>
      <c r="M35" s="41">
        <f>résultats!M35</f>
        <v>4.3312931399999997E-2</v>
      </c>
      <c r="N35" s="41">
        <f>résultats!N35</f>
        <v>4.3163438800000002E-2</v>
      </c>
      <c r="O35" s="41">
        <f>résultats!O35</f>
        <v>4.5023950299999997E-2</v>
      </c>
      <c r="P35" s="41">
        <f>résultats!P35</f>
        <v>4.6453303000000001E-2</v>
      </c>
      <c r="Q35" s="41">
        <f>résultats!Q35</f>
        <v>5.0911781900000001E-2</v>
      </c>
      <c r="R35" s="41">
        <f>résultats!R35</f>
        <v>6.04209317E-2</v>
      </c>
      <c r="S35" s="27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CQ35" s="41"/>
    </row>
    <row r="36" spans="1:96">
      <c r="A36" s="25" t="s">
        <v>424</v>
      </c>
      <c r="B36" s="25"/>
      <c r="C36" s="25"/>
      <c r="D36">
        <v>5.1812437278461951E-2</v>
      </c>
      <c r="E36">
        <f>D36</f>
        <v>5.1812437278461951E-2</v>
      </c>
      <c r="F36">
        <f t="shared" ref="F36:R36" si="32">E36</f>
        <v>5.1812437278461951E-2</v>
      </c>
      <c r="G36">
        <f t="shared" si="32"/>
        <v>5.1812437278461951E-2</v>
      </c>
      <c r="H36">
        <f t="shared" si="32"/>
        <v>5.1812437278461951E-2</v>
      </c>
      <c r="I36">
        <f t="shared" si="32"/>
        <v>5.1812437278461951E-2</v>
      </c>
      <c r="J36">
        <f t="shared" si="32"/>
        <v>5.1812437278461951E-2</v>
      </c>
      <c r="K36">
        <f t="shared" si="32"/>
        <v>5.1812437278461951E-2</v>
      </c>
      <c r="L36">
        <f t="shared" si="32"/>
        <v>5.1812437278461951E-2</v>
      </c>
      <c r="M36">
        <f t="shared" si="32"/>
        <v>5.1812437278461951E-2</v>
      </c>
      <c r="N36">
        <f t="shared" si="32"/>
        <v>5.1812437278461951E-2</v>
      </c>
      <c r="O36">
        <f t="shared" si="32"/>
        <v>5.1812437278461951E-2</v>
      </c>
      <c r="P36">
        <f t="shared" si="32"/>
        <v>5.1812437278461951E-2</v>
      </c>
      <c r="Q36">
        <f t="shared" si="32"/>
        <v>5.1812437278461951E-2</v>
      </c>
      <c r="R36">
        <f t="shared" si="32"/>
        <v>5.1812437278461951E-2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96">
      <c r="A37" s="25" t="s">
        <v>423</v>
      </c>
      <c r="B37" s="25"/>
      <c r="C37" s="25"/>
      <c r="D37" s="30">
        <f>SUM(D38:D42)</f>
        <v>1715.683039699956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CR37" s="30" t="e">
        <f>D37-#REF!*D2/1000*(D36+0.016)</f>
        <v>#REF!</v>
      </c>
    </row>
    <row r="38" spans="1:96">
      <c r="A38" s="25" t="s">
        <v>460</v>
      </c>
      <c r="B38" s="25"/>
      <c r="C38" s="25"/>
      <c r="D38" s="30">
        <f>[7]INV_MAT!$R$6</f>
        <v>566.4781437843227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CR38" s="30"/>
    </row>
    <row r="39" spans="1:96">
      <c r="A39" s="25" t="s">
        <v>461</v>
      </c>
      <c r="B39" s="25"/>
      <c r="C39" s="25"/>
      <c r="D39" s="30">
        <v>4.3098615665252027E-2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CR39" s="30"/>
    </row>
    <row r="40" spans="1:96">
      <c r="A40" s="25" t="s">
        <v>462</v>
      </c>
      <c r="B40" s="25"/>
      <c r="C40" s="25"/>
      <c r="D40" s="30">
        <f>[7]INV_MAT!$R$15</f>
        <v>630.12582520051239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CR40" s="30"/>
    </row>
    <row r="41" spans="1:96">
      <c r="A41" s="25" t="s">
        <v>463</v>
      </c>
      <c r="B41" s="25"/>
      <c r="C41" s="25"/>
      <c r="D41">
        <f>[7]INV_MAT!$R$22</f>
        <v>290.35886298430796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CR41" s="30"/>
    </row>
    <row r="42" spans="1:96">
      <c r="A42" s="25" t="s">
        <v>464</v>
      </c>
      <c r="B42" s="25"/>
      <c r="C42" s="25"/>
      <c r="D42" s="30">
        <f>[7]INV_MAT!$R$16</f>
        <v>228.67710911514766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CR42" s="30"/>
    </row>
    <row r="43" spans="1:96">
      <c r="A43" s="25" t="s">
        <v>465</v>
      </c>
      <c r="B43" s="25"/>
      <c r="C43" s="25"/>
      <c r="D43" s="30">
        <f>D3-C3*(1-$D$36)</f>
        <v>5477.583373732341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CR43" s="30"/>
    </row>
    <row r="44" spans="1:96">
      <c r="A44" s="25" t="s">
        <v>466</v>
      </c>
      <c r="B44" s="25"/>
      <c r="C44" s="25"/>
      <c r="D44" s="30">
        <f t="shared" ref="D44:D45" si="33">D4-C4*(1-$D$36)</f>
        <v>24.377759998325985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CR44" s="30"/>
    </row>
    <row r="45" spans="1:96">
      <c r="A45" s="25" t="s">
        <v>467</v>
      </c>
      <c r="B45" s="25"/>
      <c r="C45" s="25"/>
      <c r="D45" s="30">
        <f t="shared" si="33"/>
        <v>66.825438871222673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CR45" s="30"/>
    </row>
    <row r="46" spans="1:96">
      <c r="A46" s="25"/>
      <c r="B46" s="25"/>
      <c r="C46" s="25"/>
      <c r="D46" s="30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CR46" s="30"/>
    </row>
    <row r="48" spans="1:96">
      <c r="D48" s="71">
        <f>SUMPRODUCT(D43:D45,D21:D23)*1000/1000000-D38-D40</f>
        <v>1.8586044916446554E-6</v>
      </c>
      <c r="E48" t="s">
        <v>495</v>
      </c>
    </row>
    <row r="50" spans="4:4">
      <c r="D50">
        <f>1/D36</f>
        <v>19.300385245835418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E5A1-3FDA-4CE5-89EB-CA80FC74F105}">
  <dimension ref="A1:AF44"/>
  <sheetViews>
    <sheetView workbookViewId="0">
      <pane xSplit="1" ySplit="1" topLeftCell="B21" activePane="bottomRight" state="frozen"/>
      <selection pane="topRight" activeCell="P1" sqref="P1"/>
      <selection pane="bottomLeft" activeCell="A2" sqref="A2"/>
      <selection pane="bottomRight" sqref="A1:XFD1"/>
    </sheetView>
  </sheetViews>
  <sheetFormatPr baseColWidth="10" defaultRowHeight="15"/>
  <cols>
    <col min="1" max="1" width="55.140625" customWidth="1"/>
    <col min="2" max="2" width="11.42578125" style="4" bestFit="1" customWidth="1"/>
    <col min="3" max="31" width="10.85546875" style="4"/>
    <col min="32" max="32" width="17.5703125" style="4" bestFit="1" customWidth="1"/>
  </cols>
  <sheetData>
    <row r="1" spans="1:32" s="13" customFormat="1">
      <c r="B1" s="14">
        <v>2023</v>
      </c>
      <c r="C1" s="13">
        <v>2030</v>
      </c>
      <c r="D1" s="14">
        <v>2050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2" s="13" customFormat="1">
      <c r="A2" s="13" t="s">
        <v>76</v>
      </c>
      <c r="B2" s="14">
        <f>[1]PL!$LH$598</f>
        <v>391.68833644964138</v>
      </c>
      <c r="C2" s="14">
        <f>[2]PL!$LR$598</f>
        <v>182.95756537270114</v>
      </c>
      <c r="D2" s="14">
        <f>[2]PL!$ML$598</f>
        <v>136.35940055256327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8"/>
    </row>
    <row r="3" spans="1:32" s="13" customFormat="1">
      <c r="A3" s="13" t="s">
        <v>77</v>
      </c>
      <c r="B3" s="14">
        <f>[1]PL!$LH$578</f>
        <v>251.92100856752154</v>
      </c>
      <c r="C3" s="14">
        <f>[2]PL!$LR$578</f>
        <v>137.28729104456784</v>
      </c>
      <c r="D3" s="14">
        <f>[2]PL!$ML$578</f>
        <v>109.31641689690136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8"/>
    </row>
    <row r="4" spans="1:32" s="13" customFormat="1">
      <c r="A4" s="13" t="s">
        <v>78</v>
      </c>
      <c r="B4" s="14">
        <f>[1]PL!$LH$542</f>
        <v>91.601444544488345</v>
      </c>
      <c r="C4" s="14">
        <f>[2]PL!$LR$542</f>
        <v>91.664884533138178</v>
      </c>
      <c r="D4" s="14">
        <f>[2]PL!$ML$542</f>
        <v>91.664884533138178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8"/>
    </row>
    <row r="5" spans="1:32" s="13" customFormat="1">
      <c r="A5" s="13" t="s">
        <v>80</v>
      </c>
      <c r="B5" s="14">
        <f>SUM([2]PL!$JW$330:$JW$335)/[2]PL!$JW$298</f>
        <v>0.7135510391634392</v>
      </c>
      <c r="C5" s="14">
        <f>SUM([2]PL!$LR$330:$LR$335)/[2]PL!$LR$298</f>
        <v>0.71355103916343932</v>
      </c>
      <c r="D5" s="14">
        <f>SUM([2]PL!$ML$330:$ML$335)/[2]PL!$ML$298</f>
        <v>0.7135510391634392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8"/>
    </row>
    <row r="6" spans="1:32" s="13" customFormat="1">
      <c r="A6" s="13" t="s">
        <v>79</v>
      </c>
      <c r="B6" s="14">
        <f>SUM([1]PL!$LH$324:$LH$328)/[1]PL!$LH$298</f>
        <v>0.286371021269898</v>
      </c>
      <c r="C6" s="14">
        <f>SUM([2]PL!$LR$324:$LR$328)/[2]PL!$LR$298</f>
        <v>0.28644896083656091</v>
      </c>
      <c r="D6" s="14">
        <f>SUM([2]PL!$ML$324:$ML$328)/[2]PL!$ML$298</f>
        <v>0.28644896083656096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8"/>
    </row>
    <row r="7" spans="1:32" s="13" customFormat="1">
      <c r="B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8"/>
    </row>
    <row r="8" spans="1:32" s="13" customFormat="1">
      <c r="B8" s="14"/>
      <c r="D8" s="14"/>
      <c r="E8" s="14"/>
      <c r="F8" s="14"/>
      <c r="G8" s="14"/>
      <c r="H8" s="14"/>
      <c r="I8" s="14"/>
      <c r="J8" s="14"/>
      <c r="K8" s="14"/>
      <c r="L8" s="8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8"/>
    </row>
    <row r="9" spans="1:32" s="13" customFormat="1">
      <c r="A9" s="13" t="s">
        <v>64</v>
      </c>
      <c r="B9" s="33">
        <f>(B2*B5+B3*B6-B4)*1000</f>
        <v>260031.05146017595</v>
      </c>
      <c r="C9" s="33">
        <f>(C2*C5+C3*C6-C4)*1000</f>
        <v>78210.478217148528</v>
      </c>
      <c r="D9" s="33">
        <f>(D2*D5+D3*D6-D4)*1000</f>
        <v>36948.081453340674</v>
      </c>
      <c r="E9" s="14"/>
      <c r="F9" s="14"/>
      <c r="G9" s="14"/>
      <c r="H9" s="14"/>
      <c r="I9" s="14"/>
      <c r="J9" s="14"/>
      <c r="K9" s="14"/>
      <c r="L9" s="8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8"/>
    </row>
    <row r="10" spans="1:32" s="13" customFormat="1">
      <c r="A10" s="13" t="s">
        <v>66</v>
      </c>
      <c r="B10" s="14">
        <v>10</v>
      </c>
      <c r="C10" s="14"/>
      <c r="D10" s="14"/>
      <c r="E10" s="14"/>
      <c r="F10" s="14"/>
      <c r="G10" s="14"/>
      <c r="H10" s="14"/>
      <c r="I10" s="14"/>
      <c r="J10" s="14"/>
      <c r="K10" s="14"/>
      <c r="L10" s="8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s="13" customFormat="1">
      <c r="A11" s="13" t="s">
        <v>65</v>
      </c>
      <c r="B11" s="8">
        <v>2.5000000000000001E-2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s="13" customFormat="1">
      <c r="A12" s="13" t="s">
        <v>67</v>
      </c>
      <c r="B12" s="14">
        <f>[4]PL!$H$20</f>
        <v>41498.442999652114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 spans="1:32" s="13" customFormat="1">
      <c r="A13" s="13" t="s">
        <v>71</v>
      </c>
      <c r="B13" s="14">
        <v>31.5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 s="13" customFormat="1">
      <c r="A14" s="13" t="s">
        <v>70</v>
      </c>
      <c r="B14" s="14">
        <f>[4]PL!$H$53</f>
        <v>144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s="13" customFormat="1">
      <c r="A15" s="13" t="s">
        <v>81</v>
      </c>
      <c r="B15" s="14">
        <f>[4]PL!$H$51-[4]PL!$H$53</f>
        <v>166.05285171935907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 s="13" customFormat="1">
      <c r="A16" s="13" t="s">
        <v>72</v>
      </c>
      <c r="B16" s="14">
        <v>1.6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:32" s="13" customFormat="1">
      <c r="A17" s="13" t="s">
        <v>68</v>
      </c>
      <c r="B17" s="9">
        <v>0.22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 s="13" customFormat="1">
      <c r="A18" s="13" t="s">
        <v>73</v>
      </c>
      <c r="B18" s="9">
        <v>0.03</v>
      </c>
      <c r="C18" s="14"/>
      <c r="D18" s="14"/>
      <c r="E18" s="14"/>
      <c r="F18" s="14"/>
      <c r="G18" s="14"/>
      <c r="H18" s="14"/>
      <c r="I18" s="14"/>
      <c r="J18" s="14"/>
      <c r="K18" s="14"/>
      <c r="L18" s="7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1"/>
    </row>
    <row r="19" spans="1:32" s="13" customFormat="1">
      <c r="A19" s="13" t="s">
        <v>74</v>
      </c>
      <c r="B19" s="9">
        <v>0.01</v>
      </c>
      <c r="C19" s="14"/>
      <c r="D19" s="14"/>
      <c r="E19" s="14"/>
      <c r="F19" s="14"/>
      <c r="G19" s="14"/>
      <c r="H19" s="14"/>
      <c r="I19" s="14"/>
      <c r="J19" s="14"/>
      <c r="K19" s="14"/>
      <c r="L19" s="7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1"/>
    </row>
    <row r="20" spans="1:32" s="13" customFormat="1">
      <c r="A20" s="13" t="s">
        <v>69</v>
      </c>
      <c r="B20" s="14">
        <f>SUM(B26:K26)-SUM(B27:K27)</f>
        <v>93509.673558668088</v>
      </c>
      <c r="C20" s="14">
        <f>SUM(L26:U26)-SUM(L27:U27)</f>
        <v>120854.81571374474</v>
      </c>
      <c r="D20" s="14">
        <f>SUM(V26:AE26)-SUM(V27:AE27)</f>
        <v>146454.45430663036</v>
      </c>
      <c r="E20" s="14"/>
      <c r="F20" s="14"/>
      <c r="G20" s="14"/>
      <c r="H20" s="14"/>
      <c r="I20" s="14"/>
      <c r="J20" s="14"/>
      <c r="K20" s="14"/>
      <c r="L20" s="10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8"/>
    </row>
    <row r="21" spans="1:32" s="13" customFormat="1">
      <c r="A21" s="13" t="s">
        <v>75</v>
      </c>
      <c r="B21" s="14">
        <f>B20-B9</f>
        <v>-166521.37790150786</v>
      </c>
      <c r="C21" s="14">
        <f>C20-C9</f>
        <v>42644.337496596214</v>
      </c>
      <c r="D21" s="14">
        <f t="shared" ref="D21" si="0">D20-D9</f>
        <v>109506.37285328968</v>
      </c>
      <c r="E21" s="14"/>
      <c r="F21" s="14"/>
      <c r="G21" s="14"/>
      <c r="H21" s="14"/>
      <c r="I21" s="14"/>
      <c r="J21" s="14"/>
      <c r="K21" s="14"/>
      <c r="L21" s="10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8"/>
    </row>
    <row r="22" spans="1:32" s="13" customFormat="1">
      <c r="A22" s="13" t="s">
        <v>83</v>
      </c>
      <c r="B22" s="4">
        <f>IF(B21&lt;0,-B21,0)</f>
        <v>166521.37790150786</v>
      </c>
      <c r="C22" s="4">
        <f>IF(C21&lt;0,-C21,0)</f>
        <v>0</v>
      </c>
      <c r="D22" s="4">
        <f>IF(D21&lt;0,-D21,0)</f>
        <v>0</v>
      </c>
      <c r="E22" s="14"/>
      <c r="F22" s="14"/>
      <c r="G22" s="14"/>
      <c r="H22" s="14"/>
      <c r="I22" s="14"/>
      <c r="J22" s="14"/>
      <c r="K22" s="14"/>
      <c r="L22" s="10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8"/>
    </row>
    <row r="23" spans="1:32" s="13" customFormat="1">
      <c r="A23" s="13" t="s">
        <v>82</v>
      </c>
      <c r="B23" s="9">
        <f>B22/(B15*B12/100*B10)</f>
        <v>0.24165281298706268</v>
      </c>
      <c r="C23" s="14"/>
      <c r="D23" s="14"/>
      <c r="E23" s="14"/>
      <c r="F23" s="14"/>
      <c r="G23" s="14"/>
      <c r="H23" s="14"/>
      <c r="I23" s="14"/>
      <c r="J23" s="14"/>
      <c r="K23" s="14"/>
      <c r="L23" s="10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8"/>
    </row>
    <row r="24" spans="1:32">
      <c r="A24" s="13" t="s">
        <v>162</v>
      </c>
      <c r="B24" s="9">
        <f>B22/('sorties PL'!U160*1000)</f>
        <v>0.44144444314722581</v>
      </c>
      <c r="C24" s="9">
        <f>C22/('sorties PL'!AB160*1000)</f>
        <v>0</v>
      </c>
      <c r="D24" s="9">
        <f>D22/('sorties PL'!AV160*1000)</f>
        <v>0</v>
      </c>
      <c r="Q24" s="6"/>
      <c r="R24" s="6"/>
      <c r="S24" s="6"/>
      <c r="T24" s="6"/>
    </row>
    <row r="25" spans="1:32">
      <c r="B25" s="6">
        <v>1</v>
      </c>
      <c r="C25" s="6">
        <f>B25+1</f>
        <v>2</v>
      </c>
      <c r="D25" s="6">
        <f>C25+1</f>
        <v>3</v>
      </c>
      <c r="E25" s="6">
        <f t="shared" ref="E25:P25" si="1">D25+1</f>
        <v>4</v>
      </c>
      <c r="F25" s="6">
        <f t="shared" si="1"/>
        <v>5</v>
      </c>
      <c r="G25" s="6">
        <f t="shared" si="1"/>
        <v>6</v>
      </c>
      <c r="H25" s="6">
        <f t="shared" si="1"/>
        <v>7</v>
      </c>
      <c r="I25" s="6">
        <f t="shared" si="1"/>
        <v>8</v>
      </c>
      <c r="J25" s="6">
        <f t="shared" si="1"/>
        <v>9</v>
      </c>
      <c r="K25" s="6">
        <f t="shared" si="1"/>
        <v>10</v>
      </c>
      <c r="L25" s="6">
        <f t="shared" si="1"/>
        <v>11</v>
      </c>
      <c r="M25" s="6">
        <f t="shared" si="1"/>
        <v>12</v>
      </c>
      <c r="N25" s="6">
        <f t="shared" si="1"/>
        <v>13</v>
      </c>
      <c r="O25" s="6">
        <f t="shared" si="1"/>
        <v>14</v>
      </c>
      <c r="P25" s="6">
        <f t="shared" si="1"/>
        <v>15</v>
      </c>
      <c r="Q25" s="6">
        <f t="shared" ref="Q25" si="2">P25+1</f>
        <v>16</v>
      </c>
      <c r="R25" s="6">
        <f t="shared" ref="R25" si="3">Q25+1</f>
        <v>17</v>
      </c>
      <c r="S25" s="6">
        <f t="shared" ref="S25" si="4">R25+1</f>
        <v>18</v>
      </c>
      <c r="T25" s="6">
        <f t="shared" ref="T25" si="5">S25+1</f>
        <v>19</v>
      </c>
      <c r="U25" s="6">
        <f t="shared" ref="U25" si="6">T25+1</f>
        <v>20</v>
      </c>
      <c r="V25" s="6">
        <f t="shared" ref="V25" si="7">U25+1</f>
        <v>21</v>
      </c>
      <c r="W25" s="6">
        <f t="shared" ref="W25" si="8">V25+1</f>
        <v>22</v>
      </c>
      <c r="X25" s="6">
        <f t="shared" ref="X25" si="9">W25+1</f>
        <v>23</v>
      </c>
      <c r="Y25" s="6">
        <f t="shared" ref="Y25" si="10">X25+1</f>
        <v>24</v>
      </c>
      <c r="Z25" s="6">
        <f t="shared" ref="Z25" si="11">Y25+1</f>
        <v>25</v>
      </c>
      <c r="AA25" s="6">
        <f t="shared" ref="AA25" si="12">Z25+1</f>
        <v>26</v>
      </c>
      <c r="AB25" s="6">
        <f t="shared" ref="AB25" si="13">AA25+1</f>
        <v>27</v>
      </c>
      <c r="AC25" s="6">
        <f t="shared" ref="AC25" si="14">AB25+1</f>
        <v>28</v>
      </c>
      <c r="AD25" s="6">
        <f t="shared" ref="AD25" si="15">AC25+1</f>
        <v>29</v>
      </c>
      <c r="AE25" s="6">
        <f t="shared" ref="AE25" si="16">AD25+1</f>
        <v>30</v>
      </c>
      <c r="AF25" s="6"/>
    </row>
    <row r="26" spans="1:32" ht="19.5" customHeight="1">
      <c r="A26" s="13" t="s">
        <v>84</v>
      </c>
      <c r="B26" s="4">
        <f>($B$13*$B$12/100*$B$16*(1+$B$18)^B25)/(1+$B$11)^B25</f>
        <v>21017.240712175033</v>
      </c>
      <c r="C26" s="4">
        <f>($B$13*$B$12/100*$B$16*(1+$B$18)^C25)/(1+$B$11)^C25</f>
        <v>21119.763837600276</v>
      </c>
      <c r="D26" s="4">
        <f t="shared" ref="D26:P26" si="17">($B$13*$B$12/100*$B$16*(1+$B$18)^D25)/(1+$B$11)^D25</f>
        <v>21222.787075832472</v>
      </c>
      <c r="E26" s="4">
        <f t="shared" si="17"/>
        <v>21326.312866446293</v>
      </c>
      <c r="F26" s="4">
        <f t="shared" si="17"/>
        <v>21430.343660916758</v>
      </c>
      <c r="G26" s="4">
        <f t="shared" si="17"/>
        <v>21534.88192267733</v>
      </c>
      <c r="H26" s="4">
        <f t="shared" si="17"/>
        <v>21639.930127178199</v>
      </c>
      <c r="I26" s="4">
        <f t="shared" si="17"/>
        <v>21745.490761944919</v>
      </c>
      <c r="J26" s="4">
        <f t="shared" si="17"/>
        <v>21851.566326637338</v>
      </c>
      <c r="K26" s="4">
        <f t="shared" si="17"/>
        <v>21958.159333108739</v>
      </c>
      <c r="L26" s="4">
        <f t="shared" si="17"/>
        <v>22065.272305465369</v>
      </c>
      <c r="M26" s="4">
        <f t="shared" si="17"/>
        <v>22172.907780126174</v>
      </c>
      <c r="N26" s="4">
        <f t="shared" si="17"/>
        <v>22281.068305882887</v>
      </c>
      <c r="O26" s="4">
        <f t="shared" si="17"/>
        <v>22389.75644396037</v>
      </c>
      <c r="P26" s="4">
        <f t="shared" si="17"/>
        <v>22498.974768077249</v>
      </c>
      <c r="Q26" s="4">
        <f t="shared" ref="Q26:AE26" si="18">($B$13*$B$12/100*$B$16*(1+$B$18)^Q25)/(1+$B$11)^Q25</f>
        <v>22608.725864506894</v>
      </c>
      <c r="R26" s="4">
        <f t="shared" si="18"/>
        <v>22719.012332138635</v>
      </c>
      <c r="S26" s="4">
        <f t="shared" si="18"/>
        <v>22829.836782539311</v>
      </c>
      <c r="T26" s="4">
        <f t="shared" si="18"/>
        <v>22941.20184001511</v>
      </c>
      <c r="U26" s="4">
        <f t="shared" si="18"/>
        <v>23053.110141673726</v>
      </c>
      <c r="V26" s="4">
        <f t="shared" si="18"/>
        <v>23165.564337486769</v>
      </c>
      <c r="W26" s="4">
        <f t="shared" si="18"/>
        <v>23278.567090352561</v>
      </c>
      <c r="X26" s="4">
        <f t="shared" si="18"/>
        <v>23392.121076159157</v>
      </c>
      <c r="Y26" s="4">
        <f t="shared" si="18"/>
        <v>23506.228983847737</v>
      </c>
      <c r="Z26" s="4">
        <f t="shared" si="18"/>
        <v>23620.893515476266</v>
      </c>
      <c r="AA26" s="4">
        <f t="shared" si="18"/>
        <v>23736.117386283469</v>
      </c>
      <c r="AB26" s="4">
        <f t="shared" si="18"/>
        <v>23851.903324753144</v>
      </c>
      <c r="AC26" s="4">
        <f t="shared" si="18"/>
        <v>23968.25407267877</v>
      </c>
      <c r="AD26" s="4">
        <f t="shared" si="18"/>
        <v>24085.172385228419</v>
      </c>
      <c r="AE26" s="4">
        <f t="shared" si="18"/>
        <v>24202.661031010026</v>
      </c>
    </row>
    <row r="27" spans="1:32" ht="19.5" customHeight="1">
      <c r="A27" s="13" t="s">
        <v>85</v>
      </c>
      <c r="B27" s="4">
        <f>($B$14*$B$12/100*$B$17*(1+$B$19)^B25)/(1+$B$11)^B25</f>
        <v>12954.31591191482</v>
      </c>
      <c r="C27" s="4">
        <f t="shared" ref="C27:P27" si="19">($B$14*$B$12/100*$B$17*(1+$B$19)^C25)/(1+$B$11)^C25</f>
        <v>12764.74055710631</v>
      </c>
      <c r="D27" s="4">
        <f t="shared" si="19"/>
        <v>12577.939475782801</v>
      </c>
      <c r="E27" s="4">
        <f t="shared" si="19"/>
        <v>12393.87206882013</v>
      </c>
      <c r="F27" s="4">
        <f t="shared" si="19"/>
        <v>12212.49833122764</v>
      </c>
      <c r="G27" s="4">
        <f t="shared" si="19"/>
        <v>12033.77884345358</v>
      </c>
      <c r="H27" s="4">
        <f t="shared" si="19"/>
        <v>11857.674762817671</v>
      </c>
      <c r="I27" s="4">
        <f t="shared" si="19"/>
        <v>11684.147815069124</v>
      </c>
      <c r="J27" s="4">
        <f t="shared" si="19"/>
        <v>11513.160286068114</v>
      </c>
      <c r="K27" s="4">
        <f t="shared" si="19"/>
        <v>11344.675013589069</v>
      </c>
      <c r="L27" s="4">
        <f t="shared" si="19"/>
        <v>11178.655379243861</v>
      </c>
      <c r="M27" s="4">
        <f t="shared" si="19"/>
        <v>11015.065300523222</v>
      </c>
      <c r="N27" s="4">
        <f t="shared" si="19"/>
        <v>10853.869222954589</v>
      </c>
      <c r="O27" s="4">
        <f t="shared" si="19"/>
        <v>10695.032112374769</v>
      </c>
      <c r="P27" s="4">
        <f t="shared" si="19"/>
        <v>10538.519447315621</v>
      </c>
      <c r="Q27" s="4">
        <f t="shared" ref="Q27:AE27" si="20">($B$14*$B$12/100*$B$17*(1+$B$19)^Q25)/(1+$B$11)^Q25</f>
        <v>10384.297211501251</v>
      </c>
      <c r="R27" s="4">
        <f t="shared" si="20"/>
        <v>10232.331886454893</v>
      </c>
      <c r="S27" s="4">
        <f t="shared" si="20"/>
        <v>10082.590444214089</v>
      </c>
      <c r="T27" s="4">
        <f t="shared" si="20"/>
        <v>9935.0403401524163</v>
      </c>
      <c r="U27" s="4">
        <f t="shared" si="20"/>
        <v>9789.6495059062854</v>
      </c>
      <c r="V27" s="4">
        <f t="shared" si="20"/>
        <v>9646.3863424052179</v>
      </c>
      <c r="W27" s="4">
        <f t="shared" si="20"/>
        <v>9505.2197130041677</v>
      </c>
      <c r="X27" s="4">
        <f t="shared" si="20"/>
        <v>9366.1189367163006</v>
      </c>
      <c r="Y27" s="4">
        <f t="shared" si="20"/>
        <v>9229.0537815448442</v>
      </c>
      <c r="Z27" s="4">
        <f t="shared" si="20"/>
        <v>9093.994457912484</v>
      </c>
      <c r="AA27" s="4">
        <f t="shared" si="20"/>
        <v>8960.9116121869374</v>
      </c>
      <c r="AB27" s="4">
        <f t="shared" si="20"/>
        <v>8829.776320301271</v>
      </c>
      <c r="AC27" s="4">
        <f t="shared" si="20"/>
        <v>8700.5600814675945</v>
      </c>
      <c r="AD27" s="4">
        <f t="shared" si="20"/>
        <v>8573.2348119827038</v>
      </c>
      <c r="AE27" s="4">
        <f t="shared" si="20"/>
        <v>8447.7728391244236</v>
      </c>
    </row>
    <row r="28" spans="1:32" ht="19.5" customHeight="1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9.5" customHeight="1">
      <c r="A29" s="13" t="s">
        <v>109</v>
      </c>
      <c r="B29" s="19">
        <f>-(('sorties PL'!AV117/'sorties PL'!U117)^(1/(2050-2023))-1)*(résultats!U2-résultats!U4)/résultats!U2</f>
        <v>1.5328143414314449E-3</v>
      </c>
    </row>
    <row r="30" spans="1:32" ht="19.5" customHeight="1">
      <c r="A30" s="13"/>
    </row>
    <row r="31" spans="1:32" ht="19.5" customHeight="1">
      <c r="A31" s="13" t="s">
        <v>453</v>
      </c>
      <c r="B31" s="41">
        <f>0.65*B9/('sorties PL'!R160*1000)</f>
        <v>0.48067281997415956</v>
      </c>
      <c r="C31" s="41">
        <f>0.65*C9/('sorties PL'!AB160*1000)</f>
        <v>0.26233852389976575</v>
      </c>
      <c r="D31" s="41">
        <f>0.65*D9/('sorties PL'!AV160*1000)</f>
        <v>0.14960314291310517</v>
      </c>
      <c r="E31"/>
      <c r="F31"/>
      <c r="G31"/>
      <c r="H31"/>
      <c r="I31"/>
      <c r="J31"/>
      <c r="K31"/>
      <c r="L31"/>
      <c r="M31"/>
      <c r="N31"/>
      <c r="O31"/>
    </row>
    <row r="32" spans="1:32" ht="19.5" customHeight="1">
      <c r="A32" s="13"/>
    </row>
    <row r="33" spans="1:32" ht="19.5" customHeight="1">
      <c r="A33" s="13"/>
    </row>
    <row r="34" spans="1:32" ht="19.5" customHeight="1">
      <c r="A34" s="13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 ht="19.5" customHeight="1">
      <c r="A35" s="13"/>
      <c r="B35" s="15"/>
    </row>
    <row r="36" spans="1:32" ht="19.5" customHeight="1">
      <c r="A36" s="13"/>
    </row>
    <row r="37" spans="1:32" ht="31.5" customHeight="1">
      <c r="A37" s="1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ht="31.5" customHeight="1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ht="31.5" customHeight="1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>
      <c r="A40" s="13"/>
      <c r="B40" s="6"/>
    </row>
    <row r="41" spans="1:32">
      <c r="A41" s="13"/>
    </row>
    <row r="42" spans="1:32">
      <c r="A42" s="13"/>
    </row>
    <row r="43" spans="1:32">
      <c r="A43" s="13"/>
    </row>
    <row r="44" spans="1:32">
      <c r="A44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1396-7F62-4DD3-A983-2584C3A0DC27}">
  <dimension ref="A1:AY200"/>
  <sheetViews>
    <sheetView workbookViewId="0">
      <pane xSplit="3" ySplit="1" topLeftCell="L37" activePane="bottomRight" state="frozen"/>
      <selection pane="topRight" activeCell="D1" sqref="D1"/>
      <selection pane="bottomLeft" activeCell="A2" sqref="A2"/>
      <selection pane="bottomRight" activeCell="R43" sqref="R43:R51"/>
    </sheetView>
  </sheetViews>
  <sheetFormatPr baseColWidth="10" defaultRowHeight="15"/>
  <cols>
    <col min="1" max="1" width="55.140625" customWidth="1"/>
    <col min="2" max="2" width="4.42578125" customWidth="1"/>
    <col min="3" max="3" width="11.140625" hidden="1" customWidth="1"/>
    <col min="4" max="4" width="24.5703125" customWidth="1"/>
    <col min="5" max="17" width="11.42578125" customWidth="1"/>
    <col min="18" max="18" width="12.85546875" style="4" customWidth="1"/>
    <col min="19" max="47" width="11.42578125" style="4" customWidth="1"/>
    <col min="48" max="48" width="17.5703125" style="4" customWidth="1"/>
    <col min="49" max="49" width="22.5703125" customWidth="1"/>
    <col min="50" max="50" width="12" bestFit="1" customWidth="1"/>
    <col min="51" max="94" width="0" hidden="1" customWidth="1"/>
    <col min="95" max="95" width="12.7109375" bestFit="1" customWidth="1"/>
  </cols>
  <sheetData>
    <row r="1" spans="1:48">
      <c r="D1">
        <v>2006</v>
      </c>
      <c r="E1">
        <f t="shared" ref="E1:AV1" si="0">D1+1</f>
        <v>2007</v>
      </c>
      <c r="F1">
        <f t="shared" si="0"/>
        <v>2008</v>
      </c>
      <c r="G1">
        <f t="shared" si="0"/>
        <v>2009</v>
      </c>
      <c r="H1">
        <f t="shared" si="0"/>
        <v>2010</v>
      </c>
      <c r="I1">
        <f t="shared" si="0"/>
        <v>2011</v>
      </c>
      <c r="J1">
        <f t="shared" si="0"/>
        <v>2012</v>
      </c>
      <c r="K1">
        <f t="shared" si="0"/>
        <v>2013</v>
      </c>
      <c r="L1">
        <f t="shared" si="0"/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 s="6">
        <f t="shared" si="0"/>
        <v>2020</v>
      </c>
      <c r="S1" s="6">
        <f t="shared" si="0"/>
        <v>2021</v>
      </c>
      <c r="T1" s="6">
        <f t="shared" si="0"/>
        <v>2022</v>
      </c>
      <c r="U1" s="6">
        <f t="shared" si="0"/>
        <v>2023</v>
      </c>
      <c r="V1" s="6">
        <f t="shared" si="0"/>
        <v>2024</v>
      </c>
      <c r="W1" s="6">
        <f t="shared" si="0"/>
        <v>2025</v>
      </c>
      <c r="X1" s="6">
        <f t="shared" si="0"/>
        <v>2026</v>
      </c>
      <c r="Y1" s="6">
        <f t="shared" si="0"/>
        <v>2027</v>
      </c>
      <c r="Z1" s="6">
        <f t="shared" si="0"/>
        <v>2028</v>
      </c>
      <c r="AA1" s="6">
        <f t="shared" si="0"/>
        <v>2029</v>
      </c>
      <c r="AB1" s="6">
        <f t="shared" si="0"/>
        <v>2030</v>
      </c>
      <c r="AC1" s="6">
        <f t="shared" si="0"/>
        <v>2031</v>
      </c>
      <c r="AD1" s="6">
        <f t="shared" si="0"/>
        <v>2032</v>
      </c>
      <c r="AE1" s="6">
        <f t="shared" si="0"/>
        <v>2033</v>
      </c>
      <c r="AF1" s="6">
        <f t="shared" si="0"/>
        <v>2034</v>
      </c>
      <c r="AG1" s="6">
        <f t="shared" si="0"/>
        <v>2035</v>
      </c>
      <c r="AH1" s="6">
        <f t="shared" si="0"/>
        <v>2036</v>
      </c>
      <c r="AI1" s="6">
        <f t="shared" si="0"/>
        <v>2037</v>
      </c>
      <c r="AJ1" s="6">
        <f t="shared" si="0"/>
        <v>2038</v>
      </c>
      <c r="AK1" s="6">
        <f t="shared" si="0"/>
        <v>2039</v>
      </c>
      <c r="AL1" s="6">
        <f t="shared" si="0"/>
        <v>2040</v>
      </c>
      <c r="AM1" s="6">
        <f t="shared" si="0"/>
        <v>2041</v>
      </c>
      <c r="AN1" s="6">
        <f t="shared" si="0"/>
        <v>2042</v>
      </c>
      <c r="AO1" s="6">
        <f t="shared" si="0"/>
        <v>2043</v>
      </c>
      <c r="AP1" s="6">
        <f t="shared" si="0"/>
        <v>2044</v>
      </c>
      <c r="AQ1" s="6">
        <f t="shared" si="0"/>
        <v>2045</v>
      </c>
      <c r="AR1" s="6">
        <f t="shared" si="0"/>
        <v>2046</v>
      </c>
      <c r="AS1" s="6">
        <f t="shared" si="0"/>
        <v>2047</v>
      </c>
      <c r="AT1" s="6">
        <f t="shared" si="0"/>
        <v>2048</v>
      </c>
      <c r="AU1" s="6">
        <f t="shared" si="0"/>
        <v>2049</v>
      </c>
      <c r="AV1" s="6">
        <f t="shared" si="0"/>
        <v>2050</v>
      </c>
    </row>
    <row r="2" spans="1:48">
      <c r="A2" t="s">
        <v>20</v>
      </c>
    </row>
    <row r="3" spans="1:48">
      <c r="A3" t="s">
        <v>0</v>
      </c>
      <c r="D3">
        <f>résultats!B2*résultats!$T$5-résultats!B4*résultats!$T$6</f>
        <v>5410.3979800687212</v>
      </c>
      <c r="E3">
        <f>résultats!C2*résultats!$T$5-résultats!C4*résultats!$T$6</f>
        <v>5497.2636696815389</v>
      </c>
      <c r="F3">
        <f>résultats!D2*résultats!$T$5-résultats!D4*résultats!$T$6</f>
        <v>5590.202117811381</v>
      </c>
      <c r="G3">
        <f>résultats!E2*résultats!$T$5-résultats!E4*résultats!$T$6</f>
        <v>5290.7796832276154</v>
      </c>
      <c r="H3">
        <f>résultats!F2*résultats!$T$5-résultats!F4*résultats!$T$6</f>
        <v>4890.7024616305744</v>
      </c>
      <c r="I3">
        <f>résultats!G2*résultats!$T$5-résultats!G4*résultats!$T$6</f>
        <v>3727.5903011180831</v>
      </c>
      <c r="J3">
        <f>résultats!H2*résultats!$T$5-résultats!H4*résultats!$T$6</f>
        <v>4851.0936852202894</v>
      </c>
      <c r="K3">
        <f>résultats!I2*résultats!$T$5-résultats!I4*résultats!$T$6</f>
        <v>5639.693787301725</v>
      </c>
      <c r="L3">
        <f>résultats!J2*résultats!$T$5-résultats!J4*résultats!$T$6</f>
        <v>5013.4727040306852</v>
      </c>
      <c r="M3">
        <f>résultats!K2*résultats!$T$5-résultats!K4*résultats!$T$6</f>
        <v>4051.8168694436295</v>
      </c>
      <c r="N3">
        <f>résultats!L2*résultats!$T$5-résultats!L4*résultats!$T$6</f>
        <v>4924.4170414583386</v>
      </c>
      <c r="O3">
        <f>résultats!M2*résultats!$T$5-résultats!M4*résultats!$T$6</f>
        <v>4811.8868959793326</v>
      </c>
      <c r="P3">
        <f>résultats!N2*résultats!$T$5-résultats!N4*résultats!$T$6</f>
        <v>5196.5669089363901</v>
      </c>
      <c r="Q3">
        <f>résultats!O2*résultats!$T$5-résultats!O4*résultats!$T$6</f>
        <v>5618.1660293724617</v>
      </c>
      <c r="R3" s="4">
        <f>résultats!P2*résultats!$T$5-résultats!P4*résultats!$T$6</f>
        <v>6011.4346427065748</v>
      </c>
      <c r="S3" s="4">
        <f>résultats!Q2*résultats!$T$5-résultats!Q4*résultats!$T$6</f>
        <v>5774.3758895135288</v>
      </c>
      <c r="T3" s="4">
        <f>résultats!R2*résultats!$T$5-résultats!R4*résultats!$T$6</f>
        <v>5639.5086500718335</v>
      </c>
      <c r="U3" s="4">
        <f>résultats!S2*résultats!$T$5-résultats!S4*résultats!$T$6</f>
        <v>6248.9489116057166</v>
      </c>
      <c r="V3" s="4">
        <f>résultats!T2*résultats!$T$5-résultats!T4*résultats!$T$6</f>
        <v>5860.8319243271826</v>
      </c>
      <c r="W3" s="4">
        <f>résultats!U2*résultats!$T$5-résultats!U4*résultats!$T$6</f>
        <v>6030.460820139846</v>
      </c>
      <c r="X3" s="4">
        <f>résultats!V2*résultats!$T$5-résultats!V4*résultats!$T$6</f>
        <v>5738.6985711863354</v>
      </c>
      <c r="Y3" s="4">
        <f>résultats!W2*résultats!$T$5-résultats!W4*résultats!$T$6</f>
        <v>5614.5406970773238</v>
      </c>
      <c r="Z3" s="4">
        <f>résultats!X2*résultats!$T$5-résultats!X4*résultats!$T$6</f>
        <v>5548.7552796113323</v>
      </c>
      <c r="AA3" s="4">
        <f>résultats!Y2*résultats!$T$5-résultats!Y4*résultats!$T$6</f>
        <v>5743.1765534938895</v>
      </c>
      <c r="AB3" s="4">
        <f>résultats!Z2*résultats!$T$5-résultats!Z4*résultats!$T$6</f>
        <v>5859.9326660071238</v>
      </c>
      <c r="AC3" s="4">
        <f>résultats!AA2*résultats!$T$5-résultats!AA4*résultats!$T$6</f>
        <v>6000.0730714784095</v>
      </c>
      <c r="AD3" s="4">
        <f>résultats!AB2*résultats!$T$5-résultats!AB4*résultats!$T$6</f>
        <v>6151.6006231332358</v>
      </c>
      <c r="AE3" s="4">
        <f>résultats!AC2*résultats!$T$5-résultats!AC4*résultats!$T$6</f>
        <v>6288.3437188778698</v>
      </c>
      <c r="AF3" s="4">
        <f>résultats!AD2*résultats!$T$5-résultats!AD4*résultats!$T$6</f>
        <v>6422.7464773388228</v>
      </c>
      <c r="AG3" s="4">
        <f>résultats!AE2*résultats!$T$5-résultats!AE4*résultats!$T$6</f>
        <v>6592.489062955543</v>
      </c>
      <c r="AH3" s="4">
        <f>résultats!AF2*résultats!$T$5-résultats!AF4*résultats!$T$6</f>
        <v>6742.6504212066675</v>
      </c>
      <c r="AI3" s="4">
        <f>résultats!AG2*résultats!$T$5-résultats!AG4*résultats!$T$6</f>
        <v>6864.1803297527513</v>
      </c>
      <c r="AJ3" s="4">
        <f>résultats!AH2*résultats!$T$5-résultats!AH4*résultats!$T$6</f>
        <v>7094.9679168741768</v>
      </c>
      <c r="AK3" s="4">
        <f>résultats!AI2*résultats!$T$5-résultats!AI4*résultats!$T$6</f>
        <v>7242.541086216248</v>
      </c>
      <c r="AL3" s="4">
        <f>résultats!AJ2*résultats!$T$5-résultats!AJ4*résultats!$T$6</f>
        <v>7391.2445288921053</v>
      </c>
      <c r="AM3" s="4">
        <f>résultats!AK2*résultats!$T$5-résultats!AK4*résultats!$T$6</f>
        <v>7530.7045289282541</v>
      </c>
      <c r="AN3" s="4">
        <f>résultats!AL2*résultats!$T$5-résultats!AL4*résultats!$T$6</f>
        <v>7662.4426471910883</v>
      </c>
      <c r="AO3" s="4">
        <f>résultats!AM2*résultats!$T$5-résultats!AM4*résultats!$T$6</f>
        <v>7794.5923542474702</v>
      </c>
      <c r="AP3" s="4">
        <f>résultats!AN2*résultats!$T$5-résultats!AN4*résultats!$T$6</f>
        <v>7978.4359660095688</v>
      </c>
      <c r="AQ3" s="4">
        <f>résultats!AO2*résultats!$T$5-résultats!AO4*résultats!$T$6</f>
        <v>8115.6705117967649</v>
      </c>
      <c r="AR3" s="4">
        <f>résultats!AP2*résultats!$T$5-résultats!AP4*résultats!$T$6</f>
        <v>8249.1243502433153</v>
      </c>
      <c r="AS3" s="4">
        <f>résultats!AQ2*résultats!$T$5-résultats!AQ4*résultats!$T$6</f>
        <v>8370.5165233656298</v>
      </c>
      <c r="AT3" s="4">
        <f>résultats!AR2*résultats!$T$5-résultats!AR4*résultats!$T$6</f>
        <v>8520.3203011751539</v>
      </c>
      <c r="AU3" s="4">
        <f>résultats!AS2*résultats!$T$5-résultats!AS4*résultats!$T$6</f>
        <v>8632.8168739954999</v>
      </c>
      <c r="AV3" s="4">
        <f>résultats!AT2*résultats!$T$5-résultats!AT4*résultats!$T$6</f>
        <v>8744.4560505380905</v>
      </c>
    </row>
    <row r="4" spans="1:48">
      <c r="A4" t="s">
        <v>1</v>
      </c>
      <c r="D4">
        <f>résultats!B8*résultats!$T$10-résultats!B9*résultats!$T$11</f>
        <v>5410.3979800687212</v>
      </c>
      <c r="E4">
        <f>résultats!C8*résultats!$T$10-résultats!C9*résultats!$T$11</f>
        <v>5497.2636696815389</v>
      </c>
      <c r="F4">
        <f>résultats!D8*résultats!$T$10-résultats!D9*résultats!$T$11</f>
        <v>5590.202117811381</v>
      </c>
      <c r="G4">
        <f>résultats!E8*résultats!$T$10-résultats!E9*résultats!$T$11</f>
        <v>5290.7796832276154</v>
      </c>
      <c r="H4">
        <f>résultats!F8*résultats!$T$10-résultats!F9*résultats!$T$11</f>
        <v>4890.7024616305744</v>
      </c>
      <c r="I4">
        <f>résultats!G8*résultats!$T$10-résultats!G9*résultats!$T$11</f>
        <v>3727.5903011180831</v>
      </c>
      <c r="J4">
        <f>résultats!H8*résultats!$T$10-résultats!H9*résultats!$T$11</f>
        <v>4851.0936852202894</v>
      </c>
      <c r="K4">
        <f>résultats!I8*résultats!$T$10-résultats!I9*résultats!$T$11</f>
        <v>5639.693787301725</v>
      </c>
      <c r="L4">
        <f>résultats!J8*résultats!$T$10-résultats!J9*résultats!$T$11</f>
        <v>5013.4727040306852</v>
      </c>
      <c r="M4">
        <f>résultats!K8*résultats!$T$10-résultats!K9*résultats!$T$11</f>
        <v>4051.8168694436295</v>
      </c>
      <c r="N4">
        <f>résultats!L8*résultats!$T$10-résultats!L9*résultats!$T$11</f>
        <v>4924.4170414583386</v>
      </c>
      <c r="O4">
        <f>résultats!M8*résultats!$T$10-résultats!M9*résultats!$T$11</f>
        <v>4811.8868959793326</v>
      </c>
      <c r="P4">
        <f>résultats!N8*résultats!$T$10-résultats!N9*résultats!$T$11</f>
        <v>5196.5669089363901</v>
      </c>
      <c r="Q4">
        <f>résultats!O8*résultats!$T$10-résultats!O9*résultats!$T$11</f>
        <v>5618.1660293724617</v>
      </c>
      <c r="R4" s="4">
        <f>résultats!P8*résultats!$T$10-résultats!P9*résultats!$T$11</f>
        <v>6011.4346427065748</v>
      </c>
      <c r="S4" s="4">
        <f>résultats!Q8*résultats!$T$10-résultats!Q9*résultats!$T$11</f>
        <v>5774.3758895135288</v>
      </c>
      <c r="T4" s="4">
        <f>résultats!R8*résultats!$T$10-résultats!R9*résultats!$T$11</f>
        <v>5639.5086500718335</v>
      </c>
      <c r="U4" s="4">
        <f>résultats!S8*résultats!$T$10-résultats!S9*résultats!$T$11</f>
        <v>6248.9489116057166</v>
      </c>
      <c r="V4" s="4">
        <f>résultats!T8*résultats!$T$10-résultats!T9*résultats!$T$11</f>
        <v>5860.8319243271826</v>
      </c>
      <c r="W4" s="4">
        <f>résultats!U8*résultats!$T$10-résultats!U9*résultats!$T$11</f>
        <v>6030.460820139846</v>
      </c>
      <c r="X4" s="4">
        <f>résultats!V8*résultats!$T$10-résultats!V9*résultats!$T$11</f>
        <v>5779.5509233220382</v>
      </c>
      <c r="Y4" s="4">
        <f>résultats!W8*résultats!$T$10-résultats!W9*résultats!$T$11</f>
        <v>5148.2361465538443</v>
      </c>
      <c r="Z4" s="4">
        <f>résultats!X8*résultats!$T$10-résultats!X9*résultats!$T$11</f>
        <v>5633.7220059520296</v>
      </c>
      <c r="AA4" s="4">
        <f>résultats!Y8*résultats!$T$10-résultats!Y9*résultats!$T$11</f>
        <v>5793.0623282317811</v>
      </c>
      <c r="AB4" s="4">
        <f>résultats!Z8*résultats!$T$10-résultats!Z9*résultats!$T$11</f>
        <v>5891.8559185451977</v>
      </c>
      <c r="AC4" s="4">
        <f>résultats!AA8*résultats!$T$10-résultats!AA9*résultats!$T$11</f>
        <v>5979.2787163941684</v>
      </c>
      <c r="AD4" s="4">
        <f>résultats!AB8*résultats!$T$10-résultats!AB9*résultats!$T$11</f>
        <v>6077.0052148885907</v>
      </c>
      <c r="AE4" s="4">
        <f>résultats!AC8*résultats!$T$10-résultats!AC9*résultats!$T$11</f>
        <v>6674.0823536489288</v>
      </c>
      <c r="AF4" s="4">
        <f>résultats!AD8*résultats!$T$10-résultats!AD9*résultats!$T$11</f>
        <v>6691.7926765284228</v>
      </c>
      <c r="AG4" s="4">
        <f>résultats!AE8*résultats!$T$10-résultats!AE9*résultats!$T$11</f>
        <v>6843.9345017672094</v>
      </c>
      <c r="AH4" s="4">
        <f>résultats!AF8*résultats!$T$10-résultats!AF9*résultats!$T$11</f>
        <v>6961.8213465002218</v>
      </c>
      <c r="AI4" s="4">
        <f>résultats!AG8*résultats!$T$10-résultats!AG9*résultats!$T$11</f>
        <v>7069.6453948817743</v>
      </c>
      <c r="AJ4" s="4">
        <f>résultats!AH8*résultats!$T$10-résultats!AH9*résultats!$T$11</f>
        <v>7311.034586197773</v>
      </c>
      <c r="AK4" s="4">
        <f>résultats!AI8*résultats!$T$10-résultats!AI9*résultats!$T$11</f>
        <v>7407.9094906118798</v>
      </c>
      <c r="AL4" s="4">
        <f>résultats!AJ8*résultats!$T$10-résultats!AJ9*résultats!$T$11</f>
        <v>7588.1753387251447</v>
      </c>
      <c r="AM4" s="4">
        <f>résultats!AK8*résultats!$T$10-résultats!AK9*résultats!$T$11</f>
        <v>7765.9863017859907</v>
      </c>
      <c r="AN4" s="4">
        <f>résultats!AL8*résultats!$T$10-résultats!AL9*résultats!$T$11</f>
        <v>7933.7358422931875</v>
      </c>
      <c r="AO4" s="4">
        <f>résultats!AM8*résultats!$T$10-résultats!AM9*résultats!$T$11</f>
        <v>7904.0723895971159</v>
      </c>
      <c r="AP4" s="4">
        <f>résultats!AN8*résultats!$T$10-résultats!AN9*résultats!$T$11</f>
        <v>8134.1663814104659</v>
      </c>
      <c r="AQ4" s="4">
        <f>résultats!AO8*résultats!$T$10-résultats!AO9*résultats!$T$11</f>
        <v>8334.4253126040712</v>
      </c>
      <c r="AR4" s="4">
        <f>résultats!AP8*résultats!$T$10-résultats!AP9*résultats!$T$11</f>
        <v>8514.3346908928197</v>
      </c>
      <c r="AS4" s="4">
        <f>résultats!AQ8*résultats!$T$10-résultats!AQ9*résultats!$T$11</f>
        <v>8638.8475964051995</v>
      </c>
      <c r="AT4" s="4">
        <f>résultats!AR8*résultats!$T$10-résultats!AR9*résultats!$T$11</f>
        <v>8523.3869417639835</v>
      </c>
      <c r="AU4" s="4">
        <f>résultats!AS8*résultats!$T$10-résultats!AS9*résultats!$T$11</f>
        <v>8784.7720933967721</v>
      </c>
      <c r="AV4" s="4">
        <f>résultats!AT8*résultats!$T$10-résultats!AT9*résultats!$T$11</f>
        <v>8937.2086878100345</v>
      </c>
    </row>
    <row r="5" spans="1:48">
      <c r="A5" t="s">
        <v>28</v>
      </c>
      <c r="D5">
        <f t="shared" ref="D5:AV5" si="1">D4-D3</f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 s="4">
        <f t="shared" si="1"/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4">
        <f t="shared" si="1"/>
        <v>40.852352135702859</v>
      </c>
      <c r="Y5" s="4">
        <f t="shared" si="1"/>
        <v>-466.30455052347952</v>
      </c>
      <c r="Z5" s="4">
        <f t="shared" si="1"/>
        <v>84.966726340697278</v>
      </c>
      <c r="AA5" s="4">
        <f t="shared" si="1"/>
        <v>49.885774737891552</v>
      </c>
      <c r="AB5" s="4">
        <f t="shared" si="1"/>
        <v>31.923252538073939</v>
      </c>
      <c r="AC5" s="4">
        <f t="shared" si="1"/>
        <v>-20.794355084241033</v>
      </c>
      <c r="AD5" s="4">
        <f t="shared" si="1"/>
        <v>-74.595408244645114</v>
      </c>
      <c r="AE5" s="4">
        <f t="shared" si="1"/>
        <v>385.73863477105897</v>
      </c>
      <c r="AF5" s="4">
        <f t="shared" si="1"/>
        <v>269.04619918959997</v>
      </c>
      <c r="AG5" s="4">
        <f t="shared" si="1"/>
        <v>251.44543881166646</v>
      </c>
      <c r="AH5" s="4">
        <f t="shared" si="1"/>
        <v>219.17092529355432</v>
      </c>
      <c r="AI5" s="4">
        <f t="shared" si="1"/>
        <v>205.46506512902306</v>
      </c>
      <c r="AJ5" s="4">
        <f t="shared" si="1"/>
        <v>216.06666932359622</v>
      </c>
      <c r="AK5" s="4">
        <f t="shared" si="1"/>
        <v>165.36840439563184</v>
      </c>
      <c r="AL5" s="4">
        <f t="shared" si="1"/>
        <v>196.93080983303935</v>
      </c>
      <c r="AM5" s="4">
        <f t="shared" si="1"/>
        <v>235.28177285773654</v>
      </c>
      <c r="AN5" s="4">
        <f t="shared" si="1"/>
        <v>271.29319510209916</v>
      </c>
      <c r="AO5" s="4">
        <f t="shared" si="1"/>
        <v>109.48003534964573</v>
      </c>
      <c r="AP5" s="4">
        <f t="shared" si="1"/>
        <v>155.73041540089707</v>
      </c>
      <c r="AQ5" s="4">
        <f t="shared" si="1"/>
        <v>218.75480080730631</v>
      </c>
      <c r="AR5" s="4">
        <f t="shared" si="1"/>
        <v>265.21034064950436</v>
      </c>
      <c r="AS5" s="4">
        <f t="shared" si="1"/>
        <v>268.33107303956967</v>
      </c>
      <c r="AT5" s="4">
        <f t="shared" si="1"/>
        <v>3.066640588829614</v>
      </c>
      <c r="AU5" s="4">
        <f t="shared" si="1"/>
        <v>151.95521940127219</v>
      </c>
      <c r="AV5" s="4">
        <f t="shared" si="1"/>
        <v>192.75263727194397</v>
      </c>
    </row>
    <row r="7" spans="1:48">
      <c r="A7" t="s">
        <v>2</v>
      </c>
    </row>
    <row r="8" spans="1:48">
      <c r="A8" t="s">
        <v>62</v>
      </c>
    </row>
    <row r="9" spans="1:48">
      <c r="A9" t="s">
        <v>42</v>
      </c>
      <c r="R9" s="4">
        <f>[2]PL!M$774</f>
        <v>3593.7699345016808</v>
      </c>
      <c r="S9" s="4">
        <f>[2]PL!N$774</f>
        <v>3796.2925318061352</v>
      </c>
      <c r="T9" s="4">
        <f>[2]PL!O$774</f>
        <v>3890.8716014520792</v>
      </c>
      <c r="U9" s="4">
        <f>[2]PL!P$774</f>
        <v>4649.8044497574783</v>
      </c>
    </row>
    <row r="10" spans="1:48">
      <c r="A10" t="s">
        <v>3</v>
      </c>
      <c r="M10" s="1"/>
      <c r="N10" s="1"/>
      <c r="O10" s="1"/>
      <c r="P10" s="1"/>
      <c r="Q10" s="1"/>
      <c r="R10" s="17">
        <f>[2]PL!IL$774</f>
        <v>4003.0336875694761</v>
      </c>
      <c r="S10" s="17">
        <f>[2]PL!IM$774</f>
        <v>4052.3337606053738</v>
      </c>
      <c r="T10" s="17">
        <f>[2]PL!IN$774</f>
        <v>4171.3278619618386</v>
      </c>
      <c r="U10" s="17">
        <f>[2]PL!IO$774</f>
        <v>4206.0511759911842</v>
      </c>
      <c r="V10" s="17">
        <f>[2]PL!IP$774</f>
        <v>4255.1019514604059</v>
      </c>
      <c r="W10" s="17">
        <f>[2]PL!IQ$774</f>
        <v>4301.5703214692248</v>
      </c>
      <c r="X10" s="17">
        <f>[2]PL!IR$774</f>
        <v>4335.1239670518953</v>
      </c>
      <c r="Y10" s="17">
        <f>[2]PL!IS$774</f>
        <v>4437.0183446285564</v>
      </c>
      <c r="Z10" s="17">
        <f>[2]PL!IT$774</f>
        <v>4472.1731665185762</v>
      </c>
      <c r="AA10" s="17">
        <f>[2]PL!IU$774</f>
        <v>4499.8960215958996</v>
      </c>
      <c r="AB10" s="17">
        <f>[2]PL!IV$774</f>
        <v>4516.9490607363477</v>
      </c>
      <c r="AC10" s="17">
        <f>[2]PL!IW$774</f>
        <v>4512.2916165503821</v>
      </c>
      <c r="AD10" s="17">
        <f>[2]PL!IX$774</f>
        <v>4511.3345713634772</v>
      </c>
      <c r="AE10" s="17">
        <f>[2]PL!IY$774</f>
        <v>4514.077925175633</v>
      </c>
      <c r="AF10" s="17">
        <f>[2]PL!IZ$774</f>
        <v>4516.821278987788</v>
      </c>
      <c r="AG10" s="17">
        <f>[2]PL!JA$774</f>
        <v>4519.564632799943</v>
      </c>
      <c r="AH10" s="17">
        <f>[2]PL!JB$774</f>
        <v>4514.8323136006948</v>
      </c>
      <c r="AI10" s="17">
        <f>[2]PL!JC$774</f>
        <v>4510.0999944014466</v>
      </c>
      <c r="AJ10" s="17">
        <f>[2]PL!JD$774</f>
        <v>4505.3676752021984</v>
      </c>
      <c r="AK10" s="17">
        <f>[2]PL!JE$774</f>
        <v>4500.6353560029502</v>
      </c>
      <c r="AL10" s="17">
        <f>[2]PL!JF$774</f>
        <v>4495.9030368037011</v>
      </c>
      <c r="AM10" s="17">
        <f>[2]PL!JG$774</f>
        <v>4495.9030368037011</v>
      </c>
      <c r="AN10" s="17">
        <f>[2]PL!JH$774</f>
        <v>4495.903036803702</v>
      </c>
      <c r="AO10" s="17">
        <f>[2]PL!JI$774</f>
        <v>4495.903036803702</v>
      </c>
      <c r="AP10" s="17">
        <f>[2]PL!JJ$774</f>
        <v>4495.903036803702</v>
      </c>
      <c r="AQ10" s="17">
        <f>[2]PL!JK$774</f>
        <v>4495.903036803702</v>
      </c>
      <c r="AR10" s="17">
        <f>[2]PL!JL$774</f>
        <v>4495.903036803702</v>
      </c>
      <c r="AS10" s="17">
        <f>[2]PL!JM$774</f>
        <v>4495.903036803702</v>
      </c>
      <c r="AT10" s="17">
        <f>[2]PL!JN$774</f>
        <v>4495.903036803702</v>
      </c>
      <c r="AU10" s="17">
        <f>[2]PL!JO$774</f>
        <v>4495.903036803702</v>
      </c>
      <c r="AV10" s="17">
        <f>[2]PL!JP$774</f>
        <v>4495.903036803702</v>
      </c>
    </row>
    <row r="11" spans="1:48">
      <c r="A11" t="s">
        <v>4</v>
      </c>
      <c r="M11" s="1"/>
      <c r="N11" s="1"/>
      <c r="O11" s="1"/>
      <c r="P11" s="1"/>
      <c r="Q11" s="1"/>
      <c r="R11" s="4">
        <f>[2]PL!JW$774</f>
        <v>4000.4510851903988</v>
      </c>
      <c r="S11" s="4">
        <f>[2]PL!JX$774</f>
        <v>4114.0665556487975</v>
      </c>
      <c r="T11" s="4">
        <f>[2]PL!JY$774</f>
        <v>4313.7767403780917</v>
      </c>
      <c r="U11" s="4">
        <f>[2]PL!JZ$774</f>
        <v>4421.9454015317115</v>
      </c>
      <c r="V11" s="4">
        <f>[2]PL!KA$774</f>
        <v>4496.5770127603109</v>
      </c>
      <c r="W11" s="4">
        <f>[2]PL!KB$774</f>
        <v>4567.7350903462175</v>
      </c>
      <c r="X11" s="4">
        <f>[2]PL!KC$774</f>
        <v>4619.7364188066676</v>
      </c>
      <c r="Y11" s="4">
        <f>[2]PL!KD$774</f>
        <v>4751.6965480030185</v>
      </c>
      <c r="Z11" s="4">
        <f>[2]PL!KE$774</f>
        <v>4809.5493592630964</v>
      </c>
      <c r="AA11" s="4">
        <f>[2]PL!KF$774</f>
        <v>4854.2656192087316</v>
      </c>
      <c r="AB11" s="4">
        <f>[2]PL!KG$774</f>
        <v>4877.9819799669185</v>
      </c>
      <c r="AC11" s="4">
        <f>[2]PL!KH$774</f>
        <v>4939.1380096619478</v>
      </c>
      <c r="AD11" s="4">
        <f>[2]PL!KI$774</f>
        <v>5006.32673760533</v>
      </c>
      <c r="AE11" s="4">
        <f>[2]PL!KJ$774</f>
        <v>5080.9358134217182</v>
      </c>
      <c r="AF11" s="4">
        <f>[2]PL!KK$774</f>
        <v>5152.3265899888102</v>
      </c>
      <c r="AG11" s="4">
        <f>[2]PL!KL$774</f>
        <v>5220.4990673066077</v>
      </c>
      <c r="AH11" s="4">
        <f>[2]PL!KM$774</f>
        <v>5329.2398042868926</v>
      </c>
      <c r="AI11" s="4">
        <f>[2]PL!KN$774</f>
        <v>5433.7214539878551</v>
      </c>
      <c r="AJ11" s="4">
        <f>[2]PL!KO$774</f>
        <v>5533.944016409494</v>
      </c>
      <c r="AK11" s="4">
        <f>[2]PL!KP$774</f>
        <v>5629.9074915518086</v>
      </c>
      <c r="AL11" s="4">
        <f>[2]PL!KQ$774</f>
        <v>5721.6118794148006</v>
      </c>
      <c r="AM11" s="4">
        <f>[2]PL!KR$774</f>
        <v>5767.3547849696233</v>
      </c>
      <c r="AN11" s="4">
        <f>[2]PL!KS$774</f>
        <v>5823.9335753533887</v>
      </c>
      <c r="AO11" s="4">
        <f>[2]PL!KT$774</f>
        <v>5901.1032035124099</v>
      </c>
      <c r="AP11" s="4">
        <f>[2]PL!KU$774</f>
        <v>5975.2103397598239</v>
      </c>
      <c r="AQ11" s="4">
        <f>[2]PL!KV$774</f>
        <v>6046.7799827090485</v>
      </c>
      <c r="AR11" s="4">
        <f>[2]PL!KW$774</f>
        <v>6107.5106253844169</v>
      </c>
      <c r="AS11" s="4">
        <f>[2]PL!KX$774</f>
        <v>6167.4234853536018</v>
      </c>
      <c r="AT11" s="4">
        <f>[2]PL!KY$774</f>
        <v>6226.6061821922667</v>
      </c>
      <c r="AU11" s="4">
        <f>[2]PL!KZ$774</f>
        <v>6285.1342500173596</v>
      </c>
      <c r="AV11" s="4">
        <f>[2]PL!LA$774</f>
        <v>6343.0731517302365</v>
      </c>
    </row>
    <row r="12" spans="1:48">
      <c r="A12" t="s">
        <v>44</v>
      </c>
      <c r="M12" s="1"/>
      <c r="N12" s="1"/>
      <c r="O12" s="1"/>
      <c r="P12" s="1"/>
      <c r="Q12" s="1"/>
      <c r="R12" s="4">
        <f>[2]PL!LH$774</f>
        <v>3571.9891120066527</v>
      </c>
      <c r="S12" s="4">
        <f>[2]PL!LI$774</f>
        <v>3777.7807914100395</v>
      </c>
      <c r="T12" s="4">
        <f>[2]PL!LJ$774</f>
        <v>3967.8301651673873</v>
      </c>
      <c r="U12" s="4">
        <f>[2]PL!LK$774</f>
        <v>4155.5728297215428</v>
      </c>
      <c r="V12" s="4">
        <f>[2]PL!LL$774</f>
        <v>4446.3715972759455</v>
      </c>
      <c r="W12" s="4">
        <f>[2]PL!LM$774</f>
        <v>5021.3537865514145</v>
      </c>
      <c r="X12" s="4">
        <f>[2]PL!LN$774</f>
        <v>4803.919059319147</v>
      </c>
      <c r="Y12" s="4">
        <f>[2]PL!LO$774</f>
        <v>5046.8320159278192</v>
      </c>
      <c r="Z12" s="4">
        <f>[2]PL!LP$774</f>
        <v>5262.0646676798215</v>
      </c>
      <c r="AA12" s="4">
        <f>[2]PL!LQ$774</f>
        <v>5588.7854288437893</v>
      </c>
      <c r="AB12" s="4">
        <f>[2]PL!LR$774</f>
        <v>6115.5680996557458</v>
      </c>
      <c r="AC12" s="4">
        <f>[2]PL!LS$774</f>
        <v>6013.0230855326563</v>
      </c>
      <c r="AD12" s="4">
        <f>[2]PL!LT$774</f>
        <v>5937.7778318302453</v>
      </c>
      <c r="AE12" s="4">
        <f>[2]PL!LU$774</f>
        <v>5895.8699864033933</v>
      </c>
      <c r="AF12" s="4">
        <f>[2]PL!LV$774</f>
        <v>5840.8889933145847</v>
      </c>
      <c r="AG12" s="4">
        <f>[2]PL!LW$774</f>
        <v>5772.6111486594364</v>
      </c>
      <c r="AH12" s="4">
        <f>[2]PL!LX$774</f>
        <v>5816.2023604398364</v>
      </c>
      <c r="AI12" s="4">
        <f>[2]PL!LY$774</f>
        <v>5855.888826878243</v>
      </c>
      <c r="AJ12" s="4">
        <f>[2]PL!LZ$774</f>
        <v>5891.6108936001565</v>
      </c>
      <c r="AK12" s="4">
        <f>[2]PL!MA$774</f>
        <v>5923.3089062310728</v>
      </c>
      <c r="AL12" s="4">
        <f>[2]PL!MB$774</f>
        <v>5950.9232103964914</v>
      </c>
      <c r="AM12" s="4">
        <f>[2]PL!MC$774</f>
        <v>6045.0822349056598</v>
      </c>
      <c r="AN12" s="4">
        <f>[2]PL!MD$774</f>
        <v>6139.7010952182845</v>
      </c>
      <c r="AO12" s="4">
        <f>[2]PL!ME$774</f>
        <v>6234.7797913343638</v>
      </c>
      <c r="AP12" s="4">
        <f>[2]PL!MF$774</f>
        <v>6330.3183232538959</v>
      </c>
      <c r="AQ12" s="4">
        <f>[2]PL!MG$774</f>
        <v>6426.3166909768843</v>
      </c>
      <c r="AR12" s="4">
        <f>[2]PL!MH$774</f>
        <v>6435.5134070459662</v>
      </c>
      <c r="AS12" s="4">
        <f>[2]PL!MI$774</f>
        <v>6444.71012311505</v>
      </c>
      <c r="AT12" s="4">
        <f>[2]PL!MJ$774</f>
        <v>6453.9068391841338</v>
      </c>
      <c r="AU12" s="4">
        <f>[2]PL!MK$774</f>
        <v>6463.1035552532176</v>
      </c>
      <c r="AV12" s="4">
        <f>[2]PL!ML$774</f>
        <v>6472.3002713223004</v>
      </c>
    </row>
    <row r="13" spans="1:48">
      <c r="A13" t="s">
        <v>29</v>
      </c>
      <c r="R13" s="4">
        <f t="shared" ref="R13:AV13" si="2">R11-R10</f>
        <v>-2.5826023790773434</v>
      </c>
      <c r="S13" s="4">
        <f t="shared" si="2"/>
        <v>61.732795043423721</v>
      </c>
      <c r="T13" s="4">
        <f t="shared" si="2"/>
        <v>142.44887841625314</v>
      </c>
      <c r="U13" s="4">
        <f t="shared" si="2"/>
        <v>215.89422554052726</v>
      </c>
      <c r="V13" s="4">
        <f t="shared" si="2"/>
        <v>241.47506129990506</v>
      </c>
      <c r="W13" s="4">
        <f t="shared" si="2"/>
        <v>266.16476887699264</v>
      </c>
      <c r="X13" s="4">
        <f t="shared" si="2"/>
        <v>284.61245175477234</v>
      </c>
      <c r="Y13" s="4">
        <f t="shared" si="2"/>
        <v>314.6782033744621</v>
      </c>
      <c r="Z13" s="4">
        <f t="shared" si="2"/>
        <v>337.37619274452027</v>
      </c>
      <c r="AA13" s="4">
        <f t="shared" si="2"/>
        <v>354.36959761283197</v>
      </c>
      <c r="AB13" s="4">
        <f t="shared" si="2"/>
        <v>361.03291923057077</v>
      </c>
      <c r="AC13" s="4">
        <f t="shared" si="2"/>
        <v>426.8463931115657</v>
      </c>
      <c r="AD13" s="4">
        <f t="shared" si="2"/>
        <v>494.99216624185283</v>
      </c>
      <c r="AE13" s="4">
        <f t="shared" si="2"/>
        <v>566.85788824608517</v>
      </c>
      <c r="AF13" s="4">
        <f t="shared" si="2"/>
        <v>635.50531100102216</v>
      </c>
      <c r="AG13" s="4">
        <f t="shared" si="2"/>
        <v>700.93443450666473</v>
      </c>
      <c r="AH13" s="4">
        <f t="shared" si="2"/>
        <v>814.40749068619789</v>
      </c>
      <c r="AI13" s="4">
        <f t="shared" si="2"/>
        <v>923.62145958640849</v>
      </c>
      <c r="AJ13" s="4">
        <f t="shared" si="2"/>
        <v>1028.5763412072956</v>
      </c>
      <c r="AK13" s="4">
        <f t="shared" si="2"/>
        <v>1129.2721355488584</v>
      </c>
      <c r="AL13" s="4">
        <f t="shared" si="2"/>
        <v>1225.7088426110995</v>
      </c>
      <c r="AM13" s="4">
        <f t="shared" si="2"/>
        <v>1271.4517481659223</v>
      </c>
      <c r="AN13" s="4">
        <f t="shared" si="2"/>
        <v>1328.0305385496868</v>
      </c>
      <c r="AO13" s="4">
        <f t="shared" si="2"/>
        <v>1405.2001667087079</v>
      </c>
      <c r="AP13" s="4">
        <f t="shared" si="2"/>
        <v>1479.3073029561219</v>
      </c>
      <c r="AQ13" s="4">
        <f t="shared" si="2"/>
        <v>1550.8769459053465</v>
      </c>
      <c r="AR13" s="4">
        <f t="shared" si="2"/>
        <v>1611.6075885807149</v>
      </c>
      <c r="AS13" s="4">
        <f t="shared" si="2"/>
        <v>1671.5204485498998</v>
      </c>
      <c r="AT13" s="4">
        <f t="shared" si="2"/>
        <v>1730.7031453885647</v>
      </c>
      <c r="AU13" s="4">
        <f t="shared" si="2"/>
        <v>1789.2312132136576</v>
      </c>
      <c r="AV13" s="4">
        <f t="shared" si="2"/>
        <v>1847.1701149265346</v>
      </c>
    </row>
    <row r="14" spans="1:48">
      <c r="A14" t="s">
        <v>45</v>
      </c>
      <c r="M14" s="1"/>
      <c r="N14" s="1"/>
      <c r="O14" s="1"/>
      <c r="P14" s="1"/>
      <c r="Q14" s="1"/>
      <c r="U14" s="2">
        <f t="shared" ref="U14:AV14" si="3">U11/U10-1</f>
        <v>5.1329433834016669E-2</v>
      </c>
      <c r="V14" s="2">
        <f t="shared" si="3"/>
        <v>5.6749535981629684E-2</v>
      </c>
      <c r="W14" s="2">
        <f t="shared" si="3"/>
        <v>6.1876186830785773E-2</v>
      </c>
      <c r="X14" s="2">
        <f t="shared" si="3"/>
        <v>6.5652667355744265E-2</v>
      </c>
      <c r="Y14" s="2">
        <f t="shared" si="3"/>
        <v>7.0921095865066786E-2</v>
      </c>
      <c r="Z14" s="2">
        <f t="shared" si="3"/>
        <v>7.5438982387874498E-2</v>
      </c>
      <c r="AA14" s="2">
        <f t="shared" si="3"/>
        <v>7.8750619105895314E-2</v>
      </c>
      <c r="AB14" s="2">
        <f t="shared" si="3"/>
        <v>7.9928490309721489E-2</v>
      </c>
      <c r="AC14" s="2">
        <f t="shared" si="3"/>
        <v>9.4596366854030389E-2</v>
      </c>
      <c r="AD14" s="2">
        <f t="shared" si="3"/>
        <v>0.10972189236061247</v>
      </c>
      <c r="AE14" s="2">
        <f t="shared" si="3"/>
        <v>0.12557556551796334</v>
      </c>
      <c r="AF14" s="2">
        <f t="shared" si="3"/>
        <v>0.14069746659169069</v>
      </c>
      <c r="AG14" s="2">
        <f t="shared" si="3"/>
        <v>0.15508892812811137</v>
      </c>
      <c r="AH14" s="2">
        <f t="shared" si="3"/>
        <v>0.18038488123530927</v>
      </c>
      <c r="AI14" s="2">
        <f t="shared" si="3"/>
        <v>0.20478957467305237</v>
      </c>
      <c r="AJ14" s="2">
        <f t="shared" si="3"/>
        <v>0.22830019997449691</v>
      </c>
      <c r="AK14" s="2">
        <f t="shared" si="3"/>
        <v>0.25091393686063346</v>
      </c>
      <c r="AL14" s="2">
        <f t="shared" si="3"/>
        <v>0.27262795317812283</v>
      </c>
      <c r="AM14" s="2">
        <f t="shared" si="3"/>
        <v>0.28280230640157278</v>
      </c>
      <c r="AN14" s="2">
        <f t="shared" si="3"/>
        <v>0.29538682833645602</v>
      </c>
      <c r="AO14" s="2">
        <f t="shared" si="3"/>
        <v>0.31255126171664838</v>
      </c>
      <c r="AP14" s="2">
        <f t="shared" si="3"/>
        <v>0.32903452117326237</v>
      </c>
      <c r="AQ14" s="2">
        <f t="shared" si="3"/>
        <v>0.34495337937891124</v>
      </c>
      <c r="AR14" s="2">
        <f t="shared" si="3"/>
        <v>0.35846137592114635</v>
      </c>
      <c r="AS14" s="2">
        <f t="shared" si="3"/>
        <v>0.37178747736922801</v>
      </c>
      <c r="AT14" s="2">
        <f t="shared" si="3"/>
        <v>0.38495117248324462</v>
      </c>
      <c r="AU14" s="2">
        <f t="shared" si="3"/>
        <v>0.3979692619184434</v>
      </c>
      <c r="AV14" s="2">
        <f t="shared" si="3"/>
        <v>0.41085630624270619</v>
      </c>
    </row>
    <row r="15" spans="1:48">
      <c r="A15" t="s">
        <v>46</v>
      </c>
      <c r="M15" s="1"/>
      <c r="N15" s="1"/>
      <c r="O15" s="1"/>
      <c r="P15" s="1"/>
      <c r="Q15" s="1"/>
      <c r="U15" s="2">
        <f t="shared" ref="U15:AV15" si="4">U12/U10-1</f>
        <v>-1.2001362835949325E-2</v>
      </c>
      <c r="V15" s="2">
        <f t="shared" si="4"/>
        <v>4.4950661111631707E-2</v>
      </c>
      <c r="W15" s="2">
        <f t="shared" si="4"/>
        <v>0.16733039594627463</v>
      </c>
      <c r="X15" s="2">
        <f t="shared" si="4"/>
        <v>0.10813879737470478</v>
      </c>
      <c r="Y15" s="2">
        <f t="shared" si="4"/>
        <v>0.13743771693833584</v>
      </c>
      <c r="Z15" s="2">
        <f t="shared" si="4"/>
        <v>0.17662363950368842</v>
      </c>
      <c r="AA15" s="2">
        <f t="shared" si="4"/>
        <v>0.24198101512170322</v>
      </c>
      <c r="AB15" s="2">
        <f t="shared" si="4"/>
        <v>0.35391566684145714</v>
      </c>
      <c r="AC15" s="2">
        <f t="shared" si="4"/>
        <v>0.33258742929597562</v>
      </c>
      <c r="AD15" s="2">
        <f t="shared" si="4"/>
        <v>0.31619097140818986</v>
      </c>
      <c r="AE15" s="2">
        <f t="shared" si="4"/>
        <v>0.30610726800291066</v>
      </c>
      <c r="AF15" s="2">
        <f t="shared" si="4"/>
        <v>0.29314148879132063</v>
      </c>
      <c r="AG15" s="2">
        <f t="shared" si="4"/>
        <v>0.27724938520974551</v>
      </c>
      <c r="AH15" s="2">
        <f t="shared" si="4"/>
        <v>0.28824327382410919</v>
      </c>
      <c r="AI15" s="2">
        <f t="shared" si="4"/>
        <v>0.29839445558798561</v>
      </c>
      <c r="AJ15" s="2">
        <f t="shared" si="4"/>
        <v>0.30768703429642819</v>
      </c>
      <c r="AK15" s="2">
        <f t="shared" si="4"/>
        <v>0.31610504688644903</v>
      </c>
      <c r="AL15" s="2">
        <f t="shared" si="4"/>
        <v>0.32363246308515059</v>
      </c>
      <c r="AM15" s="2">
        <f t="shared" si="4"/>
        <v>0.34457575828933495</v>
      </c>
      <c r="AN15" s="2">
        <f t="shared" si="4"/>
        <v>0.3656213323459967</v>
      </c>
      <c r="AO15" s="2">
        <f t="shared" si="4"/>
        <v>0.38676918525513648</v>
      </c>
      <c r="AP15" s="2">
        <f t="shared" si="4"/>
        <v>0.40801931701675342</v>
      </c>
      <c r="AQ15" s="2">
        <f t="shared" si="4"/>
        <v>0.42937172763084819</v>
      </c>
      <c r="AR15" s="2">
        <f t="shared" si="4"/>
        <v>0.43141730468039685</v>
      </c>
      <c r="AS15" s="2">
        <f t="shared" si="4"/>
        <v>0.43346288172994596</v>
      </c>
      <c r="AT15" s="2">
        <f t="shared" si="4"/>
        <v>0.43550845877949507</v>
      </c>
      <c r="AU15" s="2">
        <f t="shared" si="4"/>
        <v>0.43755403582904417</v>
      </c>
      <c r="AV15" s="2">
        <f t="shared" si="4"/>
        <v>0.43959961287859306</v>
      </c>
    </row>
    <row r="16" spans="1:48">
      <c r="A16" s="3" t="s">
        <v>35</v>
      </c>
      <c r="B16" s="3"/>
      <c r="C16" s="3"/>
    </row>
    <row r="18" spans="1:51">
      <c r="A18" t="s">
        <v>8</v>
      </c>
      <c r="AV18" s="5">
        <f>SUM(V5:AV5)-SUM(V13:AV13)</f>
        <v>-22364.508801470289</v>
      </c>
      <c r="AW18" s="22">
        <f>(SUM(V5:AV5)-SUM(V13:AV13))/SUM(V13:AV13)</f>
        <v>-0.86712606993700037</v>
      </c>
    </row>
    <row r="20" spans="1:51">
      <c r="A20" t="s">
        <v>21</v>
      </c>
      <c r="D20">
        <f>résultats!B14</f>
        <v>0</v>
      </c>
      <c r="E20">
        <f>résultats!C14</f>
        <v>0</v>
      </c>
      <c r="F20">
        <f>résultats!D14</f>
        <v>0</v>
      </c>
      <c r="G20">
        <f>résultats!E14</f>
        <v>0</v>
      </c>
      <c r="H20">
        <f>résultats!F14</f>
        <v>0</v>
      </c>
      <c r="I20">
        <f>résultats!G14</f>
        <v>0</v>
      </c>
      <c r="J20">
        <f>résultats!H14</f>
        <v>0</v>
      </c>
      <c r="K20">
        <f>résultats!I14</f>
        <v>0</v>
      </c>
      <c r="L20">
        <f>résultats!J14</f>
        <v>0</v>
      </c>
      <c r="M20">
        <f>résultats!K14</f>
        <v>0</v>
      </c>
      <c r="N20">
        <f>résultats!L14</f>
        <v>0</v>
      </c>
      <c r="O20">
        <f>résultats!M14</f>
        <v>0</v>
      </c>
      <c r="P20">
        <f>résultats!N14</f>
        <v>0</v>
      </c>
      <c r="Q20">
        <f>résultats!O14</f>
        <v>0</v>
      </c>
      <c r="R20" s="4">
        <f>résultats!P14</f>
        <v>0</v>
      </c>
      <c r="S20" s="4">
        <f>résultats!Q14</f>
        <v>0</v>
      </c>
      <c r="T20" s="4">
        <f>résultats!R14</f>
        <v>0</v>
      </c>
      <c r="U20" s="4">
        <f>résultats!S14</f>
        <v>0</v>
      </c>
      <c r="V20" s="4">
        <f>résultats!T14</f>
        <v>0</v>
      </c>
      <c r="W20" s="4">
        <f>résultats!U14</f>
        <v>0</v>
      </c>
      <c r="X20" s="4">
        <f>résultats!V14</f>
        <v>984.4090357</v>
      </c>
      <c r="Y20" s="4">
        <f>résultats!W14</f>
        <v>896.39552309999999</v>
      </c>
      <c r="Z20" s="4">
        <f>résultats!X14</f>
        <v>1531.5474750000001</v>
      </c>
      <c r="AA20" s="4">
        <f>résultats!Y14</f>
        <v>1390.56348</v>
      </c>
      <c r="AB20" s="4">
        <f>résultats!Z14</f>
        <v>1262.1448989999999</v>
      </c>
      <c r="AC20" s="4">
        <f>résultats!AA14</f>
        <v>1147.9125019999999</v>
      </c>
      <c r="AD20" s="4">
        <f>résultats!AB14</f>
        <v>1031.6812580000001</v>
      </c>
      <c r="AE20" s="4">
        <f>résultats!AC14</f>
        <v>1799.9412159999999</v>
      </c>
      <c r="AF20" s="4">
        <f>résultats!AD14</f>
        <v>1917.681497</v>
      </c>
      <c r="AG20" s="4">
        <f>résultats!AE14</f>
        <v>2063.3177559999999</v>
      </c>
      <c r="AH20" s="4">
        <f>résultats!AF14</f>
        <v>2207.5691649999999</v>
      </c>
      <c r="AI20" s="4">
        <f>résultats!AG14</f>
        <v>2351.2849820000001</v>
      </c>
      <c r="AJ20" s="4">
        <f>résultats!AH14</f>
        <v>2579.599193</v>
      </c>
      <c r="AK20" s="4">
        <f>résultats!AI14</f>
        <v>2789.3937179999998</v>
      </c>
      <c r="AL20" s="4">
        <f>résultats!AJ14</f>
        <v>3026.4524719999999</v>
      </c>
      <c r="AM20" s="4">
        <f>résultats!AK14</f>
        <v>3276.6088359999999</v>
      </c>
      <c r="AN20" s="4">
        <f>résultats!AL14</f>
        <v>3537.9469479999998</v>
      </c>
      <c r="AO20" s="4">
        <f>résultats!AM14</f>
        <v>3138.3742670000001</v>
      </c>
      <c r="AP20" s="4">
        <f>résultats!AN14</f>
        <v>3418.7796619999999</v>
      </c>
      <c r="AQ20" s="4">
        <f>résultats!AO14</f>
        <v>3709.1320070000002</v>
      </c>
      <c r="AR20" s="4">
        <f>résultats!AP14</f>
        <v>4011.402509</v>
      </c>
      <c r="AS20" s="4">
        <f>résultats!AQ14</f>
        <v>4310.556885</v>
      </c>
      <c r="AT20" s="4">
        <f>résultats!AR14</f>
        <v>3878.570072</v>
      </c>
      <c r="AU20" s="4">
        <f>résultats!AS14</f>
        <v>4201.8379430000005</v>
      </c>
      <c r="AV20" s="4">
        <f>résultats!AT14</f>
        <v>4494.0219569999999</v>
      </c>
    </row>
    <row r="21" spans="1:51">
      <c r="A21" t="s">
        <v>86</v>
      </c>
      <c r="AV21" s="5">
        <f>SUM(W20:AV20)</f>
        <v>64957.125257799999</v>
      </c>
    </row>
    <row r="22" spans="1:51">
      <c r="AV22" s="5"/>
    </row>
    <row r="23" spans="1:51">
      <c r="A23" s="12" t="s">
        <v>9</v>
      </c>
      <c r="B23" s="12"/>
      <c r="C23" s="12"/>
    </row>
    <row r="24" spans="1:51">
      <c r="A24" s="12" t="s">
        <v>30</v>
      </c>
      <c r="B24" s="12"/>
      <c r="C24" s="12"/>
    </row>
    <row r="25" spans="1:51">
      <c r="A25" t="s">
        <v>5</v>
      </c>
      <c r="D25">
        <f>résultats!B15</f>
        <v>15.957318185343199</v>
      </c>
      <c r="E25">
        <f>résultats!C15</f>
        <v>16.213518090349702</v>
      </c>
      <c r="F25">
        <f>résultats!D15</f>
        <v>16.47381704</v>
      </c>
      <c r="G25">
        <f>résultats!E15</f>
        <v>16.425123630000002</v>
      </c>
      <c r="H25">
        <f>résultats!F15</f>
        <v>16.15725621</v>
      </c>
      <c r="I25">
        <f>résultats!G15</f>
        <v>15.6416605</v>
      </c>
      <c r="J25">
        <f>résultats!H15</f>
        <v>15.5603236</v>
      </c>
      <c r="K25">
        <f>résultats!I15</f>
        <v>15.50729902</v>
      </c>
      <c r="L25">
        <f>résultats!J15</f>
        <v>15.366500200000001</v>
      </c>
      <c r="M25">
        <f>résultats!K15</f>
        <v>15.133838000000001</v>
      </c>
      <c r="N25">
        <f>résultats!L15</f>
        <v>15.02690265</v>
      </c>
      <c r="O25">
        <f>résultats!M15</f>
        <v>14.89621009</v>
      </c>
      <c r="P25">
        <f>résultats!N15</f>
        <v>14.88297051</v>
      </c>
      <c r="Q25">
        <f>résultats!O15</f>
        <v>14.9453593</v>
      </c>
      <c r="R25" s="4">
        <f>résultats!R15</f>
        <v>14.41211972</v>
      </c>
      <c r="S25" s="4">
        <f>résultats!S15</f>
        <v>14.54920845</v>
      </c>
      <c r="T25" s="4">
        <f>résultats!T15</f>
        <v>14.577120069999999</v>
      </c>
      <c r="U25" s="4">
        <f>résultats!U15</f>
        <v>14.640605580000001</v>
      </c>
      <c r="V25" s="4">
        <f>résultats!V15</f>
        <v>14.627891610000001</v>
      </c>
      <c r="W25" s="4">
        <f>résultats!W15</f>
        <v>14.456544539999999</v>
      </c>
      <c r="X25" s="4">
        <f>résultats!X15</f>
        <v>14.22858254</v>
      </c>
      <c r="Y25" s="4">
        <f>résultats!Y15</f>
        <v>14.040746929999999</v>
      </c>
      <c r="Z25" s="4">
        <f>résultats!Z15</f>
        <v>13.87231719</v>
      </c>
      <c r="AA25" s="4">
        <f>résultats!AA15</f>
        <v>13.726531230000001</v>
      </c>
      <c r="AB25" s="4">
        <f>résultats!AB15</f>
        <v>13.603263589999999</v>
      </c>
      <c r="AC25" s="4">
        <f>résultats!AC15</f>
        <v>13.43312092</v>
      </c>
      <c r="AD25" s="4">
        <f>résultats!AD15</f>
        <v>13.274528050000001</v>
      </c>
      <c r="AE25" s="4">
        <f>résultats!AE15</f>
        <v>13.13219827</v>
      </c>
      <c r="AF25" s="4">
        <f>résultats!AF15</f>
        <v>12.999535509999999</v>
      </c>
      <c r="AG25" s="4">
        <f>résultats!AG15</f>
        <v>12.869291069999999</v>
      </c>
      <c r="AH25" s="4">
        <f>résultats!AH15</f>
        <v>12.820326659999999</v>
      </c>
      <c r="AI25" s="4">
        <f>résultats!AI15</f>
        <v>12.77583083</v>
      </c>
      <c r="AJ25" s="4">
        <f>résultats!AJ15</f>
        <v>12.734654320000001</v>
      </c>
      <c r="AK25" s="4">
        <f>résultats!AK15</f>
        <v>12.694022670000001</v>
      </c>
      <c r="AL25" s="4">
        <f>résultats!AL15</f>
        <v>12.651809139999999</v>
      </c>
      <c r="AM25" s="4">
        <f>résultats!AM15</f>
        <v>12.74515824</v>
      </c>
      <c r="AN25" s="4">
        <f>résultats!AN15</f>
        <v>12.849390270000001</v>
      </c>
      <c r="AO25" s="4">
        <f>résultats!AO15</f>
        <v>12.955298389999999</v>
      </c>
      <c r="AP25" s="4">
        <f>résultats!AP15</f>
        <v>13.06164124</v>
      </c>
      <c r="AQ25" s="4">
        <f>résultats!AQ15</f>
        <v>13.16602316</v>
      </c>
      <c r="AR25" s="4">
        <f>résultats!AR15</f>
        <v>13.36370522</v>
      </c>
      <c r="AS25" s="4">
        <f>résultats!AS15</f>
        <v>13.56089929</v>
      </c>
      <c r="AT25" s="4">
        <f>résultats!AT15</f>
        <v>13.75739705</v>
      </c>
      <c r="AU25" s="4">
        <f>résultats!AU15</f>
        <v>13.95223843</v>
      </c>
      <c r="AV25" s="4">
        <f>résultats!AV15</f>
        <v>14.14724687</v>
      </c>
    </row>
    <row r="26" spans="1:51">
      <c r="A26" t="s">
        <v>6</v>
      </c>
      <c r="D26">
        <f>résultats!B16</f>
        <v>8.0720537060518599E-2</v>
      </c>
      <c r="E26">
        <f>résultats!C16</f>
        <v>8.2016531392822806E-2</v>
      </c>
      <c r="F26">
        <f>résultats!D16</f>
        <v>8.3332882400000002E-2</v>
      </c>
      <c r="G26">
        <f>résultats!E16</f>
        <v>8.4155181900000001E-2</v>
      </c>
      <c r="H26">
        <f>résultats!F16</f>
        <v>8.1137951099999994E-2</v>
      </c>
      <c r="I26">
        <f>résultats!G16</f>
        <v>7.4984697099999997E-2</v>
      </c>
      <c r="J26">
        <f>résultats!H16</f>
        <v>7.6999632700000001E-2</v>
      </c>
      <c r="K26">
        <f>résultats!I16</f>
        <v>7.8096814700000003E-2</v>
      </c>
      <c r="L26">
        <f>résultats!J16</f>
        <v>7.6752790599999995E-2</v>
      </c>
      <c r="M26">
        <f>résultats!K16</f>
        <v>7.7510929399999998E-2</v>
      </c>
      <c r="N26">
        <f>résultats!L16</f>
        <v>8.0187598499999999E-2</v>
      </c>
      <c r="O26">
        <f>résultats!M16</f>
        <v>8.4128705999999998E-2</v>
      </c>
      <c r="P26">
        <f>résultats!N16</f>
        <v>8.7383390800000002E-2</v>
      </c>
      <c r="Q26">
        <f>résultats!O16</f>
        <v>9.3536466200000001E-2</v>
      </c>
      <c r="R26" s="4">
        <f>résultats!P16</f>
        <v>9.5080866599999994E-2</v>
      </c>
      <c r="S26" s="4">
        <f>résultats!Q16</f>
        <v>9.89627649E-2</v>
      </c>
      <c r="T26" s="4">
        <f>résultats!R16</f>
        <v>0.10347197480000001</v>
      </c>
      <c r="U26" s="4">
        <f>résultats!S16</f>
        <v>0.1181361291</v>
      </c>
      <c r="V26" s="4">
        <f>résultats!T16</f>
        <v>0.1294294808</v>
      </c>
      <c r="W26" s="4">
        <f>résultats!U16</f>
        <v>0.1389513453</v>
      </c>
      <c r="X26" s="4">
        <f>résultats!V16</f>
        <v>0.146033792</v>
      </c>
      <c r="Y26" s="4">
        <f>résultats!W16</f>
        <v>0.1731803666</v>
      </c>
      <c r="Z26" s="4">
        <f>résultats!X16</f>
        <v>0.21113508119999999</v>
      </c>
      <c r="AA26" s="4">
        <f>résultats!Y16</f>
        <v>0.24957868920000001</v>
      </c>
      <c r="AB26" s="4">
        <f>résultats!Z16</f>
        <v>0.28843432619999998</v>
      </c>
      <c r="AC26" s="4">
        <f>résultats!AA16</f>
        <v>0.32796020370000001</v>
      </c>
      <c r="AD26" s="4">
        <f>résultats!AB16</f>
        <v>0.36837489899999998</v>
      </c>
      <c r="AE26" s="4">
        <f>résultats!AC16</f>
        <v>0.42693915290000001</v>
      </c>
      <c r="AF26" s="4">
        <f>résultats!AD16</f>
        <v>0.48673286240000002</v>
      </c>
      <c r="AG26" s="4">
        <f>résultats!AE16</f>
        <v>0.5481762187</v>
      </c>
      <c r="AH26" s="4">
        <f>résultats!AF16</f>
        <v>0.61127509120000001</v>
      </c>
      <c r="AI26" s="4">
        <f>résultats!AG16</f>
        <v>0.67588194450000005</v>
      </c>
      <c r="AJ26" s="4">
        <f>résultats!AH16</f>
        <v>0.73307577000000002</v>
      </c>
      <c r="AK26" s="4">
        <f>résultats!AI16</f>
        <v>0.79204545859999997</v>
      </c>
      <c r="AL26" s="4">
        <f>résultats!AJ16</f>
        <v>0.85285581539999999</v>
      </c>
      <c r="AM26" s="4">
        <f>résultats!AK16</f>
        <v>0.91544042290000005</v>
      </c>
      <c r="AN26" s="4">
        <f>résultats!AL16</f>
        <v>0.97973318870000003</v>
      </c>
      <c r="AO26" s="4">
        <f>résultats!AM16</f>
        <v>1.0150685349999999</v>
      </c>
      <c r="AP26" s="4">
        <f>résultats!AN16</f>
        <v>1.052089158</v>
      </c>
      <c r="AQ26" s="4">
        <f>résultats!AO16</f>
        <v>1.0901105280000001</v>
      </c>
      <c r="AR26" s="4">
        <f>résultats!AP16</f>
        <v>1.129054548</v>
      </c>
      <c r="AS26" s="4">
        <f>résultats!AQ16</f>
        <v>1.168729898</v>
      </c>
      <c r="AT26" s="4">
        <f>résultats!AR16</f>
        <v>1.186487957</v>
      </c>
      <c r="AU26" s="4">
        <f>résultats!AS16</f>
        <v>1.2042089730000001</v>
      </c>
      <c r="AV26" s="4">
        <f>résultats!AT16</f>
        <v>1.221874425</v>
      </c>
    </row>
    <row r="27" spans="1:51">
      <c r="A27" t="s">
        <v>7</v>
      </c>
      <c r="D27">
        <f>résultats!B17</f>
        <v>2.4451023560838E-2</v>
      </c>
      <c r="E27">
        <f>résultats!C17</f>
        <v>2.48435926530149E-2</v>
      </c>
      <c r="F27">
        <f>résultats!D17</f>
        <v>2.5242402899999999E-2</v>
      </c>
      <c r="G27">
        <f>résultats!E17</f>
        <v>2.9731448800000001E-2</v>
      </c>
      <c r="H27">
        <f>résultats!F17</f>
        <v>3.37587445E-2</v>
      </c>
      <c r="I27">
        <f>résultats!G17</f>
        <v>3.7411396200000002E-2</v>
      </c>
      <c r="J27">
        <f>résultats!H17</f>
        <v>4.2190332800000001E-2</v>
      </c>
      <c r="K27">
        <f>résultats!I17</f>
        <v>4.6655700100000003E-2</v>
      </c>
      <c r="L27">
        <f>résultats!J17</f>
        <v>5.0768523400000001E-2</v>
      </c>
      <c r="M27">
        <f>résultats!K17</f>
        <v>5.4698708300000003E-2</v>
      </c>
      <c r="N27">
        <f>résultats!L17</f>
        <v>5.78501716E-2</v>
      </c>
      <c r="O27">
        <f>résultats!M17</f>
        <v>5.9700780699999997E-2</v>
      </c>
      <c r="P27">
        <f>résultats!N17</f>
        <v>6.5847437499999995E-2</v>
      </c>
      <c r="Q27">
        <f>résultats!O17</f>
        <v>7.31811401E-2</v>
      </c>
      <c r="R27" s="4">
        <f>résultats!P17</f>
        <v>8.1028714599999996E-2</v>
      </c>
      <c r="S27" s="4">
        <f>résultats!Q17</f>
        <v>9.0227040300000005E-2</v>
      </c>
      <c r="T27" s="4">
        <f>résultats!R17</f>
        <v>0.1015220421</v>
      </c>
      <c r="U27" s="4">
        <f>résultats!S17</f>
        <v>0.15524814379999999</v>
      </c>
      <c r="V27" s="4">
        <f>résultats!T17</f>
        <v>0.1982278334</v>
      </c>
      <c r="W27" s="4">
        <f>résultats!U17</f>
        <v>0.2336408492</v>
      </c>
      <c r="X27" s="4">
        <f>résultats!V17</f>
        <v>0.26121875459999999</v>
      </c>
      <c r="Y27" s="4">
        <f>résultats!W17</f>
        <v>0.36945460029999999</v>
      </c>
      <c r="Z27" s="4">
        <f>résultats!X17</f>
        <v>0.48732348339999998</v>
      </c>
      <c r="AA27" s="4">
        <f>résultats!Y17</f>
        <v>0.60624278840000001</v>
      </c>
      <c r="AB27" s="4">
        <f>résultats!Z17</f>
        <v>0.72620393979999998</v>
      </c>
      <c r="AC27" s="4">
        <f>résultats!AA17</f>
        <v>0.84795679049999995</v>
      </c>
      <c r="AD27" s="4">
        <f>résultats!AB17</f>
        <v>0.97216723620000001</v>
      </c>
      <c r="AE27" s="4">
        <f>résultats!AC17</f>
        <v>1.125631515</v>
      </c>
      <c r="AF27" s="4">
        <f>résultats!AD17</f>
        <v>1.2823245830000001</v>
      </c>
      <c r="AG27" s="4">
        <f>résultats!AE17</f>
        <v>1.4433503029999999</v>
      </c>
      <c r="AH27" s="4">
        <f>résultats!AF17</f>
        <v>1.6087209790000001</v>
      </c>
      <c r="AI27" s="4">
        <f>résultats!AG17</f>
        <v>1.778046411</v>
      </c>
      <c r="AJ27" s="4">
        <f>résultats!AH17</f>
        <v>1.912161244</v>
      </c>
      <c r="AK27" s="4">
        <f>résultats!AI17</f>
        <v>2.0505263519999999</v>
      </c>
      <c r="AL27" s="4">
        <f>résultats!AJ17</f>
        <v>2.193277986</v>
      </c>
      <c r="AM27" s="4">
        <f>résultats!AK17</f>
        <v>2.340219737</v>
      </c>
      <c r="AN27" s="4">
        <f>résultats!AL17</f>
        <v>2.4911652630000001</v>
      </c>
      <c r="AO27" s="4">
        <f>résultats!AM17</f>
        <v>2.5693513060000002</v>
      </c>
      <c r="AP27" s="4">
        <f>résultats!AN17</f>
        <v>2.6514729479999999</v>
      </c>
      <c r="AQ27" s="4">
        <f>résultats!AO17</f>
        <v>2.7357778380000002</v>
      </c>
      <c r="AR27" s="4">
        <f>résultats!AP17</f>
        <v>2.8220599169999998</v>
      </c>
      <c r="AS27" s="4">
        <f>résultats!AQ17</f>
        <v>2.9098351299999998</v>
      </c>
      <c r="AT27" s="4">
        <f>résultats!AR17</f>
        <v>2.9567821219999999</v>
      </c>
      <c r="AU27" s="4">
        <f>résultats!AS17</f>
        <v>3.0037185559999999</v>
      </c>
      <c r="AV27" s="4">
        <f>résultats!AT17</f>
        <v>3.050597936</v>
      </c>
    </row>
    <row r="28" spans="1:51">
      <c r="A28" t="s">
        <v>31</v>
      </c>
    </row>
    <row r="29" spans="1:51">
      <c r="A29" t="s">
        <v>32</v>
      </c>
      <c r="D29" s="2">
        <f t="shared" ref="D29:Q29" si="5">D25/SUM($AV$34:$AV$36)</f>
        <v>1.4763581092395937</v>
      </c>
      <c r="E29" s="2">
        <f t="shared" si="5"/>
        <v>1.5000615162249966</v>
      </c>
      <c r="F29" s="2">
        <f t="shared" si="5"/>
        <v>1.524144163489356</v>
      </c>
      <c r="G29" s="2">
        <f t="shared" si="5"/>
        <v>1.5196390887715969</v>
      </c>
      <c r="H29" s="2">
        <f t="shared" si="5"/>
        <v>1.4948562127817375</v>
      </c>
      <c r="I29" s="2">
        <f t="shared" si="5"/>
        <v>1.4471537167415938</v>
      </c>
      <c r="J29" s="2">
        <f t="shared" si="5"/>
        <v>1.4396284928599452</v>
      </c>
      <c r="K29" s="2">
        <f t="shared" si="5"/>
        <v>1.434722701813933</v>
      </c>
      <c r="L29" s="2">
        <f t="shared" si="5"/>
        <v>1.4216961094214036</v>
      </c>
      <c r="M29" s="2">
        <f t="shared" si="5"/>
        <v>1.4001703917729942</v>
      </c>
      <c r="N29" s="2">
        <f t="shared" si="5"/>
        <v>1.3902768201024185</v>
      </c>
      <c r="O29" s="2">
        <f t="shared" si="5"/>
        <v>1.3781852506712526</v>
      </c>
      <c r="P29" s="2">
        <f t="shared" si="5"/>
        <v>1.3769603354900866</v>
      </c>
      <c r="Q29" s="2">
        <f t="shared" si="5"/>
        <v>1.3827324956345617</v>
      </c>
      <c r="R29" s="2">
        <f t="shared" ref="R29:AV29" si="6">R25/SUM($AV24:$AV26)</f>
        <v>0.93773218672486247</v>
      </c>
      <c r="S29" s="2">
        <f t="shared" si="6"/>
        <v>0.94665193739691944</v>
      </c>
      <c r="T29" s="2">
        <f t="shared" si="6"/>
        <v>0.94846802170416467</v>
      </c>
      <c r="U29" s="2">
        <f t="shared" si="6"/>
        <v>0.95259873996589484</v>
      </c>
      <c r="V29" s="2">
        <f t="shared" si="6"/>
        <v>0.95177149878821365</v>
      </c>
      <c r="W29" s="2">
        <f t="shared" si="6"/>
        <v>0.94062271111772111</v>
      </c>
      <c r="X29" s="2">
        <f t="shared" si="6"/>
        <v>0.92579024310446112</v>
      </c>
      <c r="Y29" s="2">
        <f t="shared" si="6"/>
        <v>0.91356861986428872</v>
      </c>
      <c r="Z29" s="2">
        <f t="shared" si="6"/>
        <v>0.90260964981212355</v>
      </c>
      <c r="AA29" s="2">
        <f t="shared" si="6"/>
        <v>0.89312400927342683</v>
      </c>
      <c r="AB29" s="2">
        <f t="shared" si="6"/>
        <v>0.8851035351269898</v>
      </c>
      <c r="AC29" s="2">
        <f t="shared" si="6"/>
        <v>0.87403311237905101</v>
      </c>
      <c r="AD29" s="2">
        <f t="shared" si="6"/>
        <v>0.8637141834724521</v>
      </c>
      <c r="AE29" s="2">
        <f t="shared" si="6"/>
        <v>0.85445342111212741</v>
      </c>
      <c r="AF29" s="2">
        <f t="shared" si="6"/>
        <v>0.84582164851734942</v>
      </c>
      <c r="AG29" s="2">
        <f t="shared" si="6"/>
        <v>0.83734722519151017</v>
      </c>
      <c r="AH29" s="2">
        <f t="shared" si="6"/>
        <v>0.83416132997602188</v>
      </c>
      <c r="AI29" s="2">
        <f t="shared" si="6"/>
        <v>0.83126618527998286</v>
      </c>
      <c r="AJ29" s="2">
        <f t="shared" si="6"/>
        <v>0.82858701389408229</v>
      </c>
      <c r="AK29" s="2">
        <f t="shared" si="6"/>
        <v>0.82594329411205292</v>
      </c>
      <c r="AL29" s="2">
        <f t="shared" si="6"/>
        <v>0.82319664847176288</v>
      </c>
      <c r="AM29" s="2">
        <f t="shared" si="6"/>
        <v>0.82927045700045021</v>
      </c>
      <c r="AN29" s="2">
        <f t="shared" si="6"/>
        <v>0.83605236912147107</v>
      </c>
      <c r="AO29" s="2">
        <f t="shared" si="6"/>
        <v>0.84294333692419465</v>
      </c>
      <c r="AP29" s="2">
        <f t="shared" si="6"/>
        <v>0.84986259066413339</v>
      </c>
      <c r="AQ29" s="2">
        <f t="shared" si="6"/>
        <v>0.85665425545722462</v>
      </c>
      <c r="AR29" s="2">
        <f t="shared" si="6"/>
        <v>0.86951654317072657</v>
      </c>
      <c r="AS29" s="2">
        <f t="shared" si="6"/>
        <v>0.88234707955696434</v>
      </c>
      <c r="AT29" s="2">
        <f t="shared" si="6"/>
        <v>0.89513231016503603</v>
      </c>
      <c r="AU29" s="2">
        <f t="shared" si="6"/>
        <v>0.90780976753297205</v>
      </c>
      <c r="AV29" s="2">
        <f t="shared" si="6"/>
        <v>0.92049809474810318</v>
      </c>
      <c r="AY29" s="20"/>
    </row>
    <row r="30" spans="1:51">
      <c r="A30" t="s">
        <v>33</v>
      </c>
      <c r="D30" s="2">
        <f t="shared" ref="D30:Q30" si="7">D26/SUM($AV$34:$AV$36)</f>
        <v>7.4681984834351223E-3</v>
      </c>
      <c r="E30" s="2">
        <f t="shared" si="7"/>
        <v>7.5881028257439248E-3</v>
      </c>
      <c r="F30" s="2">
        <f t="shared" si="7"/>
        <v>7.7098905510671421E-3</v>
      </c>
      <c r="G30" s="2">
        <f t="shared" si="7"/>
        <v>7.7859690324853879E-3</v>
      </c>
      <c r="H30" s="2">
        <f t="shared" si="7"/>
        <v>7.5068172911157789E-3</v>
      </c>
      <c r="I30" s="2">
        <f t="shared" si="7"/>
        <v>6.9375232320767737E-3</v>
      </c>
      <c r="J30" s="2">
        <f t="shared" si="7"/>
        <v>7.1239434361551682E-3</v>
      </c>
      <c r="K30" s="2">
        <f t="shared" si="7"/>
        <v>7.2254538230633854E-3</v>
      </c>
      <c r="L30" s="2">
        <f t="shared" si="7"/>
        <v>7.1011058056834348E-3</v>
      </c>
      <c r="M30" s="2">
        <f t="shared" si="7"/>
        <v>7.1712481912841203E-3</v>
      </c>
      <c r="N30" s="2">
        <f t="shared" si="7"/>
        <v>7.4188914409603537E-3</v>
      </c>
      <c r="O30" s="2">
        <f t="shared" si="7"/>
        <v>7.7835195037356053E-3</v>
      </c>
      <c r="P30" s="2">
        <f t="shared" si="7"/>
        <v>8.0846402961951003E-3</v>
      </c>
      <c r="Q30" s="2">
        <f t="shared" si="7"/>
        <v>8.6539178313072614E-3</v>
      </c>
      <c r="R30" s="2">
        <f t="shared" ref="R30:AV30" si="8">R26/SUM($AV25:$AV27)</f>
        <v>5.1619064008305241E-3</v>
      </c>
      <c r="S30" s="2">
        <f t="shared" si="8"/>
        <v>5.3726532776595072E-3</v>
      </c>
      <c r="T30" s="2">
        <f t="shared" si="8"/>
        <v>5.6174566779421294E-3</v>
      </c>
      <c r="U30" s="2">
        <f t="shared" si="8"/>
        <v>6.413568394744008E-3</v>
      </c>
      <c r="V30" s="2">
        <f t="shared" si="8"/>
        <v>7.0266804383300758E-3</v>
      </c>
      <c r="W30" s="2">
        <f t="shared" si="8"/>
        <v>7.5436190724420937E-3</v>
      </c>
      <c r="X30" s="2">
        <f t="shared" si="8"/>
        <v>7.9281225825759711E-3</v>
      </c>
      <c r="Y30" s="2">
        <f t="shared" si="8"/>
        <v>9.4019004539733202E-3</v>
      </c>
      <c r="Z30" s="2">
        <f t="shared" si="8"/>
        <v>1.1462448398489382E-2</v>
      </c>
      <c r="AA30" s="2">
        <f t="shared" si="8"/>
        <v>1.3549538191655188E-2</v>
      </c>
      <c r="AB30" s="2">
        <f t="shared" si="8"/>
        <v>1.5658996892556922E-2</v>
      </c>
      <c r="AC30" s="2">
        <f t="shared" si="8"/>
        <v>1.7804842711611472E-2</v>
      </c>
      <c r="AD30" s="2">
        <f t="shared" si="8"/>
        <v>1.999894213262669E-2</v>
      </c>
      <c r="AE30" s="2">
        <f t="shared" si="8"/>
        <v>2.3178374629156694E-2</v>
      </c>
      <c r="AF30" s="2">
        <f t="shared" si="8"/>
        <v>2.6424553832549134E-2</v>
      </c>
      <c r="AG30" s="2">
        <f t="shared" si="8"/>
        <v>2.9760291773472367E-2</v>
      </c>
      <c r="AH30" s="2">
        <f t="shared" si="8"/>
        <v>3.3185907099563004E-2</v>
      </c>
      <c r="AI30" s="2">
        <f t="shared" si="8"/>
        <v>3.6693390166474688E-2</v>
      </c>
      <c r="AJ30" s="2">
        <f t="shared" si="8"/>
        <v>3.9798422593013742E-2</v>
      </c>
      <c r="AK30" s="2">
        <f t="shared" si="8"/>
        <v>4.2999865995080107E-2</v>
      </c>
      <c r="AL30" s="2">
        <f t="shared" si="8"/>
        <v>4.6301238618483481E-2</v>
      </c>
      <c r="AM30" s="2">
        <f t="shared" si="8"/>
        <v>4.9698934680792159E-2</v>
      </c>
      <c r="AN30" s="2">
        <f t="shared" si="8"/>
        <v>5.3189366049137696E-2</v>
      </c>
      <c r="AO30" s="2">
        <f t="shared" si="8"/>
        <v>5.5107709421089383E-2</v>
      </c>
      <c r="AP30" s="2">
        <f t="shared" si="8"/>
        <v>5.7117545865159346E-2</v>
      </c>
      <c r="AQ30" s="2">
        <f t="shared" si="8"/>
        <v>5.9181712507613421E-2</v>
      </c>
      <c r="AR30" s="2">
        <f t="shared" si="8"/>
        <v>6.129596949012258E-2</v>
      </c>
      <c r="AS30" s="2">
        <f t="shared" si="8"/>
        <v>6.3449930117992909E-2</v>
      </c>
      <c r="AT30" s="2">
        <f t="shared" si="8"/>
        <v>6.441400881958971E-2</v>
      </c>
      <c r="AU30" s="2">
        <f t="shared" si="8"/>
        <v>6.5376076469903066E-2</v>
      </c>
      <c r="AV30" s="2">
        <f t="shared" si="8"/>
        <v>6.6335127570436095E-2</v>
      </c>
      <c r="AY30" s="20"/>
    </row>
    <row r="31" spans="1:51">
      <c r="A31" t="s">
        <v>34</v>
      </c>
      <c r="D31" s="2">
        <f t="shared" ref="D31:Q31" si="9">D27/SUM($AV$34:$AV$36)</f>
        <v>2.2621888273436819E-3</v>
      </c>
      <c r="E31" s="2">
        <f t="shared" si="9"/>
        <v>2.2985090006923926E-3</v>
      </c>
      <c r="F31" s="2">
        <f t="shared" si="9"/>
        <v>2.335406600611475E-3</v>
      </c>
      <c r="G31" s="2">
        <f t="shared" si="9"/>
        <v>2.7507294788192342E-3</v>
      </c>
      <c r="H31" s="2">
        <f t="shared" si="9"/>
        <v>3.1233316038092526E-3</v>
      </c>
      <c r="I31" s="2">
        <f t="shared" si="9"/>
        <v>3.4612719704101968E-3</v>
      </c>
      <c r="J31" s="2">
        <f t="shared" si="9"/>
        <v>3.9034153005740521E-3</v>
      </c>
      <c r="K31" s="2">
        <f t="shared" si="9"/>
        <v>4.3165474539545307E-3</v>
      </c>
      <c r="L31" s="2">
        <f t="shared" si="9"/>
        <v>4.6970625229842177E-3</v>
      </c>
      <c r="M31" s="2">
        <f t="shared" si="9"/>
        <v>5.0606800356847838E-3</v>
      </c>
      <c r="N31" s="2">
        <f t="shared" si="9"/>
        <v>5.3522508588572798E-3</v>
      </c>
      <c r="O31" s="2">
        <f t="shared" si="9"/>
        <v>5.5234677087116039E-3</v>
      </c>
      <c r="P31" s="2">
        <f t="shared" si="9"/>
        <v>6.0921514001684666E-3</v>
      </c>
      <c r="Q31" s="2">
        <f t="shared" si="9"/>
        <v>6.7706596042729789E-3</v>
      </c>
      <c r="R31" s="2">
        <f t="shared" ref="R31:AV31" si="10">R27/SUM($AV26:$AV28)</f>
        <v>1.8965298720161807E-2</v>
      </c>
      <c r="S31" s="2">
        <f t="shared" si="10"/>
        <v>2.1118226796177982E-2</v>
      </c>
      <c r="T31" s="2">
        <f t="shared" si="10"/>
        <v>2.3761895577538179E-2</v>
      </c>
      <c r="U31" s="2">
        <f t="shared" si="10"/>
        <v>3.6336839816013024E-2</v>
      </c>
      <c r="V31" s="2">
        <f t="shared" si="10"/>
        <v>4.6396516267598151E-2</v>
      </c>
      <c r="W31" s="2">
        <f t="shared" si="10"/>
        <v>5.4685163403916048E-2</v>
      </c>
      <c r="X31" s="2">
        <f t="shared" si="10"/>
        <v>6.1139951889322468E-2</v>
      </c>
      <c r="Y31" s="2">
        <f t="shared" si="10"/>
        <v>8.6473256953621749E-2</v>
      </c>
      <c r="Z31" s="2">
        <f t="shared" si="10"/>
        <v>0.11406123720035927</v>
      </c>
      <c r="AA31" s="2">
        <f t="shared" si="10"/>
        <v>0.14189507553844186</v>
      </c>
      <c r="AB31" s="2">
        <f t="shared" si="10"/>
        <v>0.16997276481620754</v>
      </c>
      <c r="AC31" s="2">
        <f t="shared" si="10"/>
        <v>0.19846981299172878</v>
      </c>
      <c r="AD31" s="2">
        <f t="shared" si="10"/>
        <v>0.22754207729326489</v>
      </c>
      <c r="AE31" s="2">
        <f t="shared" si="10"/>
        <v>0.26346139188049389</v>
      </c>
      <c r="AF31" s="2">
        <f t="shared" si="10"/>
        <v>0.30013642562215748</v>
      </c>
      <c r="AG31" s="2">
        <f t="shared" si="10"/>
        <v>0.33782554480052257</v>
      </c>
      <c r="AH31" s="2">
        <f t="shared" si="10"/>
        <v>0.37653162924697503</v>
      </c>
      <c r="AI31" s="2">
        <f t="shared" si="10"/>
        <v>0.41616335010856259</v>
      </c>
      <c r="AJ31" s="2">
        <f t="shared" si="10"/>
        <v>0.44755380080503226</v>
      </c>
      <c r="AK31" s="2">
        <f t="shared" si="10"/>
        <v>0.4799390560644986</v>
      </c>
      <c r="AL31" s="2">
        <f t="shared" si="10"/>
        <v>0.51335100632146602</v>
      </c>
      <c r="AM31" s="2">
        <f t="shared" si="10"/>
        <v>0.54774368076947755</v>
      </c>
      <c r="AN31" s="2">
        <f t="shared" si="10"/>
        <v>0.58307346484903333</v>
      </c>
      <c r="AO31" s="2">
        <f t="shared" si="10"/>
        <v>0.60137341775538755</v>
      </c>
      <c r="AP31" s="2">
        <f t="shared" si="10"/>
        <v>0.62059452325617981</v>
      </c>
      <c r="AQ31" s="2">
        <f t="shared" si="10"/>
        <v>0.64032663217970431</v>
      </c>
      <c r="AR31" s="2">
        <f t="shared" si="10"/>
        <v>0.66052151507411461</v>
      </c>
      <c r="AS31" s="2">
        <f t="shared" si="10"/>
        <v>0.68106587571205113</v>
      </c>
      <c r="AT31" s="2">
        <f t="shared" si="10"/>
        <v>0.69205412514545694</v>
      </c>
      <c r="AU31" s="2">
        <f t="shared" si="10"/>
        <v>0.70303990341015565</v>
      </c>
      <c r="AV31" s="2">
        <f t="shared" si="10"/>
        <v>0.71401232781433077</v>
      </c>
      <c r="AY31" s="20"/>
    </row>
    <row r="32" spans="1:51">
      <c r="AY32" s="21"/>
    </row>
    <row r="33" spans="1:51">
      <c r="A33" s="12" t="s">
        <v>1</v>
      </c>
      <c r="B33" s="12"/>
      <c r="C33" s="12"/>
      <c r="AY33" s="21"/>
    </row>
    <row r="34" spans="1:51">
      <c r="A34" t="s">
        <v>5</v>
      </c>
      <c r="D34">
        <f>résultats!B18</f>
        <v>15.957318185343199</v>
      </c>
      <c r="E34">
        <f>résultats!C18</f>
        <v>16.213518090349702</v>
      </c>
      <c r="F34">
        <f>résultats!D18</f>
        <v>16.47381704</v>
      </c>
      <c r="G34">
        <f>résultats!E18</f>
        <v>16.425123630000002</v>
      </c>
      <c r="H34">
        <f>résultats!F18</f>
        <v>16.15725621</v>
      </c>
      <c r="I34">
        <f>résultats!G18</f>
        <v>15.6416605</v>
      </c>
      <c r="J34">
        <f>résultats!H18</f>
        <v>15.5603236</v>
      </c>
      <c r="K34">
        <f>résultats!I18</f>
        <v>15.50729902</v>
      </c>
      <c r="L34">
        <f>résultats!J18</f>
        <v>15.366500200000001</v>
      </c>
      <c r="M34">
        <f>résultats!K18</f>
        <v>15.133838000000001</v>
      </c>
      <c r="N34">
        <f>résultats!L18</f>
        <v>15.02690265</v>
      </c>
      <c r="O34">
        <f>résultats!M18</f>
        <v>14.89621009</v>
      </c>
      <c r="P34">
        <f>résultats!N18</f>
        <v>14.88297051</v>
      </c>
      <c r="Q34">
        <f>résultats!O18</f>
        <v>14.9453593</v>
      </c>
      <c r="R34" s="4">
        <f>résultats!R18</f>
        <v>14.41211972</v>
      </c>
      <c r="S34" s="4">
        <f>résultats!S18</f>
        <v>14.54920845</v>
      </c>
      <c r="T34" s="4">
        <f>résultats!T18</f>
        <v>14.577120069999999</v>
      </c>
      <c r="U34" s="4">
        <f>résultats!U18</f>
        <v>14.640605580000001</v>
      </c>
      <c r="V34" s="4">
        <f>résultats!V18</f>
        <v>14.58102512</v>
      </c>
      <c r="W34" s="4">
        <f>résultats!W18</f>
        <v>14.352431109999999</v>
      </c>
      <c r="X34" s="4">
        <f>résultats!X18</f>
        <v>14.010135630000001</v>
      </c>
      <c r="Y34" s="4">
        <f>résultats!Y18</f>
        <v>13.68490227</v>
      </c>
      <c r="Z34" s="4">
        <f>résultats!Z18</f>
        <v>13.36659528</v>
      </c>
      <c r="AA34" s="4">
        <f>résultats!AA18</f>
        <v>13.05531506</v>
      </c>
      <c r="AB34" s="4">
        <f>résultats!AB18</f>
        <v>12.75440863</v>
      </c>
      <c r="AC34" s="4">
        <f>résultats!AC18</f>
        <v>12.29185668</v>
      </c>
      <c r="AD34" s="4">
        <f>résultats!AD18</f>
        <v>11.80455195</v>
      </c>
      <c r="AE34" s="4">
        <f>résultats!AE18</f>
        <v>11.318780090000001</v>
      </c>
      <c r="AF34" s="4">
        <f>résultats!AF18</f>
        <v>10.82977548</v>
      </c>
      <c r="AG34" s="4">
        <f>résultats!AG18</f>
        <v>10.33722532</v>
      </c>
      <c r="AH34" s="4">
        <f>résultats!AH18</f>
        <v>9.7380222950000004</v>
      </c>
      <c r="AI34" s="4">
        <f>résultats!AI18</f>
        <v>9.1296509619999995</v>
      </c>
      <c r="AJ34" s="4">
        <f>résultats!AJ18</f>
        <v>8.5213990010000007</v>
      </c>
      <c r="AK34" s="4">
        <f>résultats!AK18</f>
        <v>7.9110157540000001</v>
      </c>
      <c r="AL34" s="4">
        <f>résultats!AL18</f>
        <v>7.295917728</v>
      </c>
      <c r="AM34" s="4">
        <f>résultats!AM18</f>
        <v>6.8935453170000001</v>
      </c>
      <c r="AN34" s="4">
        <f>résultats!AN18</f>
        <v>6.4966093010000003</v>
      </c>
      <c r="AO34" s="4">
        <f>résultats!AO18</f>
        <v>6.0999746469999998</v>
      </c>
      <c r="AP34" s="4">
        <f>résultats!AP18</f>
        <v>5.7002698279999997</v>
      </c>
      <c r="AQ34" s="4">
        <f>résultats!AQ18</f>
        <v>5.292992108</v>
      </c>
      <c r="AR34" s="4">
        <f>résultats!AR18</f>
        <v>5.1276695449999998</v>
      </c>
      <c r="AS34" s="4">
        <f>résultats!AS18</f>
        <v>4.9691736630000003</v>
      </c>
      <c r="AT34" s="4">
        <f>résultats!AT18</f>
        <v>4.8102201520000003</v>
      </c>
      <c r="AU34" s="4">
        <f>résultats!AU18</f>
        <v>4.6494833270000004</v>
      </c>
      <c r="AV34" s="4">
        <f>résultats!AV18</f>
        <v>4.4486547359999999</v>
      </c>
      <c r="AW34" s="28">
        <f>SUM(AV34:AV36)/SUM(U34:U36)-1</f>
        <v>-0.28006218566184393</v>
      </c>
      <c r="AY34" s="21"/>
    </row>
    <row r="35" spans="1:51">
      <c r="A35" t="s">
        <v>6</v>
      </c>
      <c r="D35">
        <f>résultats!B19</f>
        <v>8.0720537060518599E-2</v>
      </c>
      <c r="E35">
        <f>résultats!C19</f>
        <v>8.2016531392822806E-2</v>
      </c>
      <c r="F35">
        <f>résultats!D19</f>
        <v>8.3332882400000002E-2</v>
      </c>
      <c r="G35">
        <f>résultats!E19</f>
        <v>8.4155181900000001E-2</v>
      </c>
      <c r="H35">
        <f>résultats!F19</f>
        <v>8.1137951099999994E-2</v>
      </c>
      <c r="I35">
        <f>résultats!G19</f>
        <v>7.4984697099999997E-2</v>
      </c>
      <c r="J35">
        <f>résultats!H19</f>
        <v>7.6999632700000001E-2</v>
      </c>
      <c r="K35">
        <f>résultats!I19</f>
        <v>7.8096814700000003E-2</v>
      </c>
      <c r="L35">
        <f>résultats!J19</f>
        <v>7.6752790599999995E-2</v>
      </c>
      <c r="M35">
        <f>résultats!K19</f>
        <v>7.7510929399999998E-2</v>
      </c>
      <c r="N35">
        <f>résultats!L19</f>
        <v>8.0187598499999999E-2</v>
      </c>
      <c r="O35">
        <f>résultats!M19</f>
        <v>8.4128705999999998E-2</v>
      </c>
      <c r="P35">
        <f>résultats!N19</f>
        <v>8.7383390800000002E-2</v>
      </c>
      <c r="Q35">
        <f>résultats!O19</f>
        <v>9.3536466200000001E-2</v>
      </c>
      <c r="R35" s="4">
        <f>résultats!R19</f>
        <v>0.10347197480000001</v>
      </c>
      <c r="S35" s="4">
        <f>résultats!S19</f>
        <v>0.1181361291</v>
      </c>
      <c r="T35" s="4">
        <f>résultats!T19</f>
        <v>0.1294294808</v>
      </c>
      <c r="U35" s="4">
        <f>résultats!U19</f>
        <v>0.1389513453</v>
      </c>
      <c r="V35" s="4">
        <f>résultats!V19</f>
        <v>0.17869394969999999</v>
      </c>
      <c r="W35" s="4">
        <f>résultats!W19</f>
        <v>0.21596209159999999</v>
      </c>
      <c r="X35" s="4">
        <f>résultats!X19</f>
        <v>0.32711457100000002</v>
      </c>
      <c r="Y35" s="4">
        <f>résultats!Y19</f>
        <v>0.43770924779999998</v>
      </c>
      <c r="Z35" s="4">
        <f>résultats!Z19</f>
        <v>0.54772191879999998</v>
      </c>
      <c r="AA35" s="4">
        <f>résultats!AA19</f>
        <v>0.65729675190000003</v>
      </c>
      <c r="AB35" s="4">
        <f>résultats!AB19</f>
        <v>0.76678897970000004</v>
      </c>
      <c r="AC35" s="4">
        <f>résultats!AC19</f>
        <v>0.98447879979999997</v>
      </c>
      <c r="AD35" s="4">
        <f>résultats!AD19</f>
        <v>1.202202572</v>
      </c>
      <c r="AE35" s="4">
        <f>résultats!AE19</f>
        <v>1.4218513749999999</v>
      </c>
      <c r="AF35" s="4">
        <f>résultats!AF19</f>
        <v>1.6430736640000001</v>
      </c>
      <c r="AG35" s="4">
        <f>résultats!AG19</f>
        <v>1.865849275</v>
      </c>
      <c r="AH35" s="4">
        <f>résultats!AH19</f>
        <v>2.1431934419999998</v>
      </c>
      <c r="AI35" s="4">
        <f>résultats!AI19</f>
        <v>2.4226871120000002</v>
      </c>
      <c r="AJ35" s="4">
        <f>résultats!AJ19</f>
        <v>2.7069026369999998</v>
      </c>
      <c r="AK35" s="4">
        <f>résultats!AK19</f>
        <v>2.9961843589999999</v>
      </c>
      <c r="AL35" s="4">
        <f>résultats!AL19</f>
        <v>3.2905144910000002</v>
      </c>
      <c r="AM35" s="4">
        <f>résultats!AM19</f>
        <v>3.4880572459999999</v>
      </c>
      <c r="AN35" s="4">
        <f>résultats!AN19</f>
        <v>3.6932061460000001</v>
      </c>
      <c r="AO35" s="4">
        <f>résultats!AO19</f>
        <v>3.9048320950000002</v>
      </c>
      <c r="AP35" s="4">
        <f>résultats!AP19</f>
        <v>4.1220593399999998</v>
      </c>
      <c r="AQ35" s="4">
        <f>résultats!AQ19</f>
        <v>4.342309212</v>
      </c>
      <c r="AR35" s="4">
        <f>résultats!AR19</f>
        <v>4.4509349870000001</v>
      </c>
      <c r="AS35" s="4">
        <f>résultats!AS19</f>
        <v>4.5689421479999996</v>
      </c>
      <c r="AT35" s="4">
        <f>résultats!AT19</f>
        <v>4.6907530680000002</v>
      </c>
      <c r="AU35" s="4">
        <f>résultats!AU19</f>
        <v>4.815462052</v>
      </c>
      <c r="AV35" s="4">
        <f>résultats!AV19</f>
        <v>4.9011534120000002</v>
      </c>
      <c r="AW35" s="28"/>
      <c r="AY35" s="21"/>
    </row>
    <row r="36" spans="1:51">
      <c r="A36" t="s">
        <v>7</v>
      </c>
      <c r="D36">
        <f>résultats!B20</f>
        <v>2.4451023560838E-2</v>
      </c>
      <c r="E36">
        <f>résultats!C20</f>
        <v>2.48435926530149E-2</v>
      </c>
      <c r="F36">
        <f>résultats!D20</f>
        <v>2.5242402899999999E-2</v>
      </c>
      <c r="G36">
        <f>résultats!E20</f>
        <v>2.9731448800000001E-2</v>
      </c>
      <c r="H36">
        <f>résultats!F20</f>
        <v>3.37587445E-2</v>
      </c>
      <c r="I36">
        <f>résultats!G20</f>
        <v>3.7411396200000002E-2</v>
      </c>
      <c r="J36">
        <f>résultats!H20</f>
        <v>4.2190332800000001E-2</v>
      </c>
      <c r="K36">
        <f>résultats!I20</f>
        <v>4.6655700100000003E-2</v>
      </c>
      <c r="L36">
        <f>résultats!J20</f>
        <v>5.0768523400000001E-2</v>
      </c>
      <c r="M36">
        <f>résultats!K20</f>
        <v>5.4698708300000003E-2</v>
      </c>
      <c r="N36">
        <f>résultats!L20</f>
        <v>5.78501716E-2</v>
      </c>
      <c r="O36">
        <f>résultats!M20</f>
        <v>5.9700780699999997E-2</v>
      </c>
      <c r="P36">
        <f>résultats!N20</f>
        <v>6.5847437499999995E-2</v>
      </c>
      <c r="Q36">
        <f>résultats!O20</f>
        <v>7.31811401E-2</v>
      </c>
      <c r="R36" s="4">
        <f>résultats!R20</f>
        <v>0.1015220421</v>
      </c>
      <c r="S36" s="4">
        <f>résultats!S20</f>
        <v>0.15524814379999999</v>
      </c>
      <c r="T36" s="4">
        <f>résultats!T20</f>
        <v>0.1982278334</v>
      </c>
      <c r="U36" s="4">
        <f>résultats!U20</f>
        <v>0.2336408492</v>
      </c>
      <c r="V36" s="4">
        <f>résultats!V20</f>
        <v>0.2231214306</v>
      </c>
      <c r="W36" s="4">
        <f>résultats!W20</f>
        <v>0.21011339640000001</v>
      </c>
      <c r="X36" s="4">
        <f>résultats!X20</f>
        <v>0.2449913853</v>
      </c>
      <c r="Y36" s="4">
        <f>résultats!Y20</f>
        <v>0.27982878729999999</v>
      </c>
      <c r="Z36" s="4">
        <f>résultats!Z20</f>
        <v>0.31452132849999997</v>
      </c>
      <c r="AA36" s="4">
        <f>résultats!AA20</f>
        <v>0.3491194822</v>
      </c>
      <c r="AB36" s="4">
        <f>résultats!AB20</f>
        <v>0.3837768278</v>
      </c>
      <c r="AC36" s="4">
        <f>résultats!AC20</f>
        <v>0.43952207570000001</v>
      </c>
      <c r="AD36" s="4">
        <f>résultats!AD20</f>
        <v>0.4949431031</v>
      </c>
      <c r="AE36" s="4">
        <f>résultats!AE20</f>
        <v>0.55091890990000003</v>
      </c>
      <c r="AF36" s="4">
        <f>résultats!AF20</f>
        <v>0.60728752090000004</v>
      </c>
      <c r="AG36" s="4">
        <f>résultats!AG20</f>
        <v>0.66403901460000003</v>
      </c>
      <c r="AH36" s="4">
        <f>résultats!AH20</f>
        <v>0.73251077389999997</v>
      </c>
      <c r="AI36" s="4">
        <f>résultats!AI20</f>
        <v>0.80143019059999998</v>
      </c>
      <c r="AJ36" s="4">
        <f>résultats!AJ20</f>
        <v>0.87164215320000005</v>
      </c>
      <c r="AK36" s="4">
        <f>résultats!AK20</f>
        <v>0.94320994499999999</v>
      </c>
      <c r="AL36" s="4">
        <f>résultats!AL20</f>
        <v>1.016091614</v>
      </c>
      <c r="AM36" s="4">
        <f>résultats!AM20</f>
        <v>1.070215159</v>
      </c>
      <c r="AN36" s="4">
        <f>résultats!AN20</f>
        <v>1.126581506</v>
      </c>
      <c r="AO36" s="4">
        <f>résultats!AO20</f>
        <v>1.1848201739999999</v>
      </c>
      <c r="AP36" s="4">
        <f>résultats!AP20</f>
        <v>1.244648693</v>
      </c>
      <c r="AQ36" s="4">
        <f>résultats!AQ20</f>
        <v>1.305280421</v>
      </c>
      <c r="AR36" s="4">
        <f>résultats!AR20</f>
        <v>1.335106812</v>
      </c>
      <c r="AS36" s="4">
        <f>résultats!AS20</f>
        <v>1.367706946</v>
      </c>
      <c r="AT36" s="4">
        <f>résultats!AT20</f>
        <v>1.401399539</v>
      </c>
      <c r="AU36" s="4">
        <f>résultats!AU20</f>
        <v>1.435910169</v>
      </c>
      <c r="AV36" s="4">
        <f>résultats!AV20</f>
        <v>1.4587606440000001</v>
      </c>
      <c r="AW36" s="28"/>
      <c r="AY36" s="21"/>
    </row>
    <row r="37" spans="1:51">
      <c r="A37" t="s">
        <v>31</v>
      </c>
      <c r="AW37" s="28"/>
      <c r="AY37" s="21"/>
    </row>
    <row r="38" spans="1:51">
      <c r="A38" t="s">
        <v>32</v>
      </c>
      <c r="D38" s="2">
        <f t="shared" ref="D38:Q38" si="11">D34/SUM($AV$34:$AV$36)</f>
        <v>1.4763581092395937</v>
      </c>
      <c r="E38" s="2">
        <f t="shared" si="11"/>
        <v>1.5000615162249966</v>
      </c>
      <c r="F38" s="2">
        <f t="shared" si="11"/>
        <v>1.524144163489356</v>
      </c>
      <c r="G38" s="2">
        <f t="shared" si="11"/>
        <v>1.5196390887715969</v>
      </c>
      <c r="H38" s="2">
        <f t="shared" si="11"/>
        <v>1.4948562127817375</v>
      </c>
      <c r="I38" s="2">
        <f t="shared" si="11"/>
        <v>1.4471537167415938</v>
      </c>
      <c r="J38" s="2">
        <f t="shared" si="11"/>
        <v>1.4396284928599452</v>
      </c>
      <c r="K38" s="2">
        <f t="shared" si="11"/>
        <v>1.434722701813933</v>
      </c>
      <c r="L38" s="2">
        <f t="shared" si="11"/>
        <v>1.4216961094214036</v>
      </c>
      <c r="M38" s="2">
        <f t="shared" si="11"/>
        <v>1.4001703917729942</v>
      </c>
      <c r="N38" s="2">
        <f t="shared" si="11"/>
        <v>1.3902768201024185</v>
      </c>
      <c r="O38" s="2">
        <f t="shared" si="11"/>
        <v>1.3781852506712526</v>
      </c>
      <c r="P38" s="2">
        <f t="shared" si="11"/>
        <v>1.3769603354900866</v>
      </c>
      <c r="Q38" s="2">
        <f t="shared" si="11"/>
        <v>1.3827324956345617</v>
      </c>
      <c r="R38" s="2">
        <f t="shared" ref="R38:AV38" si="12">R34/SUM(R$34:R$36)</f>
        <v>0.98597575276557481</v>
      </c>
      <c r="S38" s="2">
        <f t="shared" si="12"/>
        <v>0.9815562447130024</v>
      </c>
      <c r="T38" s="2">
        <f t="shared" si="12"/>
        <v>0.97801662475366191</v>
      </c>
      <c r="U38" s="2">
        <f t="shared" si="12"/>
        <v>0.97518235621108973</v>
      </c>
      <c r="V38" s="2">
        <f t="shared" si="12"/>
        <v>0.97318162865766644</v>
      </c>
      <c r="W38" s="2">
        <f t="shared" si="12"/>
        <v>0.97116924601450172</v>
      </c>
      <c r="X38" s="2">
        <f t="shared" si="12"/>
        <v>0.96076694019131514</v>
      </c>
      <c r="Y38" s="2">
        <f t="shared" si="12"/>
        <v>0.95017941266203942</v>
      </c>
      <c r="Z38" s="2">
        <f t="shared" si="12"/>
        <v>0.9394017125399472</v>
      </c>
      <c r="AA38" s="2">
        <f t="shared" si="12"/>
        <v>0.92842871101353841</v>
      </c>
      <c r="AB38" s="2">
        <f t="shared" si="12"/>
        <v>0.91725509365935509</v>
      </c>
      <c r="AC38" s="2">
        <f t="shared" si="12"/>
        <v>0.89617850216525607</v>
      </c>
      <c r="AD38" s="2">
        <f t="shared" si="12"/>
        <v>0.87430131215907514</v>
      </c>
      <c r="AE38" s="2">
        <f t="shared" si="12"/>
        <v>0.85157711258233548</v>
      </c>
      <c r="AF38" s="2">
        <f t="shared" si="12"/>
        <v>0.82795583543566853</v>
      </c>
      <c r="AG38" s="2">
        <f t="shared" si="12"/>
        <v>0.80338338757555694</v>
      </c>
      <c r="AH38" s="2">
        <f t="shared" si="12"/>
        <v>0.77201787168803815</v>
      </c>
      <c r="AI38" s="2">
        <f t="shared" si="12"/>
        <v>0.73901750190354631</v>
      </c>
      <c r="AJ38" s="2">
        <f t="shared" si="12"/>
        <v>0.70425112281905056</v>
      </c>
      <c r="AK38" s="2">
        <f t="shared" si="12"/>
        <v>0.66757316542472001</v>
      </c>
      <c r="AL38" s="2">
        <f t="shared" si="12"/>
        <v>0.62882161097130318</v>
      </c>
      <c r="AM38" s="2">
        <f t="shared" si="12"/>
        <v>0.6019607964731104</v>
      </c>
      <c r="AN38" s="2">
        <f t="shared" si="12"/>
        <v>0.57408814201040681</v>
      </c>
      <c r="AO38" s="2">
        <f t="shared" si="12"/>
        <v>0.54514548990705602</v>
      </c>
      <c r="AP38" s="2">
        <f t="shared" si="12"/>
        <v>0.51507013925524647</v>
      </c>
      <c r="AQ38" s="2">
        <f t="shared" si="12"/>
        <v>0.48379439350692205</v>
      </c>
      <c r="AR38" s="2">
        <f t="shared" si="12"/>
        <v>0.46983738009701204</v>
      </c>
      <c r="AS38" s="2">
        <f t="shared" si="12"/>
        <v>0.45564408790803895</v>
      </c>
      <c r="AT38" s="2">
        <f t="shared" si="12"/>
        <v>0.44120855691978822</v>
      </c>
      <c r="AU38" s="2">
        <f t="shared" si="12"/>
        <v>0.42652462520274842</v>
      </c>
      <c r="AV38" s="2">
        <f t="shared" si="12"/>
        <v>0.41158592054229115</v>
      </c>
      <c r="AW38" s="28"/>
      <c r="AX38" s="23">
        <f>AV38</f>
        <v>0.41158592054229115</v>
      </c>
      <c r="AY38" s="20"/>
    </row>
    <row r="39" spans="1:51">
      <c r="A39" t="s">
        <v>33</v>
      </c>
      <c r="D39" s="2">
        <f t="shared" ref="D39:Q39" si="13">D35/SUM($AV$34:$AV$36)</f>
        <v>7.4681984834351223E-3</v>
      </c>
      <c r="E39" s="2">
        <f t="shared" si="13"/>
        <v>7.5881028257439248E-3</v>
      </c>
      <c r="F39" s="2">
        <f t="shared" si="13"/>
        <v>7.7098905510671421E-3</v>
      </c>
      <c r="G39" s="2">
        <f t="shared" si="13"/>
        <v>7.7859690324853879E-3</v>
      </c>
      <c r="H39" s="2">
        <f t="shared" si="13"/>
        <v>7.5068172911157789E-3</v>
      </c>
      <c r="I39" s="2">
        <f t="shared" si="13"/>
        <v>6.9375232320767737E-3</v>
      </c>
      <c r="J39" s="2">
        <f t="shared" si="13"/>
        <v>7.1239434361551682E-3</v>
      </c>
      <c r="K39" s="2">
        <f t="shared" si="13"/>
        <v>7.2254538230633854E-3</v>
      </c>
      <c r="L39" s="2">
        <f t="shared" si="13"/>
        <v>7.1011058056834348E-3</v>
      </c>
      <c r="M39" s="2">
        <f t="shared" si="13"/>
        <v>7.1712481912841203E-3</v>
      </c>
      <c r="N39" s="2">
        <f t="shared" si="13"/>
        <v>7.4188914409603537E-3</v>
      </c>
      <c r="O39" s="2">
        <f t="shared" si="13"/>
        <v>7.7835195037356053E-3</v>
      </c>
      <c r="P39" s="2">
        <f t="shared" si="13"/>
        <v>8.0846402961951003E-3</v>
      </c>
      <c r="Q39" s="2">
        <f t="shared" si="13"/>
        <v>8.6539178313072614E-3</v>
      </c>
      <c r="R39" s="2">
        <f t="shared" ref="R39:AV39" si="14">R35/SUM(R$34:R$36)</f>
        <v>7.0788239499560987E-3</v>
      </c>
      <c r="S39" s="2">
        <f t="shared" si="14"/>
        <v>7.9700043918421171E-3</v>
      </c>
      <c r="T39" s="2">
        <f t="shared" si="14"/>
        <v>8.6837580638543018E-3</v>
      </c>
      <c r="U39" s="2">
        <f t="shared" si="14"/>
        <v>9.255279746997646E-3</v>
      </c>
      <c r="V39" s="2">
        <f t="shared" si="14"/>
        <v>1.1926573582387266E-2</v>
      </c>
      <c r="W39" s="2">
        <f t="shared" si="14"/>
        <v>1.4613255417108688E-2</v>
      </c>
      <c r="X39" s="2">
        <f t="shared" si="14"/>
        <v>2.2432392788453305E-2</v>
      </c>
      <c r="Y39" s="2">
        <f t="shared" si="14"/>
        <v>3.0391325256526439E-2</v>
      </c>
      <c r="Z39" s="2">
        <f t="shared" si="14"/>
        <v>3.8493789760079118E-2</v>
      </c>
      <c r="AA39" s="2">
        <f t="shared" si="14"/>
        <v>4.6743657530690236E-2</v>
      </c>
      <c r="AB39" s="2">
        <f t="shared" si="14"/>
        <v>5.5144939902375137E-2</v>
      </c>
      <c r="AC39" s="2">
        <f t="shared" si="14"/>
        <v>7.1776685913833238E-2</v>
      </c>
      <c r="AD39" s="2">
        <f t="shared" si="14"/>
        <v>8.9040845483391265E-2</v>
      </c>
      <c r="AE39" s="2">
        <f t="shared" si="14"/>
        <v>0.10697408014079753</v>
      </c>
      <c r="AF39" s="2">
        <f t="shared" si="14"/>
        <v>0.12561594011545149</v>
      </c>
      <c r="AG39" s="2">
        <f t="shared" si="14"/>
        <v>0.14500915524736738</v>
      </c>
      <c r="AH39" s="2">
        <f t="shared" si="14"/>
        <v>0.16990961712607175</v>
      </c>
      <c r="AI39" s="2">
        <f t="shared" si="14"/>
        <v>0.19610915957864164</v>
      </c>
      <c r="AJ39" s="2">
        <f t="shared" si="14"/>
        <v>0.22371200095728255</v>
      </c>
      <c r="AK39" s="2">
        <f t="shared" si="14"/>
        <v>0.25283381286686613</v>
      </c>
      <c r="AL39" s="2">
        <f t="shared" si="14"/>
        <v>0.28360333823586636</v>
      </c>
      <c r="AM39" s="2">
        <f t="shared" si="14"/>
        <v>0.30458546675076043</v>
      </c>
      <c r="AN39" s="2">
        <f t="shared" si="14"/>
        <v>0.32635883676923538</v>
      </c>
      <c r="AO39" s="2">
        <f t="shared" si="14"/>
        <v>0.34896892669553597</v>
      </c>
      <c r="AP39" s="2">
        <f t="shared" si="14"/>
        <v>0.37246476786821142</v>
      </c>
      <c r="AQ39" s="2">
        <f t="shared" si="14"/>
        <v>0.39689929793469109</v>
      </c>
      <c r="AR39" s="2">
        <f t="shared" si="14"/>
        <v>0.40782964169626662</v>
      </c>
      <c r="AS39" s="2">
        <f t="shared" si="14"/>
        <v>0.41894520475930003</v>
      </c>
      <c r="AT39" s="2">
        <f t="shared" si="14"/>
        <v>0.43025065934640183</v>
      </c>
      <c r="AU39" s="2">
        <f t="shared" si="14"/>
        <v>0.44175083605098336</v>
      </c>
      <c r="AV39" s="2">
        <f t="shared" si="14"/>
        <v>0.45345073027870308</v>
      </c>
      <c r="AW39" s="28"/>
      <c r="AX39" s="23">
        <f>AV39</f>
        <v>0.45345073027870308</v>
      </c>
      <c r="AY39" s="20"/>
    </row>
    <row r="40" spans="1:51">
      <c r="A40" t="s">
        <v>34</v>
      </c>
      <c r="D40" s="2">
        <f t="shared" ref="D40:Q40" si="15">D36/SUM($AV$34:$AV$36)</f>
        <v>2.2621888273436819E-3</v>
      </c>
      <c r="E40" s="2">
        <f t="shared" si="15"/>
        <v>2.2985090006923926E-3</v>
      </c>
      <c r="F40" s="2">
        <f t="shared" si="15"/>
        <v>2.335406600611475E-3</v>
      </c>
      <c r="G40" s="2">
        <f t="shared" si="15"/>
        <v>2.7507294788192342E-3</v>
      </c>
      <c r="H40" s="2">
        <f t="shared" si="15"/>
        <v>3.1233316038092526E-3</v>
      </c>
      <c r="I40" s="2">
        <f t="shared" si="15"/>
        <v>3.4612719704101968E-3</v>
      </c>
      <c r="J40" s="2">
        <f t="shared" si="15"/>
        <v>3.9034153005740521E-3</v>
      </c>
      <c r="K40" s="2">
        <f t="shared" si="15"/>
        <v>4.3165474539545307E-3</v>
      </c>
      <c r="L40" s="2">
        <f t="shared" si="15"/>
        <v>4.6970625229842177E-3</v>
      </c>
      <c r="M40" s="2">
        <f t="shared" si="15"/>
        <v>5.0606800356847838E-3</v>
      </c>
      <c r="N40" s="2">
        <f t="shared" si="15"/>
        <v>5.3522508588572798E-3</v>
      </c>
      <c r="O40" s="2">
        <f t="shared" si="15"/>
        <v>5.5234677087116039E-3</v>
      </c>
      <c r="P40" s="2">
        <f t="shared" si="15"/>
        <v>6.0921514001684666E-3</v>
      </c>
      <c r="Q40" s="2">
        <f t="shared" si="15"/>
        <v>6.7706596042729789E-3</v>
      </c>
      <c r="R40" s="2">
        <f t="shared" ref="R40:AV40" si="16">R36/SUM(R$34:R$36)</f>
        <v>6.9454232844692104E-3</v>
      </c>
      <c r="S40" s="2">
        <f t="shared" si="16"/>
        <v>1.0473750895155549E-2</v>
      </c>
      <c r="T40" s="2">
        <f t="shared" si="16"/>
        <v>1.3299617182483648E-2</v>
      </c>
      <c r="U40" s="2">
        <f t="shared" si="16"/>
        <v>1.5562364041912526E-2</v>
      </c>
      <c r="V40" s="2">
        <f t="shared" si="16"/>
        <v>1.4891797759946285E-2</v>
      </c>
      <c r="W40" s="2">
        <f t="shared" si="16"/>
        <v>1.4217498568389516E-2</v>
      </c>
      <c r="X40" s="2">
        <f t="shared" si="16"/>
        <v>1.6800667020231589E-2</v>
      </c>
      <c r="Y40" s="2">
        <f t="shared" si="16"/>
        <v>1.9429262081434268E-2</v>
      </c>
      <c r="Z40" s="2">
        <f t="shared" si="16"/>
        <v>2.2104497699973694E-2</v>
      </c>
      <c r="AA40" s="2">
        <f t="shared" si="16"/>
        <v>2.482763145577124E-2</v>
      </c>
      <c r="AB40" s="2">
        <f t="shared" si="16"/>
        <v>2.7599966438269837E-2</v>
      </c>
      <c r="AC40" s="2">
        <f t="shared" si="16"/>
        <v>3.2044811920910736E-2</v>
      </c>
      <c r="AD40" s="2">
        <f t="shared" si="16"/>
        <v>3.6657842357533478E-2</v>
      </c>
      <c r="AE40" s="2">
        <f t="shared" si="16"/>
        <v>4.1448807276867047E-2</v>
      </c>
      <c r="AF40" s="2">
        <f t="shared" si="16"/>
        <v>4.6428224448879854E-2</v>
      </c>
      <c r="AG40" s="2">
        <f t="shared" si="16"/>
        <v>5.1607457177075704E-2</v>
      </c>
      <c r="AH40" s="2">
        <f t="shared" si="16"/>
        <v>5.8072511185890199E-2</v>
      </c>
      <c r="AI40" s="2">
        <f t="shared" si="16"/>
        <v>6.4873338517812101E-2</v>
      </c>
      <c r="AJ40" s="2">
        <f t="shared" si="16"/>
        <v>7.2036876223666793E-2</v>
      </c>
      <c r="AK40" s="2">
        <f t="shared" si="16"/>
        <v>7.9593021708413869E-2</v>
      </c>
      <c r="AL40" s="2">
        <f t="shared" si="16"/>
        <v>8.7575050792830372E-2</v>
      </c>
      <c r="AM40" s="2">
        <f t="shared" si="16"/>
        <v>9.345373677612924E-2</v>
      </c>
      <c r="AN40" s="2">
        <f t="shared" si="16"/>
        <v>9.9553021220357668E-2</v>
      </c>
      <c r="AO40" s="2">
        <f t="shared" si="16"/>
        <v>0.10588558339740806</v>
      </c>
      <c r="AP40" s="2">
        <f t="shared" si="16"/>
        <v>0.11246509287654208</v>
      </c>
      <c r="AQ40" s="2">
        <f t="shared" si="16"/>
        <v>0.11930630855838693</v>
      </c>
      <c r="AR40" s="2">
        <f t="shared" si="16"/>
        <v>0.1223329782067214</v>
      </c>
      <c r="AS40" s="2">
        <f t="shared" si="16"/>
        <v>0.12541070733266088</v>
      </c>
      <c r="AT40" s="2">
        <f t="shared" si="16"/>
        <v>0.12854078373380995</v>
      </c>
      <c r="AU40" s="2">
        <f t="shared" si="16"/>
        <v>0.13172453874626833</v>
      </c>
      <c r="AV40" s="2">
        <f t="shared" si="16"/>
        <v>0.13496334917900571</v>
      </c>
      <c r="AW40" s="28"/>
      <c r="AX40" s="23">
        <f>AV40</f>
        <v>0.13496334917900571</v>
      </c>
      <c r="AY40" s="20"/>
    </row>
    <row r="41" spans="1:51">
      <c r="AW41" s="29"/>
    </row>
    <row r="42" spans="1:51" s="13" customFormat="1">
      <c r="A42" s="13" t="s">
        <v>193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29"/>
    </row>
    <row r="43" spans="1:51" s="13" customFormat="1">
      <c r="A43" s="13" t="s">
        <v>5</v>
      </c>
      <c r="R43" s="34">
        <f>[5]PL!$H$255</f>
        <v>9.5780247031795955</v>
      </c>
      <c r="S43" s="14"/>
      <c r="T43" s="14"/>
      <c r="U43" s="14"/>
      <c r="V43" s="14"/>
      <c r="W43" s="14"/>
      <c r="X43" s="14"/>
      <c r="Y43" s="14"/>
      <c r="Z43" s="14"/>
      <c r="AA43" s="14"/>
      <c r="AB43" s="13">
        <f>[5]PL!$J$255</f>
        <v>6.6239451840899184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V43" s="14">
        <f>[5]PL!$N$255</f>
        <v>0.94864327546009108</v>
      </c>
      <c r="AW43" s="28">
        <f>SUM(AV43:AV45)/SUM(AV34:AV36)-1</f>
        <v>-0.64942473805290279</v>
      </c>
      <c r="AX43" s="11">
        <f>AV43/SUM($AV$43:$AV$45)</f>
        <v>0.25035338874391683</v>
      </c>
    </row>
    <row r="44" spans="1:51" s="13" customFormat="1">
      <c r="A44" s="13" t="s">
        <v>6</v>
      </c>
      <c r="R44" s="34">
        <f>[5]PL!$H$257</f>
        <v>6.2729826437017385E-4</v>
      </c>
      <c r="S44" s="14"/>
      <c r="T44" s="14"/>
      <c r="U44" s="14"/>
      <c r="V44" s="14"/>
      <c r="W44" s="14"/>
      <c r="X44" s="14"/>
      <c r="Y44" s="14"/>
      <c r="Z44" s="14"/>
      <c r="AA44" s="14"/>
      <c r="AB44" s="13">
        <f>[5]PL!$J$257</f>
        <v>0.45192162490290411</v>
      </c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V44" s="14">
        <f>[5]PL!$N$257</f>
        <v>2.0606322000980235</v>
      </c>
      <c r="AX44" s="11">
        <f>AV44/SUM($AV$43:$AV$45)</f>
        <v>0.54381480119507386</v>
      </c>
    </row>
    <row r="45" spans="1:51" s="13" customFormat="1">
      <c r="A45" s="13" t="s">
        <v>7</v>
      </c>
      <c r="R45" s="34">
        <f>[5]PL!$H$256+[5]PL!$H$258</f>
        <v>0.10599956969439785</v>
      </c>
      <c r="S45" s="14"/>
      <c r="T45" s="14"/>
      <c r="U45" s="14"/>
      <c r="V45" s="14"/>
      <c r="W45" s="14"/>
      <c r="X45" s="14"/>
      <c r="Y45" s="14"/>
      <c r="Z45" s="14"/>
      <c r="AA45" s="14"/>
      <c r="AB45" s="13">
        <f>[5]PL!$J$256+[5]PL!$J$258</f>
        <v>0.44762009203174113</v>
      </c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V45" s="14">
        <f>[5]PL!$N$256+[5]PL!$N$258</f>
        <v>0.77994135997050607</v>
      </c>
      <c r="AX45" s="11">
        <f>AV45/SUM($AV$43:$AV$45)</f>
        <v>0.2058318100610094</v>
      </c>
    </row>
    <row r="46" spans="1:51" s="13" customFormat="1">
      <c r="A46" s="16" t="s">
        <v>195</v>
      </c>
      <c r="B46" s="16"/>
      <c r="C46" s="16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27"/>
    </row>
    <row r="47" spans="1:51" s="13" customFormat="1">
      <c r="A47" s="16"/>
      <c r="B47" s="16"/>
      <c r="C47" s="16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</row>
    <row r="48" spans="1:51" s="13" customFormat="1">
      <c r="A48" s="13" t="s">
        <v>194</v>
      </c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29"/>
    </row>
    <row r="49" spans="1:50" s="13" customFormat="1">
      <c r="A49" s="13" t="s">
        <v>5</v>
      </c>
      <c r="R49" s="34">
        <f>[5]VUL!$H$131</f>
        <v>4.7577980725948343</v>
      </c>
      <c r="S49" s="14"/>
      <c r="T49" s="14"/>
      <c r="U49" s="14"/>
      <c r="V49" s="14"/>
      <c r="W49" s="14"/>
      <c r="X49" s="14"/>
      <c r="Y49" s="14"/>
      <c r="Z49" s="14"/>
      <c r="AA49" s="14"/>
      <c r="AB49" s="34">
        <f>[5]VUL!$J$131</f>
        <v>4.2059090906931935</v>
      </c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V49" s="34">
        <f>[5]VUL!$N$131</f>
        <v>0</v>
      </c>
      <c r="AW49" s="28"/>
      <c r="AX49" s="11"/>
    </row>
    <row r="50" spans="1:50" s="13" customFormat="1">
      <c r="A50" s="13" t="s">
        <v>6</v>
      </c>
      <c r="R50" s="34">
        <f>[5]VUL!$H$133</f>
        <v>1.6605275537277562E-2</v>
      </c>
      <c r="S50" s="14"/>
      <c r="T50" s="14"/>
      <c r="U50" s="14"/>
      <c r="V50" s="14"/>
      <c r="W50" s="14"/>
      <c r="X50" s="14"/>
      <c r="Y50" s="14"/>
      <c r="Z50" s="14"/>
      <c r="AA50" s="14"/>
      <c r="AB50" s="34">
        <f>[5]VUL!$J$133</f>
        <v>0.30283892547813063</v>
      </c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V50" s="34">
        <f>[5]VUL!$N$133</f>
        <v>1.6831102451688524</v>
      </c>
      <c r="AX50" s="11"/>
    </row>
    <row r="51" spans="1:50" s="13" customFormat="1">
      <c r="A51" s="13" t="s">
        <v>7</v>
      </c>
      <c r="R51" s="34">
        <f>[5]VUL!$H$132+[5]VUL!$H$134</f>
        <v>0</v>
      </c>
      <c r="S51" s="14"/>
      <c r="T51" s="14"/>
      <c r="U51" s="14"/>
      <c r="V51" s="14"/>
      <c r="W51" s="14"/>
      <c r="X51" s="14"/>
      <c r="Y51" s="14"/>
      <c r="Z51" s="14"/>
      <c r="AA51" s="14"/>
      <c r="AB51" s="34">
        <f>[5]VUL!$J$132+[5]VUL!$J$134</f>
        <v>0</v>
      </c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V51" s="34">
        <f>[5]VUL!$N$132+[5]VUL!$N$134</f>
        <v>0</v>
      </c>
      <c r="AX51" s="11"/>
    </row>
    <row r="52" spans="1:50" s="13" customFormat="1">
      <c r="A52" s="16" t="s">
        <v>195</v>
      </c>
      <c r="B52" s="16"/>
      <c r="C52" s="16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27"/>
    </row>
    <row r="53" spans="1:50" s="13" customFormat="1">
      <c r="A53" s="16"/>
      <c r="B53" s="16"/>
      <c r="C53" s="16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27"/>
    </row>
    <row r="54" spans="1:50" s="13" customFormat="1">
      <c r="A54" s="16"/>
      <c r="B54" s="16"/>
      <c r="C54" s="16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27"/>
    </row>
    <row r="55" spans="1:50" s="13" customFormat="1">
      <c r="A55" s="13" t="s">
        <v>203</v>
      </c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29"/>
    </row>
    <row r="56" spans="1:50" s="13" customFormat="1">
      <c r="A56" s="13" t="s">
        <v>196</v>
      </c>
      <c r="R56" s="35">
        <f>+[5]PL!$H$221/11360</f>
        <v>2.85415737755545E-2</v>
      </c>
      <c r="T56" s="14"/>
      <c r="U56" s="14"/>
      <c r="V56" s="14"/>
      <c r="W56" s="14"/>
      <c r="X56" s="14"/>
      <c r="Y56" s="14"/>
      <c r="Z56" s="14"/>
      <c r="AA56" s="14"/>
      <c r="AB56" s="34">
        <f>[5]PL!$J$221/11630</f>
        <v>2.4282582542314735E-2</v>
      </c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V56" s="34">
        <f>[5]PL!$N$221/11630</f>
        <v>2.03301588242852E-2</v>
      </c>
      <c r="AW56" s="28"/>
      <c r="AX56" s="11"/>
    </row>
    <row r="57" spans="1:50" s="13" customFormat="1">
      <c r="A57" s="13" t="s">
        <v>197</v>
      </c>
      <c r="R57" s="34">
        <f>[5]PL!$H$234/11630</f>
        <v>1.238177128116939E-2</v>
      </c>
      <c r="S57" s="14"/>
      <c r="T57" s="14"/>
      <c r="U57" s="14"/>
      <c r="V57" s="14"/>
      <c r="W57" s="14"/>
      <c r="X57" s="14"/>
      <c r="Y57" s="14"/>
      <c r="Z57" s="14"/>
      <c r="AA57" s="14"/>
      <c r="AB57" s="34">
        <f>[5]PL!$J$234/11630</f>
        <v>1.1596830435740757E-2</v>
      </c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V57" s="34">
        <f>[5]PL!$N$234/11630</f>
        <v>1.0093929416916508E-2</v>
      </c>
      <c r="AX57" s="11"/>
    </row>
    <row r="58" spans="1:50" s="13" customFormat="1">
      <c r="A58" s="13" t="s">
        <v>198</v>
      </c>
      <c r="R58" s="34">
        <f>[5]PL!$H$233/11630</f>
        <v>3.3035014214854483E-2</v>
      </c>
      <c r="S58" s="14"/>
      <c r="T58" s="14"/>
      <c r="U58" s="14"/>
      <c r="V58" s="14"/>
      <c r="W58" s="14"/>
      <c r="X58" s="14"/>
      <c r="Y58" s="14"/>
      <c r="Z58" s="14"/>
      <c r="AA58" s="14"/>
      <c r="AB58" s="34">
        <f>[5]PL!$J$233/11630</f>
        <v>2.9949671155418113E-2</v>
      </c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V58" s="34">
        <f>[5]PL!$N$233/11630</f>
        <v>2.9664660361134996E-2</v>
      </c>
      <c r="AX58" s="11"/>
    </row>
    <row r="59" spans="1:50" s="13" customFormat="1">
      <c r="A59" s="16" t="s">
        <v>195</v>
      </c>
      <c r="B59" s="16"/>
      <c r="C59" s="16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27"/>
    </row>
    <row r="60" spans="1:50" s="13" customFormat="1">
      <c r="A60" s="16"/>
      <c r="B60" s="16"/>
      <c r="C60" s="16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</row>
    <row r="61" spans="1:50" s="13" customFormat="1">
      <c r="A61" s="13" t="s">
        <v>202</v>
      </c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29"/>
    </row>
    <row r="62" spans="1:50" s="13" customFormat="1">
      <c r="A62" s="13" t="s">
        <v>199</v>
      </c>
      <c r="R62" s="34">
        <f>[5]VUL!$H$111/11360</f>
        <v>6.7161406892605642E-3</v>
      </c>
      <c r="S62" s="14"/>
      <c r="T62" s="14"/>
      <c r="U62" s="14"/>
      <c r="V62" s="14"/>
      <c r="W62" s="14"/>
      <c r="X62" s="14"/>
      <c r="Y62" s="14"/>
      <c r="Z62" s="14"/>
      <c r="AA62" s="14"/>
      <c r="AB62" s="34">
        <f>[5]VUL!$J$111/11360</f>
        <v>5.9541012098869341E-3</v>
      </c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V62" s="34">
        <f>[5]VUL!$N$111/11360</f>
        <v>5.2167692064444748E-3</v>
      </c>
      <c r="AW62" s="28"/>
      <c r="AX62" s="11"/>
    </row>
    <row r="63" spans="1:50" s="13" customFormat="1">
      <c r="A63" s="13" t="s">
        <v>200</v>
      </c>
      <c r="R63" s="34">
        <f>[5]VUL!$H$113/11630</f>
        <v>3.0094582975064487E-3</v>
      </c>
      <c r="S63" s="14"/>
      <c r="T63" s="14"/>
      <c r="U63" s="14"/>
      <c r="V63" s="14"/>
      <c r="W63" s="14"/>
      <c r="X63" s="14"/>
      <c r="Y63" s="14"/>
      <c r="Z63" s="14"/>
      <c r="AA63" s="14"/>
      <c r="AB63" s="34">
        <f>[5]VUL!$J$113/11630</f>
        <v>2.5723914659577215E-3</v>
      </c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V63" s="34">
        <f>[5]VUL!$N$113/11630</f>
        <v>2.0429798470727612E-3</v>
      </c>
      <c r="AX63" s="11"/>
    </row>
    <row r="64" spans="1:50" s="13" customFormat="1">
      <c r="A64" s="13" t="s">
        <v>201</v>
      </c>
      <c r="R64" s="34">
        <f>[5]VUL!$H$112/11630</f>
        <v>7.8282177239896809E-3</v>
      </c>
      <c r="S64" s="14"/>
      <c r="T64" s="14"/>
      <c r="U64" s="14"/>
      <c r="V64" s="14"/>
      <c r="W64" s="14"/>
      <c r="X64" s="14"/>
      <c r="Y64" s="14"/>
      <c r="Z64" s="14"/>
      <c r="AA64" s="14"/>
      <c r="AB64" s="34">
        <f>[5]VUL!$J$112/11630</f>
        <v>6.7437169314865401E-3</v>
      </c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V64" s="34">
        <f>[5]VUL!$N$112/11630</f>
        <v>6.0667054605933147E-3</v>
      </c>
      <c r="AX64" s="11"/>
    </row>
    <row r="65" spans="1:49" s="13" customFormat="1">
      <c r="A65" s="16" t="s">
        <v>195</v>
      </c>
      <c r="B65" s="16"/>
      <c r="C65" s="16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27"/>
    </row>
    <row r="66" spans="1:49" s="13" customFormat="1">
      <c r="A66" s="16"/>
      <c r="B66" s="16"/>
      <c r="C66" s="16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27"/>
    </row>
    <row r="67" spans="1:49" s="13" customFormat="1">
      <c r="A67" s="13" t="s">
        <v>40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W67" s="8">
        <f>[4]PL!$N$83</f>
        <v>0.12269999999999996</v>
      </c>
    </row>
    <row r="68" spans="1:49" s="13" customFormat="1">
      <c r="A68" s="13" t="s">
        <v>37</v>
      </c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8">
        <f>[4]PL!$J$83</f>
        <v>0.88816560816653389</v>
      </c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W68" s="8">
        <f>[4]PL!$N$85</f>
        <v>0.72399999999999998</v>
      </c>
    </row>
    <row r="69" spans="1:49" s="13" customFormat="1">
      <c r="A69" s="13" t="s">
        <v>38</v>
      </c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8">
        <f>[4]PL!$J$85</f>
        <v>6.8002372112330511E-2</v>
      </c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W69" s="8">
        <f>[4]PL!$N$84+[4]PL!$N$86</f>
        <v>0.15330000000000002</v>
      </c>
    </row>
    <row r="70" spans="1:49" s="13" customFormat="1">
      <c r="A70" s="13" t="s">
        <v>39</v>
      </c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8">
        <f>[4]PL!$J$84+[4]PL!$J$86</f>
        <v>4.3832019721135623E-2</v>
      </c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</row>
    <row r="71" spans="1:49" s="13" customFormat="1"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</row>
    <row r="72" spans="1:49" s="13" customFormat="1">
      <c r="A72" s="13" t="s">
        <v>43</v>
      </c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</row>
    <row r="73" spans="1:49" s="13" customFormat="1">
      <c r="A73" s="13" t="s">
        <v>37</v>
      </c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7">
        <v>0.81</v>
      </c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W73" s="11">
        <v>0.1</v>
      </c>
    </row>
    <row r="74" spans="1:49" s="13" customFormat="1">
      <c r="A74" s="13" t="s">
        <v>38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7">
        <v>0.14000000000000001</v>
      </c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W74" s="11">
        <v>0.7</v>
      </c>
    </row>
    <row r="75" spans="1:49" s="13" customFormat="1">
      <c r="A75" s="13" t="s">
        <v>39</v>
      </c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0">
        <v>0.05</v>
      </c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W75" s="8">
        <v>0.2</v>
      </c>
    </row>
    <row r="77" spans="1:49">
      <c r="A77" t="s">
        <v>448</v>
      </c>
      <c r="AW77">
        <f>[2]VUL!$LA$75/[2]VUL!$LA$80</f>
        <v>0</v>
      </c>
    </row>
    <row r="78" spans="1:49">
      <c r="A78" t="s">
        <v>37</v>
      </c>
      <c r="AB78" s="41">
        <f>[2]VUL!$KG$75/[2]VUL!$KG$80</f>
        <v>0.86</v>
      </c>
      <c r="AW78">
        <f>[2]VUL!$LA$77/[2]VUL!$LA$80</f>
        <v>0.97200000000000009</v>
      </c>
    </row>
    <row r="79" spans="1:49">
      <c r="A79" t="s">
        <v>38</v>
      </c>
      <c r="AB79" s="41">
        <f>[2]VUL!$KG$77/[2]VUL!$KG$80</f>
        <v>0.14000000000000001</v>
      </c>
      <c r="AW79">
        <f>([2]VUL!$LA$78+[2]VUL!$LA$79)/[2]VUL!$LA$80</f>
        <v>2.8000000000000004E-2</v>
      </c>
    </row>
    <row r="80" spans="1:49">
      <c r="A80" t="s">
        <v>39</v>
      </c>
      <c r="AB80" s="41">
        <f>([2]VUL!$KG$78+[2]VUL!$KG$79)/[2]VUL!$KG$80</f>
        <v>0</v>
      </c>
    </row>
    <row r="85" spans="1:49" s="13" customFormat="1">
      <c r="A85" s="13" t="s">
        <v>40</v>
      </c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W85" s="8">
        <f>[4]PL!$N$83</f>
        <v>0.12269999999999996</v>
      </c>
    </row>
    <row r="86" spans="1:49" s="13" customFormat="1">
      <c r="A86" s="13" t="s">
        <v>37</v>
      </c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8">
        <f>[4]PL!$J$83</f>
        <v>0.88816560816653389</v>
      </c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W86" s="8">
        <f>[4]PL!$N$85</f>
        <v>0.72399999999999998</v>
      </c>
    </row>
    <row r="87" spans="1:49" s="13" customFormat="1">
      <c r="A87" s="13" t="s">
        <v>38</v>
      </c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8">
        <f>[4]PL!$J$85</f>
        <v>6.8002372112330511E-2</v>
      </c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W87" s="8">
        <f>[4]PL!$N$84+[4]PL!$N$86</f>
        <v>0.15330000000000002</v>
      </c>
    </row>
    <row r="88" spans="1:49" s="13" customFormat="1">
      <c r="A88" s="13" t="s">
        <v>39</v>
      </c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8">
        <f>[4]PL!$J$84+[4]PL!$J$86</f>
        <v>4.3832019721135623E-2</v>
      </c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</row>
    <row r="89" spans="1:49">
      <c r="A89" s="13" t="s">
        <v>61</v>
      </c>
      <c r="B89" s="13"/>
      <c r="C89" s="13"/>
    </row>
    <row r="90" spans="1:49" ht="19.5" customHeight="1">
      <c r="A90" s="13" t="s">
        <v>47</v>
      </c>
      <c r="B90" s="13"/>
      <c r="C90" s="13"/>
      <c r="R90" s="4">
        <f>[4]PL!H$14</f>
        <v>589.19507384858696</v>
      </c>
      <c r="S90" s="4">
        <f>R90+($W90-$R90)/5</f>
        <v>589.19507384858696</v>
      </c>
      <c r="T90" s="4">
        <f>S90+($W90-$R90)/5</f>
        <v>589.19507384858696</v>
      </c>
      <c r="U90" s="4">
        <f>T90+($W90-$R90)/5</f>
        <v>589.19507384858696</v>
      </c>
      <c r="V90" s="4">
        <f>U90+($W90-$R90)/5</f>
        <v>589.19507384858696</v>
      </c>
      <c r="W90" s="4">
        <f>[4]PL!I$14</f>
        <v>589.19507384858696</v>
      </c>
      <c r="X90" s="4">
        <f>W90+($AB90-$W90)/5</f>
        <v>589.19507384858696</v>
      </c>
      <c r="Y90" s="4">
        <f>X90+($AB90-$W90)/5</f>
        <v>589.19507384858696</v>
      </c>
      <c r="Z90" s="4">
        <f>Y90+($AB90-$W90)/5</f>
        <v>589.19507384858696</v>
      </c>
      <c r="AA90" s="4">
        <f>Z90+($AB90-$W90)/5</f>
        <v>589.19507384858696</v>
      </c>
      <c r="AB90" s="4">
        <f>[4]PL!J$14</f>
        <v>589.19507384858696</v>
      </c>
      <c r="AC90" s="4">
        <f>AB90+($AG90-$AB90)/5</f>
        <v>589.19507384858696</v>
      </c>
      <c r="AD90" s="4">
        <f>AC90+($AG90-$AB90)/5</f>
        <v>589.19507384858696</v>
      </c>
      <c r="AE90" s="4">
        <f>AD90+($AG90-$AB90)/5</f>
        <v>589.19507384858696</v>
      </c>
      <c r="AF90" s="4">
        <f>AE90+($AG90-$AB90)/5</f>
        <v>589.19507384858696</v>
      </c>
      <c r="AG90" s="4">
        <f>[4]PL!K$14</f>
        <v>589.19507384858696</v>
      </c>
      <c r="AH90" s="4">
        <f>AG90+($AL90-$AG90)/5</f>
        <v>589.19507384858696</v>
      </c>
      <c r="AI90" s="4">
        <f>AH90+($AL90-$AG90)/5</f>
        <v>589.19507384858696</v>
      </c>
      <c r="AJ90" s="4">
        <f>AI90+($AL90-$AG90)/5</f>
        <v>589.19507384858696</v>
      </c>
      <c r="AK90" s="4">
        <f>AJ90+($AL90-$AG90)/5</f>
        <v>589.19507384858696</v>
      </c>
      <c r="AL90" s="4">
        <f>[4]PL!L$14</f>
        <v>589.19507384858696</v>
      </c>
      <c r="AM90" s="4">
        <f>AL90+($AQ90-$AL90)/5</f>
        <v>589.19507384858696</v>
      </c>
      <c r="AN90" s="4">
        <f>AM90+($AQ90-$AL90)/5</f>
        <v>589.19507384858696</v>
      </c>
      <c r="AO90" s="4">
        <f>AN90+($AQ90-$AL90)/5</f>
        <v>589.19507384858696</v>
      </c>
      <c r="AP90" s="4">
        <f>AO90+($AQ90-$AL90)/5</f>
        <v>589.19507384858696</v>
      </c>
      <c r="AQ90" s="4">
        <f>[4]PL!$M$14</f>
        <v>589.19507384858696</v>
      </c>
      <c r="AR90" s="4">
        <f>AQ90+($AV90-$AQ90)/5</f>
        <v>589.19507384858696</v>
      </c>
      <c r="AS90" s="4">
        <f>AR90+($AV90-$AQ90)/5</f>
        <v>589.19507384858696</v>
      </c>
      <c r="AT90" s="4">
        <f>AS90+($AV90-$AQ90)/5</f>
        <v>589.19507384858696</v>
      </c>
      <c r="AU90" s="4">
        <f>AT90+($AV90-$AQ90)/5</f>
        <v>589.19507384858696</v>
      </c>
      <c r="AV90" s="4">
        <f>[4]PL!M$14</f>
        <v>589.19507384858696</v>
      </c>
    </row>
    <row r="91" spans="1:49" ht="19.5" customHeight="1">
      <c r="A91" s="13" t="s">
        <v>226</v>
      </c>
      <c r="B91" s="13"/>
      <c r="C91" s="13"/>
      <c r="R91" s="1">
        <f>[2]PL!IL$336</f>
        <v>589000</v>
      </c>
      <c r="S91" s="1">
        <f>[2]PL!IM$336</f>
        <v>589000</v>
      </c>
      <c r="T91" s="1">
        <f>[2]PL!IN$336</f>
        <v>589000.00000000012</v>
      </c>
      <c r="U91" s="1">
        <f>[2]PL!IO$336</f>
        <v>589000</v>
      </c>
      <c r="V91" s="1">
        <f>[2]PL!IP$336</f>
        <v>589000</v>
      </c>
      <c r="W91" s="1">
        <f>[2]PL!IQ$336</f>
        <v>589000</v>
      </c>
      <c r="X91" s="1">
        <f>[2]PL!IR$336</f>
        <v>589000.00000000012</v>
      </c>
      <c r="Y91" s="1">
        <f>[2]PL!IS$336</f>
        <v>589000</v>
      </c>
      <c r="Z91" s="1">
        <f>[2]PL!IT$336</f>
        <v>589000.00000000012</v>
      </c>
      <c r="AA91" s="1">
        <f>[2]PL!IU$336</f>
        <v>589000.00000000012</v>
      </c>
      <c r="AB91" s="1">
        <f>[2]PL!IV$336</f>
        <v>589000.00000000012</v>
      </c>
      <c r="AC91" s="1">
        <f>[2]PL!IW$336</f>
        <v>589000</v>
      </c>
      <c r="AD91" s="1">
        <f>[2]PL!IX$336</f>
        <v>589000.00000000012</v>
      </c>
      <c r="AE91" s="1">
        <f>[2]PL!IY$336</f>
        <v>589000</v>
      </c>
      <c r="AF91" s="1">
        <f>[2]PL!IZ$336</f>
        <v>589000</v>
      </c>
      <c r="AG91" s="1">
        <f>[2]PL!JA$336</f>
        <v>589000.00000000012</v>
      </c>
      <c r="AH91" s="1">
        <f>[2]PL!JB$336</f>
        <v>589000.00000000012</v>
      </c>
      <c r="AI91" s="1">
        <f>[2]PL!JC$336</f>
        <v>589000.00000000012</v>
      </c>
      <c r="AJ91" s="1">
        <f>[2]PL!JD$336</f>
        <v>589000.00000000023</v>
      </c>
      <c r="AK91" s="1">
        <f>[2]PL!JE$336</f>
        <v>589000</v>
      </c>
      <c r="AL91" s="1">
        <f>[2]PL!JF$336</f>
        <v>589000.00000000012</v>
      </c>
      <c r="AM91" s="1">
        <f>[2]PL!JG$336</f>
        <v>589000</v>
      </c>
      <c r="AN91" s="1">
        <f>[2]PL!JH$336</f>
        <v>589000.00000000012</v>
      </c>
      <c r="AO91" s="1">
        <f>[2]PL!JI$336</f>
        <v>589000.00000000012</v>
      </c>
      <c r="AP91" s="1">
        <f>[2]PL!JJ$336</f>
        <v>589000</v>
      </c>
      <c r="AQ91" s="1">
        <f>[2]PL!JK$336</f>
        <v>589000</v>
      </c>
      <c r="AR91" s="1">
        <f>[2]PL!JL$336</f>
        <v>589000</v>
      </c>
      <c r="AS91" s="1">
        <f>[2]PL!JM$336</f>
        <v>589000</v>
      </c>
      <c r="AT91" s="1">
        <f>[2]PL!JN$336</f>
        <v>589000</v>
      </c>
      <c r="AU91" s="1">
        <f>[2]PL!JO$336</f>
        <v>589000</v>
      </c>
      <c r="AV91" s="1">
        <f>[2]PL!JP$336</f>
        <v>589000</v>
      </c>
    </row>
    <row r="92" spans="1:49" ht="19.5" customHeight="1">
      <c r="A92" s="13" t="s">
        <v>227</v>
      </c>
      <c r="B92" s="13"/>
      <c r="C92" s="13"/>
      <c r="R92" s="1">
        <f>[2]PL!LH$336</f>
        <v>605928.00000000012</v>
      </c>
      <c r="S92" s="1">
        <f>[2]PL!LI$336</f>
        <v>614259.87400000019</v>
      </c>
      <c r="T92" s="1">
        <f>[2]PL!LJ$336</f>
        <v>607944.90550000011</v>
      </c>
      <c r="U92" s="1">
        <f>[2]PL!LK$336</f>
        <v>601629.93700000003</v>
      </c>
      <c r="V92" s="1">
        <f>[2]PL!LL$336</f>
        <v>595314.96850000008</v>
      </c>
      <c r="W92" s="1">
        <f>[2]PL!LM$336</f>
        <v>589000</v>
      </c>
      <c r="X92" s="1">
        <f>[2]PL!LN$336</f>
        <v>589000</v>
      </c>
      <c r="Y92" s="1">
        <f>[2]PL!LO$336</f>
        <v>589000.00000000012</v>
      </c>
      <c r="Z92" s="1">
        <f>[2]PL!LP$336</f>
        <v>589000.00000000012</v>
      </c>
      <c r="AA92" s="1">
        <f>[2]PL!LQ$336</f>
        <v>589000</v>
      </c>
      <c r="AB92" s="1">
        <f>[2]PL!LR$336</f>
        <v>589000.00000000012</v>
      </c>
      <c r="AC92" s="1">
        <f>[2]PL!LS$336</f>
        <v>589000</v>
      </c>
      <c r="AD92" s="1">
        <f>[2]PL!LT$336</f>
        <v>588999.99999999988</v>
      </c>
      <c r="AE92" s="1">
        <f>[2]PL!LU$336</f>
        <v>589000.00000000012</v>
      </c>
      <c r="AF92" s="1">
        <f>[2]PL!LV$336</f>
        <v>589000</v>
      </c>
      <c r="AG92" s="1">
        <f>[2]PL!LW$336</f>
        <v>589000.00000000012</v>
      </c>
      <c r="AH92" s="1">
        <f>[2]PL!LX$336</f>
        <v>589000.00000000012</v>
      </c>
      <c r="AI92" s="1">
        <f>[2]PL!LY$336</f>
        <v>589000</v>
      </c>
      <c r="AJ92" s="1">
        <f>[2]PL!LZ$336</f>
        <v>589000.00000000012</v>
      </c>
      <c r="AK92" s="1">
        <f>[2]PL!MA$336</f>
        <v>589000.00000000012</v>
      </c>
      <c r="AL92" s="1">
        <f>[2]PL!MB$336</f>
        <v>589000</v>
      </c>
      <c r="AM92" s="1">
        <f>[2]PL!MC$336</f>
        <v>589000.00000000012</v>
      </c>
      <c r="AN92" s="1">
        <f>[2]PL!MD$336</f>
        <v>589000</v>
      </c>
      <c r="AO92" s="1">
        <f>[2]PL!ME$336</f>
        <v>589000</v>
      </c>
      <c r="AP92" s="1">
        <f>[2]PL!MF$336</f>
        <v>589000.00000000023</v>
      </c>
      <c r="AQ92" s="1">
        <f>[2]PL!MG$336</f>
        <v>588999.99999999988</v>
      </c>
      <c r="AR92" s="1">
        <f>[2]PL!MH$336</f>
        <v>589000.00000000012</v>
      </c>
      <c r="AS92" s="1">
        <f>[2]PL!MI$336</f>
        <v>589000</v>
      </c>
      <c r="AT92" s="1">
        <f>[2]PL!MJ$336</f>
        <v>589000.00000000012</v>
      </c>
      <c r="AU92" s="1">
        <f>[2]PL!MK$336</f>
        <v>589000.00000000012</v>
      </c>
      <c r="AV92" s="1">
        <f>[2]PL!ML$336</f>
        <v>589000.00000000012</v>
      </c>
    </row>
    <row r="93" spans="1:49" ht="19.5" customHeight="1">
      <c r="A93" s="13" t="s">
        <v>229</v>
      </c>
      <c r="B93" s="13"/>
      <c r="C93" s="13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9" ht="19.5" customHeight="1">
      <c r="A94" s="13" t="s">
        <v>230</v>
      </c>
      <c r="B94" s="13"/>
      <c r="C94" s="13"/>
      <c r="R94" s="1">
        <f>[2]PL!$IL$324+[2]PL!$IL$331</f>
        <v>583110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9" ht="19.5" customHeight="1">
      <c r="A95" s="13" t="s">
        <v>231</v>
      </c>
      <c r="B95" s="13"/>
      <c r="C95" s="13"/>
      <c r="R95" s="1">
        <f>+[2]PL!$IL$326+[2]PL!$IL$333</f>
        <v>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9" ht="19.5" customHeight="1">
      <c r="A96" s="13" t="s">
        <v>232</v>
      </c>
      <c r="B96" s="13"/>
      <c r="C96" s="13"/>
      <c r="R96" s="1">
        <f>+[2]PL!$IL$327+[2]PL!$IL$328+[2]PL!$IL$334+[2]PL!$IL$335</f>
        <v>5890.0000000000009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ht="19.5" customHeight="1">
      <c r="A97" s="13" t="s">
        <v>233</v>
      </c>
      <c r="B97" s="13"/>
      <c r="C97" s="13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ht="19.5" customHeight="1">
      <c r="A98" s="13" t="str">
        <f>[2]VUL!C106</f>
        <v>Essence</v>
      </c>
      <c r="B98" s="13"/>
      <c r="C98" s="13"/>
      <c r="M98" s="1">
        <f>[2]VUL!H74</f>
        <v>244028</v>
      </c>
      <c r="N98" s="1">
        <f>[2]VUL!I74</f>
        <v>234144</v>
      </c>
      <c r="O98" s="1">
        <f>[2]VUL!J74</f>
        <v>229912</v>
      </c>
      <c r="P98" s="1">
        <f>[2]VUL!K74</f>
        <v>226872</v>
      </c>
      <c r="Q98" s="1">
        <f>[2]VUL!L74</f>
        <v>221571</v>
      </c>
      <c r="R98" s="1">
        <f>[2]VUL!M74</f>
        <v>217685</v>
      </c>
      <c r="S98" s="1">
        <f>[2]VUL!N74</f>
        <v>232947.00599999999</v>
      </c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ht="19.5" customHeight="1">
      <c r="A99" s="13" t="str">
        <f>[2]VUL!C107</f>
        <v>Diesel</v>
      </c>
      <c r="B99" s="13"/>
      <c r="C99" s="13"/>
      <c r="M99" s="1">
        <f>[2]VUL!H75</f>
        <v>5666148</v>
      </c>
      <c r="N99" s="1">
        <f>[2]VUL!I75</f>
        <v>5802289</v>
      </c>
      <c r="O99" s="1">
        <f>[2]VUL!J75</f>
        <v>5953374</v>
      </c>
      <c r="P99" s="1">
        <f>[2]VUL!K75</f>
        <v>6024778</v>
      </c>
      <c r="Q99" s="1">
        <f>[2]VUL!L75</f>
        <v>5984489</v>
      </c>
      <c r="R99" s="1">
        <f>[2]VUL!M75</f>
        <v>5971888</v>
      </c>
      <c r="S99" s="1">
        <f>[2]VUL!N75</f>
        <v>5966138.1540000001</v>
      </c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ht="19.5" customHeight="1">
      <c r="A100" s="13" t="str">
        <f>[2]VUL!C108</f>
        <v>Hybrides rechargeables</v>
      </c>
      <c r="B100" s="13"/>
      <c r="C100" s="13"/>
      <c r="M100" s="1">
        <f>[2]VUL!H76</f>
        <v>91</v>
      </c>
      <c r="N100" s="1">
        <f>[2]VUL!I76</f>
        <v>95</v>
      </c>
      <c r="O100" s="1">
        <f>[2]VUL!J76</f>
        <v>100</v>
      </c>
      <c r="P100" s="1">
        <f>[2]VUL!K76</f>
        <v>124</v>
      </c>
      <c r="Q100" s="1">
        <f>[2]VUL!L76</f>
        <v>287</v>
      </c>
      <c r="R100" s="1">
        <f>[2]VUL!M76</f>
        <v>759</v>
      </c>
      <c r="S100" s="1">
        <f>[2]VUL!N76</f>
        <v>1605.202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ht="19.5" customHeight="1">
      <c r="A101" s="13" t="str">
        <f>[2]VUL!C109</f>
        <v>Electriques</v>
      </c>
      <c r="B101" s="13"/>
      <c r="C101" s="13"/>
      <c r="M101" s="1">
        <f>[2]VUL!H77</f>
        <v>19485</v>
      </c>
      <c r="N101" s="1">
        <f>[2]VUL!I77</f>
        <v>24428</v>
      </c>
      <c r="O101" s="1">
        <f>[2]VUL!J77</f>
        <v>29206</v>
      </c>
      <c r="P101" s="1">
        <f>[2]VUL!K77</f>
        <v>35469</v>
      </c>
      <c r="Q101" s="1">
        <f>[2]VUL!L77</f>
        <v>41315</v>
      </c>
      <c r="R101" s="1">
        <f>[2]VUL!M77</f>
        <v>48643</v>
      </c>
      <c r="S101" s="1">
        <f>[2]VUL!N77</f>
        <v>58964.625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ht="19.5" customHeight="1">
      <c r="A102" s="13" t="str">
        <f>[2]VUL!C110</f>
        <v>Hydrogène</v>
      </c>
      <c r="B102" s="13"/>
      <c r="C102" s="13"/>
      <c r="M102" s="1">
        <f>[2]VUL!H78</f>
        <v>68</v>
      </c>
      <c r="N102" s="1">
        <f>[2]VUL!I78</f>
        <v>89</v>
      </c>
      <c r="O102" s="1">
        <f>[2]VUL!J78</f>
        <v>161</v>
      </c>
      <c r="P102" s="1">
        <f>[2]VUL!K78</f>
        <v>192</v>
      </c>
      <c r="Q102" s="1">
        <f>[2]VUL!L78</f>
        <v>185</v>
      </c>
      <c r="R102" s="1">
        <f>[2]VUL!M78</f>
        <v>173</v>
      </c>
      <c r="S102" s="1">
        <f>[2]VUL!N78</f>
        <v>182.012</v>
      </c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ht="19.5" customHeight="1">
      <c r="A103" s="13" t="str">
        <f>[2]VUL!C111</f>
        <v>GNV</v>
      </c>
      <c r="B103" s="13"/>
      <c r="C103" s="13"/>
      <c r="M103" s="1">
        <f>[2]VUL!H79</f>
        <v>6968</v>
      </c>
      <c r="N103" s="1">
        <f>[2]VUL!I79</f>
        <v>6951</v>
      </c>
      <c r="O103" s="1">
        <f>[2]VUL!J79</f>
        <v>7037</v>
      </c>
      <c r="P103" s="1">
        <f>[2]VUL!K79</f>
        <v>7214</v>
      </c>
      <c r="Q103" s="1">
        <f>[2]VUL!L79</f>
        <v>7762</v>
      </c>
      <c r="R103" s="1">
        <f>[2]VUL!M79</f>
        <v>8461</v>
      </c>
      <c r="S103" s="1">
        <f>[2]VUL!N79</f>
        <v>9575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ht="19.5" customHeight="1">
      <c r="A104" s="13" t="s">
        <v>86</v>
      </c>
      <c r="B104" s="13"/>
      <c r="C104" s="13"/>
      <c r="M104" s="1">
        <f>[2]VUL!H80</f>
        <v>5936788</v>
      </c>
      <c r="N104" s="1">
        <f>[2]VUL!I80</f>
        <v>6067996</v>
      </c>
      <c r="O104" s="1">
        <f>[2]VUL!J80</f>
        <v>6219790</v>
      </c>
      <c r="P104" s="1">
        <f>[2]VUL!K80</f>
        <v>6294649</v>
      </c>
      <c r="Q104" s="1">
        <f>[2]VUL!L80</f>
        <v>6255609</v>
      </c>
      <c r="R104" s="1">
        <f>[2]VUL!M80</f>
        <v>6247609</v>
      </c>
      <c r="S104" s="1">
        <f>[2]VUL!N80</f>
        <v>6269411.9989999998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ht="19.5" customHeight="1">
      <c r="A105" s="13" t="s">
        <v>214</v>
      </c>
      <c r="B105" s="13"/>
      <c r="C105" s="13"/>
      <c r="R105" s="4">
        <f>[2]PL!IL$349</f>
        <v>43400</v>
      </c>
      <c r="S105" s="4">
        <f>[2]PL!IM$349</f>
        <v>43580</v>
      </c>
      <c r="T105" s="4">
        <f>[2]PL!IN$349</f>
        <v>43760</v>
      </c>
      <c r="U105" s="4">
        <f>[2]PL!IO$349</f>
        <v>43940</v>
      </c>
      <c r="V105" s="4">
        <f>[2]PL!IP$349</f>
        <v>44120</v>
      </c>
      <c r="W105" s="4">
        <f>[2]PL!IQ$349</f>
        <v>44300</v>
      </c>
      <c r="X105" s="4">
        <f>[2]PL!IR$349</f>
        <v>44300</v>
      </c>
      <c r="Y105" s="4">
        <f>[2]PL!IS$349</f>
        <v>44300</v>
      </c>
      <c r="Z105" s="4">
        <f>[2]PL!IT$349</f>
        <v>44300</v>
      </c>
      <c r="AA105" s="4">
        <f>[2]PL!IU$349</f>
        <v>44300</v>
      </c>
      <c r="AB105" s="4">
        <f>[2]PL!IV$349</f>
        <v>44300</v>
      </c>
      <c r="AC105" s="4">
        <f>[2]PL!IW$349</f>
        <v>44300</v>
      </c>
      <c r="AD105" s="4">
        <f>[2]PL!IX$349</f>
        <v>44300</v>
      </c>
      <c r="AE105" s="4">
        <f>[2]PL!IY$349</f>
        <v>44300</v>
      </c>
      <c r="AF105" s="4">
        <f>[2]PL!IZ$349</f>
        <v>44300</v>
      </c>
      <c r="AG105" s="4">
        <f>[2]PL!JA$349</f>
        <v>44300</v>
      </c>
      <c r="AH105" s="4">
        <f>[2]PL!JB$349</f>
        <v>44300</v>
      </c>
      <c r="AI105" s="4">
        <f>[2]PL!JC$349</f>
        <v>44300</v>
      </c>
      <c r="AJ105" s="4">
        <f>[2]PL!JD$349</f>
        <v>44300</v>
      </c>
      <c r="AK105" s="4">
        <f>[2]PL!JE$349</f>
        <v>44300</v>
      </c>
      <c r="AL105" s="4">
        <f>[2]PL!JF$349</f>
        <v>44300</v>
      </c>
      <c r="AM105" s="4">
        <f>[2]PL!JG$349</f>
        <v>44300</v>
      </c>
      <c r="AN105" s="4">
        <f>[2]PL!JH$349</f>
        <v>44300</v>
      </c>
      <c r="AO105" s="4">
        <f>[2]PL!JI$349</f>
        <v>44300</v>
      </c>
      <c r="AP105" s="4">
        <f>[2]PL!JJ$349</f>
        <v>44300</v>
      </c>
      <c r="AQ105" s="4">
        <f>[2]PL!JK$349</f>
        <v>44300</v>
      </c>
      <c r="AR105" s="4">
        <f>[2]PL!JL$349</f>
        <v>44300</v>
      </c>
      <c r="AS105" s="4">
        <f>[2]PL!JM$349</f>
        <v>44300</v>
      </c>
      <c r="AT105" s="4">
        <f>[2]PL!JN$349</f>
        <v>44300</v>
      </c>
      <c r="AU105" s="4">
        <f>[2]PL!JO$349</f>
        <v>44300</v>
      </c>
      <c r="AV105" s="4">
        <f>[2]PL!JP$349</f>
        <v>44300</v>
      </c>
    </row>
    <row r="106" spans="1:48" ht="19.5" customHeight="1">
      <c r="A106" s="13" t="s">
        <v>215</v>
      </c>
      <c r="B106" s="13"/>
      <c r="C106" s="13"/>
      <c r="R106" s="4">
        <f>[2]PL!IL$350</f>
        <v>42098</v>
      </c>
      <c r="S106" s="4">
        <f>[2]PL!IM$350</f>
        <v>40855</v>
      </c>
      <c r="T106" s="4">
        <f>[2]PL!IN$350</f>
        <v>39612</v>
      </c>
      <c r="U106" s="4">
        <f>[2]PL!IO$350</f>
        <v>38369</v>
      </c>
      <c r="V106" s="4">
        <f>[2]PL!IP$350</f>
        <v>37126</v>
      </c>
      <c r="W106" s="4">
        <f>[2]PL!IQ$350</f>
        <v>35883</v>
      </c>
      <c r="X106" s="4">
        <f>[2]PL!IR$350</f>
        <v>34465.4</v>
      </c>
      <c r="Y106" s="4">
        <f>[2]PL!IS$350</f>
        <v>33047.800000000003</v>
      </c>
      <c r="Z106" s="4">
        <f>[2]PL!IT$350</f>
        <v>31630.2</v>
      </c>
      <c r="AA106" s="4">
        <f>[2]PL!IU$350</f>
        <v>30212.6</v>
      </c>
      <c r="AB106" s="4">
        <f>[2]PL!IV$350</f>
        <v>28795</v>
      </c>
      <c r="AC106" s="4">
        <f>[2]PL!IW$350</f>
        <v>28706.400000000001</v>
      </c>
      <c r="AD106" s="4">
        <f>[2]PL!IX$350</f>
        <v>28617.8</v>
      </c>
      <c r="AE106" s="4">
        <f>[2]PL!IY$350</f>
        <v>28529.200000000001</v>
      </c>
      <c r="AF106" s="4">
        <f>[2]PL!IZ$350</f>
        <v>28440.6</v>
      </c>
      <c r="AG106" s="4">
        <f>[2]PL!JA$350</f>
        <v>28352</v>
      </c>
      <c r="AH106" s="4">
        <f>[2]PL!JB$350</f>
        <v>28352</v>
      </c>
      <c r="AI106" s="4">
        <f>[2]PL!JC$350</f>
        <v>28352</v>
      </c>
      <c r="AJ106" s="4">
        <f>[2]PL!JD$350</f>
        <v>28352</v>
      </c>
      <c r="AK106" s="4">
        <f>[2]PL!JE$350</f>
        <v>28352</v>
      </c>
      <c r="AL106" s="4">
        <f>[2]PL!JF$350</f>
        <v>28352</v>
      </c>
      <c r="AM106" s="4">
        <f>[2]PL!JG$350</f>
        <v>28352</v>
      </c>
      <c r="AN106" s="4">
        <f>[2]PL!JH$350</f>
        <v>28352</v>
      </c>
      <c r="AO106" s="4">
        <f>[2]PL!JI$350</f>
        <v>28352</v>
      </c>
      <c r="AP106" s="4">
        <f>[2]PL!JJ$350</f>
        <v>28352</v>
      </c>
      <c r="AQ106" s="4">
        <f>[2]PL!JK$350</f>
        <v>28352</v>
      </c>
      <c r="AR106" s="4">
        <f>[2]PL!JL$350</f>
        <v>28352</v>
      </c>
      <c r="AS106" s="4">
        <f>[2]PL!JM$350</f>
        <v>28352</v>
      </c>
      <c r="AT106" s="4">
        <f>[2]PL!JN$350</f>
        <v>28352</v>
      </c>
      <c r="AU106" s="4">
        <f>[2]PL!JO$350</f>
        <v>28352</v>
      </c>
      <c r="AV106" s="4">
        <f>[2]PL!JP$350</f>
        <v>28352</v>
      </c>
    </row>
    <row r="107" spans="1:48" ht="19.5" customHeight="1">
      <c r="A107" s="13" t="s">
        <v>216</v>
      </c>
      <c r="B107" s="13"/>
      <c r="C107" s="13"/>
      <c r="R107" s="4">
        <f>[2]PL!IL$351</f>
        <v>1302</v>
      </c>
      <c r="S107" s="4">
        <f>[2]PL!IM$351</f>
        <v>2725</v>
      </c>
      <c r="T107" s="4">
        <f>[2]PL!IN$351</f>
        <v>4148</v>
      </c>
      <c r="U107" s="4">
        <f>[2]PL!IO$351</f>
        <v>5571</v>
      </c>
      <c r="V107" s="4">
        <f>[2]PL!IP$351</f>
        <v>6994</v>
      </c>
      <c r="W107" s="4">
        <f>[2]PL!IQ$351</f>
        <v>8417</v>
      </c>
      <c r="X107" s="4">
        <f>[2]PL!IR$351</f>
        <v>9834.6</v>
      </c>
      <c r="Y107" s="4">
        <f>[2]PL!IS$351</f>
        <v>11252.199999999999</v>
      </c>
      <c r="Z107" s="4">
        <f>[2]PL!IT$351</f>
        <v>12669.800000000001</v>
      </c>
      <c r="AA107" s="4">
        <f>[2]PL!IU$351</f>
        <v>14087.400000000001</v>
      </c>
      <c r="AB107" s="4">
        <f>[2]PL!IV$351</f>
        <v>15505</v>
      </c>
      <c r="AC107" s="4">
        <f>[2]PL!IW$351</f>
        <v>15593.6</v>
      </c>
      <c r="AD107" s="4">
        <f>[2]PL!IX$351</f>
        <v>15682.2</v>
      </c>
      <c r="AE107" s="4">
        <f>[2]PL!IY$351</f>
        <v>15770.8</v>
      </c>
      <c r="AF107" s="4">
        <f>[2]PL!IZ$351</f>
        <v>15859.4</v>
      </c>
      <c r="AG107" s="4">
        <f>[2]PL!JA$351</f>
        <v>15948</v>
      </c>
      <c r="AH107" s="4">
        <f>[2]PL!JB$351</f>
        <v>15948</v>
      </c>
      <c r="AI107" s="4">
        <f>[2]PL!JC$351</f>
        <v>15948</v>
      </c>
      <c r="AJ107" s="4">
        <f>[2]PL!JD$351</f>
        <v>15948</v>
      </c>
      <c r="AK107" s="4">
        <f>[2]PL!JE$351</f>
        <v>15948</v>
      </c>
      <c r="AL107" s="4">
        <f>[2]PL!JF$351</f>
        <v>15948</v>
      </c>
      <c r="AM107" s="4">
        <f>[2]PL!JG$351</f>
        <v>15948</v>
      </c>
      <c r="AN107" s="4">
        <f>[2]PL!JH$351</f>
        <v>15948</v>
      </c>
      <c r="AO107" s="4">
        <f>[2]PL!JI$351</f>
        <v>15948</v>
      </c>
      <c r="AP107" s="4">
        <f>[2]PL!JJ$351</f>
        <v>15948</v>
      </c>
      <c r="AQ107" s="4">
        <f>[2]PL!JK$351</f>
        <v>15948</v>
      </c>
      <c r="AR107" s="4">
        <f>[2]PL!JL$351</f>
        <v>15948</v>
      </c>
      <c r="AS107" s="4">
        <f>[2]PL!JM$351</f>
        <v>15948</v>
      </c>
      <c r="AT107" s="4">
        <f>[2]PL!JN$351</f>
        <v>15948</v>
      </c>
      <c r="AU107" s="4">
        <f>[2]PL!JO$351</f>
        <v>15948</v>
      </c>
      <c r="AV107" s="4">
        <f>[2]PL!JP$351</f>
        <v>15948</v>
      </c>
    </row>
    <row r="108" spans="1:48" ht="19.5" customHeight="1">
      <c r="A108" s="13" t="s">
        <v>55</v>
      </c>
      <c r="B108" s="13"/>
      <c r="C108" s="13"/>
      <c r="R108" s="4">
        <f>[2]PL!IL$888</f>
        <v>91.601444544488345</v>
      </c>
      <c r="S108" s="4">
        <f>[2]PL!IM$888</f>
        <v>90.782996057446326</v>
      </c>
      <c r="T108" s="4">
        <f>[2]PL!IN$888</f>
        <v>91.346359291780615</v>
      </c>
      <c r="U108" s="4">
        <f>[2]PL!IO$888</f>
        <v>90.064884533138184</v>
      </c>
      <c r="V108" s="4">
        <f>[2]PL!IP$888</f>
        <v>90.064884533138184</v>
      </c>
      <c r="W108" s="4">
        <f>[2]PL!IQ$888</f>
        <v>90.064884533138184</v>
      </c>
      <c r="X108" s="4">
        <f>[2]PL!IR$888</f>
        <v>90.064884533138184</v>
      </c>
      <c r="Y108" s="4">
        <f>[2]PL!IS$888</f>
        <v>91.664884533138178</v>
      </c>
      <c r="Z108" s="4">
        <f>[2]PL!IT$888</f>
        <v>91.664884533138178</v>
      </c>
      <c r="AA108" s="4">
        <f>[2]PL!IU$888</f>
        <v>91.664884533138178</v>
      </c>
      <c r="AB108" s="4">
        <f>[2]PL!IV$888</f>
        <v>91.664884533138178</v>
      </c>
      <c r="AC108" s="4">
        <f>[2]PL!IW$888</f>
        <v>91.664884533138178</v>
      </c>
      <c r="AD108" s="4">
        <f>[2]PL!IX$888</f>
        <v>91.664884533138178</v>
      </c>
      <c r="AE108" s="4">
        <f>[2]PL!IY$888</f>
        <v>91.664884533138178</v>
      </c>
      <c r="AF108" s="4">
        <f>[2]PL!IZ$888</f>
        <v>91.664884533138178</v>
      </c>
      <c r="AG108" s="4">
        <f>[2]PL!JA$888</f>
        <v>91.664884533138178</v>
      </c>
      <c r="AH108" s="4">
        <f>[2]PL!JB$888</f>
        <v>91.664884533138178</v>
      </c>
      <c r="AI108" s="4">
        <f>[2]PL!JC$888</f>
        <v>91.664884533138178</v>
      </c>
      <c r="AJ108" s="4">
        <f>[2]PL!JD$888</f>
        <v>91.664884533138178</v>
      </c>
      <c r="AK108" s="4">
        <f>[2]PL!JE$888</f>
        <v>91.664884533138178</v>
      </c>
      <c r="AL108" s="4">
        <f>[2]PL!JF$888</f>
        <v>91.664884533138178</v>
      </c>
      <c r="AM108" s="4">
        <f>[2]PL!JG$888</f>
        <v>91.664884533138178</v>
      </c>
      <c r="AN108" s="4">
        <f>[2]PL!JH$888</f>
        <v>91.664884533138178</v>
      </c>
      <c r="AO108" s="4">
        <f>[2]PL!JI$888</f>
        <v>91.664884533138178</v>
      </c>
      <c r="AP108" s="4">
        <f>[2]PL!JJ$888</f>
        <v>91.664884533138178</v>
      </c>
      <c r="AQ108" s="4">
        <f>[2]PL!JK$888</f>
        <v>91.664884533138178</v>
      </c>
      <c r="AR108" s="4">
        <f>[2]PL!JL$888</f>
        <v>91.664884533138178</v>
      </c>
      <c r="AS108" s="4">
        <f>[2]PL!JM$888</f>
        <v>91.664884533138178</v>
      </c>
      <c r="AT108" s="4">
        <f>[2]PL!JN$888</f>
        <v>91.664884533138178</v>
      </c>
      <c r="AU108" s="4">
        <f>[2]PL!JO$888</f>
        <v>91.664884533138178</v>
      </c>
      <c r="AV108" s="4">
        <f>[2]PL!JP$888</f>
        <v>91.664884533138178</v>
      </c>
    </row>
    <row r="109" spans="1:48" ht="19.5" customHeight="1">
      <c r="A109" s="13" t="s">
        <v>217</v>
      </c>
      <c r="B109" s="13"/>
      <c r="C109" s="13"/>
      <c r="R109" s="4">
        <f>[2]PL!IL$887</f>
        <v>112.74660148664033</v>
      </c>
      <c r="S109" s="4">
        <f>[2]PL!IM$887</f>
        <v>126.01631437739614</v>
      </c>
      <c r="T109" s="4">
        <f>[2]PL!IN$887</f>
        <v>133.2969811224265</v>
      </c>
      <c r="U109" s="4">
        <f>[2]PL!IO$887</f>
        <v>134.68885681909981</v>
      </c>
      <c r="V109" s="4">
        <f>[2]PL!IP$887</f>
        <v>130.30498259695702</v>
      </c>
      <c r="W109" s="4">
        <f>[2]PL!IQ$887</f>
        <v>127.09659852282614</v>
      </c>
      <c r="X109" s="4">
        <f>[2]PL!IR$887</f>
        <v>125.1704894620498</v>
      </c>
      <c r="Y109" s="4">
        <f>[2]PL!IS$887</f>
        <v>125.10403063883614</v>
      </c>
      <c r="Z109" s="4">
        <f>[2]PL!IT$887</f>
        <v>124.13728202169796</v>
      </c>
      <c r="AA109" s="4">
        <f>[2]PL!IU$887</f>
        <v>122.8375378813698</v>
      </c>
      <c r="AB109" s="4">
        <f>[2]PL!IV$887</f>
        <v>121.08730800416861</v>
      </c>
      <c r="AC109" s="4">
        <f>[2]PL!IW$887</f>
        <v>120.62145849504314</v>
      </c>
      <c r="AD109" s="4">
        <f>[2]PL!IX$887</f>
        <v>120.39683454942774</v>
      </c>
      <c r="AE109" s="4">
        <f>[2]PL!IY$887</f>
        <v>120.4093705679374</v>
      </c>
      <c r="AF109" s="4">
        <f>[2]PL!IZ$887</f>
        <v>120.42176651920114</v>
      </c>
      <c r="AG109" s="4">
        <f>[2]PL!JA$887</f>
        <v>120.43402473767307</v>
      </c>
      <c r="AH109" s="4">
        <f>[2]PL!JB$887</f>
        <v>120.13729040112626</v>
      </c>
      <c r="AI109" s="4">
        <f>[2]PL!JC$887</f>
        <v>119.84055606457947</v>
      </c>
      <c r="AJ109" s="4">
        <f>[2]PL!JD$887</f>
        <v>119.54382172803267</v>
      </c>
      <c r="AK109" s="4">
        <f>[2]PL!JE$887</f>
        <v>119.24708739148586</v>
      </c>
      <c r="AL109" s="4">
        <f>[2]PL!JF$887</f>
        <v>118.95035305493906</v>
      </c>
      <c r="AM109" s="4">
        <f>[2]PL!JG$887</f>
        <v>118.95035305493906</v>
      </c>
      <c r="AN109" s="4">
        <f>[2]PL!JH$887</f>
        <v>118.95035305493907</v>
      </c>
      <c r="AO109" s="4">
        <f>[2]PL!JI$887</f>
        <v>118.95035305493907</v>
      </c>
      <c r="AP109" s="4">
        <f>[2]PL!JJ$887</f>
        <v>118.95035305493907</v>
      </c>
      <c r="AQ109" s="4">
        <f>[2]PL!JK$887</f>
        <v>118.95035305493907</v>
      </c>
      <c r="AR109" s="4">
        <f>[2]PL!JL$887</f>
        <v>118.95035305493907</v>
      </c>
      <c r="AS109" s="4">
        <f>[2]PL!JM$887</f>
        <v>118.95035305493907</v>
      </c>
      <c r="AT109" s="4">
        <f>[2]PL!JN$887</f>
        <v>118.95035305493907</v>
      </c>
      <c r="AU109" s="4">
        <f>[2]PL!JO$887</f>
        <v>118.95035305493907</v>
      </c>
      <c r="AV109" s="4">
        <f>[2]PL!JP$887</f>
        <v>118.95035305493907</v>
      </c>
    </row>
    <row r="110" spans="1:48" ht="19.5" customHeight="1">
      <c r="A110" s="13" t="s">
        <v>218</v>
      </c>
      <c r="B110" s="13"/>
      <c r="C110" s="13"/>
      <c r="R110" s="15">
        <f>[2]PL!IL$350/[2]PL!IL$349</f>
        <v>0.97</v>
      </c>
      <c r="S110" s="15">
        <f>[2]PL!IM$350/[2]PL!IM$349</f>
        <v>0.93747131711794396</v>
      </c>
      <c r="T110" s="15">
        <f>[2]PL!IN$350/[2]PL!IN$349</f>
        <v>0.90521023765996345</v>
      </c>
      <c r="U110" s="15">
        <f>[2]PL!IO$350/[2]PL!IO$349</f>
        <v>0.87321347291761497</v>
      </c>
      <c r="V110" s="15">
        <f>[2]PL!IP$350/[2]PL!IP$349</f>
        <v>0.84147778785131455</v>
      </c>
      <c r="W110" s="15">
        <f>[2]PL!IQ$350/[2]PL!IQ$349</f>
        <v>0.81</v>
      </c>
      <c r="X110" s="15">
        <f>[2]PL!IR$350/[2]PL!IR$349</f>
        <v>0.77800000000000002</v>
      </c>
      <c r="Y110" s="15">
        <f>[2]PL!IS$350/[2]PL!IS$349</f>
        <v>0.74600000000000011</v>
      </c>
      <c r="Z110" s="15">
        <f>[2]PL!IT$350/[2]PL!IT$349</f>
        <v>0.71399999999999997</v>
      </c>
      <c r="AA110" s="15">
        <f>[2]PL!IU$350/[2]PL!IU$349</f>
        <v>0.68199999999999994</v>
      </c>
      <c r="AB110" s="15">
        <f>[2]PL!IV$350/[2]PL!IV$349</f>
        <v>0.65</v>
      </c>
      <c r="AC110" s="15">
        <f>[2]PL!IW$350/[2]PL!IW$349</f>
        <v>0.64800000000000002</v>
      </c>
      <c r="AD110" s="15">
        <f>[2]PL!IX$350/[2]PL!IX$349</f>
        <v>0.64600000000000002</v>
      </c>
      <c r="AE110" s="15">
        <f>[2]PL!IY$350/[2]PL!IY$349</f>
        <v>0.64400000000000002</v>
      </c>
      <c r="AF110" s="15">
        <f>[2]PL!IZ$350/[2]PL!IZ$349</f>
        <v>0.64200000000000002</v>
      </c>
      <c r="AG110" s="15">
        <f>[2]PL!JA$350/[2]PL!JA$349</f>
        <v>0.64</v>
      </c>
      <c r="AH110" s="15">
        <f>[2]PL!JB$350/[2]PL!JB$349</f>
        <v>0.64</v>
      </c>
      <c r="AI110" s="15">
        <f>[2]PL!JC$350/[2]PL!JC$349</f>
        <v>0.64</v>
      </c>
      <c r="AJ110" s="15">
        <f>[2]PL!JD$350/[2]PL!JD$349</f>
        <v>0.64</v>
      </c>
      <c r="AK110" s="15">
        <f>[2]PL!JE$350/[2]PL!JE$349</f>
        <v>0.64</v>
      </c>
      <c r="AL110" s="15">
        <f>[2]PL!JF$350/[2]PL!JF$349</f>
        <v>0.64</v>
      </c>
      <c r="AM110" s="15">
        <f>[2]PL!JG$350/[2]PL!JG$349</f>
        <v>0.64</v>
      </c>
      <c r="AN110" s="15">
        <f>[2]PL!JH$350/[2]PL!JH$349</f>
        <v>0.64</v>
      </c>
      <c r="AO110" s="15">
        <f>[2]PL!JI$350/[2]PL!JI$349</f>
        <v>0.64</v>
      </c>
      <c r="AP110" s="15">
        <f>[2]PL!JJ$350/[2]PL!JJ$349</f>
        <v>0.64</v>
      </c>
      <c r="AQ110" s="15">
        <f>[2]PL!JK$350/[2]PL!JK$349</f>
        <v>0.64</v>
      </c>
      <c r="AR110" s="15">
        <f>[2]PL!JL$350/[2]PL!JL$349</f>
        <v>0.64</v>
      </c>
      <c r="AS110" s="15">
        <f>[2]PL!JM$350/[2]PL!JM$349</f>
        <v>0.64</v>
      </c>
      <c r="AT110" s="15">
        <f>[2]PL!JN$350/[2]PL!JN$349</f>
        <v>0.64</v>
      </c>
      <c r="AU110" s="15">
        <f>[2]PL!JO$350/[2]PL!JO$349</f>
        <v>0.64</v>
      </c>
      <c r="AV110" s="15">
        <f>[2]PL!JP$350/[2]PL!JP$349</f>
        <v>0.64</v>
      </c>
    </row>
    <row r="111" spans="1:48" ht="19.5" customHeight="1">
      <c r="A111" s="13" t="s">
        <v>219</v>
      </c>
      <c r="B111" s="13"/>
      <c r="C111" s="13"/>
      <c r="R111" s="4">
        <f t="shared" ref="R111:AV111" si="17">1-R110</f>
        <v>3.0000000000000027E-2</v>
      </c>
      <c r="S111" s="4">
        <f t="shared" si="17"/>
        <v>6.2528682882056041E-2</v>
      </c>
      <c r="T111" s="4">
        <f t="shared" si="17"/>
        <v>9.4789762340036554E-2</v>
      </c>
      <c r="U111" s="4">
        <f t="shared" si="17"/>
        <v>0.12678652708238503</v>
      </c>
      <c r="V111" s="4">
        <f t="shared" si="17"/>
        <v>0.15852221214868545</v>
      </c>
      <c r="W111" s="4">
        <f t="shared" si="17"/>
        <v>0.18999999999999995</v>
      </c>
      <c r="X111" s="4">
        <f t="shared" si="17"/>
        <v>0.22199999999999998</v>
      </c>
      <c r="Y111" s="4">
        <f t="shared" si="17"/>
        <v>0.25399999999999989</v>
      </c>
      <c r="Z111" s="4">
        <f t="shared" si="17"/>
        <v>0.28600000000000003</v>
      </c>
      <c r="AA111" s="4">
        <f t="shared" si="17"/>
        <v>0.31800000000000006</v>
      </c>
      <c r="AB111" s="4">
        <f t="shared" si="17"/>
        <v>0.35</v>
      </c>
      <c r="AC111" s="4">
        <f t="shared" si="17"/>
        <v>0.35199999999999998</v>
      </c>
      <c r="AD111" s="4">
        <f t="shared" si="17"/>
        <v>0.35399999999999998</v>
      </c>
      <c r="AE111" s="4">
        <f t="shared" si="17"/>
        <v>0.35599999999999998</v>
      </c>
      <c r="AF111" s="4">
        <f t="shared" si="17"/>
        <v>0.35799999999999998</v>
      </c>
      <c r="AG111" s="4">
        <f t="shared" si="17"/>
        <v>0.36</v>
      </c>
      <c r="AH111" s="4">
        <f t="shared" si="17"/>
        <v>0.36</v>
      </c>
      <c r="AI111" s="4">
        <f t="shared" si="17"/>
        <v>0.36</v>
      </c>
      <c r="AJ111" s="4">
        <f t="shared" si="17"/>
        <v>0.36</v>
      </c>
      <c r="AK111" s="4">
        <f t="shared" si="17"/>
        <v>0.36</v>
      </c>
      <c r="AL111" s="4">
        <f t="shared" si="17"/>
        <v>0.36</v>
      </c>
      <c r="AM111" s="4">
        <f t="shared" si="17"/>
        <v>0.36</v>
      </c>
      <c r="AN111" s="4">
        <f t="shared" si="17"/>
        <v>0.36</v>
      </c>
      <c r="AO111" s="4">
        <f t="shared" si="17"/>
        <v>0.36</v>
      </c>
      <c r="AP111" s="4">
        <f t="shared" si="17"/>
        <v>0.36</v>
      </c>
      <c r="AQ111" s="4">
        <f t="shared" si="17"/>
        <v>0.36</v>
      </c>
      <c r="AR111" s="4">
        <f t="shared" si="17"/>
        <v>0.36</v>
      </c>
      <c r="AS111" s="4">
        <f t="shared" si="17"/>
        <v>0.36</v>
      </c>
      <c r="AT111" s="4">
        <f t="shared" si="17"/>
        <v>0.36</v>
      </c>
      <c r="AU111" s="4">
        <f t="shared" si="17"/>
        <v>0.36</v>
      </c>
      <c r="AV111" s="4">
        <f t="shared" si="17"/>
        <v>0.36</v>
      </c>
    </row>
    <row r="112" spans="1:48" ht="19.5" customHeight="1">
      <c r="A112" s="13" t="s">
        <v>63</v>
      </c>
      <c r="B112" s="13"/>
      <c r="C112" s="13"/>
      <c r="R112" s="4">
        <f t="shared" ref="R112:AV112" si="18">R109-R108</f>
        <v>21.145156942151985</v>
      </c>
      <c r="S112" s="4">
        <f t="shared" si="18"/>
        <v>35.233318319949817</v>
      </c>
      <c r="T112" s="4">
        <f t="shared" si="18"/>
        <v>41.950621830645886</v>
      </c>
      <c r="U112" s="4">
        <f t="shared" si="18"/>
        <v>44.623972285961628</v>
      </c>
      <c r="V112" s="4">
        <f t="shared" si="18"/>
        <v>40.240098063818834</v>
      </c>
      <c r="W112" s="4">
        <f t="shared" si="18"/>
        <v>37.031713989687958</v>
      </c>
      <c r="X112" s="4">
        <f t="shared" si="18"/>
        <v>35.105604928911617</v>
      </c>
      <c r="Y112" s="4">
        <f t="shared" si="18"/>
        <v>33.439146105697958</v>
      </c>
      <c r="Z112" s="4">
        <f t="shared" si="18"/>
        <v>32.472397488559778</v>
      </c>
      <c r="AA112" s="4">
        <f t="shared" si="18"/>
        <v>31.17265334823162</v>
      </c>
      <c r="AB112" s="4">
        <f t="shared" si="18"/>
        <v>29.422423471030427</v>
      </c>
      <c r="AC112" s="4">
        <f t="shared" si="18"/>
        <v>28.956573961904965</v>
      </c>
      <c r="AD112" s="4">
        <f t="shared" si="18"/>
        <v>28.731950016289559</v>
      </c>
      <c r="AE112" s="4">
        <f t="shared" si="18"/>
        <v>28.744486034799223</v>
      </c>
      <c r="AF112" s="4">
        <f t="shared" si="18"/>
        <v>28.756881986062965</v>
      </c>
      <c r="AG112" s="4">
        <f t="shared" si="18"/>
        <v>28.769140204534892</v>
      </c>
      <c r="AH112" s="4">
        <f t="shared" si="18"/>
        <v>28.472405867988087</v>
      </c>
      <c r="AI112" s="4">
        <f t="shared" si="18"/>
        <v>28.175671531441296</v>
      </c>
      <c r="AJ112" s="4">
        <f t="shared" si="18"/>
        <v>27.87893719489449</v>
      </c>
      <c r="AK112" s="4">
        <f t="shared" si="18"/>
        <v>27.582202858347685</v>
      </c>
      <c r="AL112" s="4">
        <f t="shared" si="18"/>
        <v>27.28546852180088</v>
      </c>
      <c r="AM112" s="4">
        <f t="shared" si="18"/>
        <v>27.28546852180088</v>
      </c>
      <c r="AN112" s="4">
        <f t="shared" si="18"/>
        <v>27.285468521800894</v>
      </c>
      <c r="AO112" s="4">
        <f t="shared" si="18"/>
        <v>27.285468521800894</v>
      </c>
      <c r="AP112" s="4">
        <f t="shared" si="18"/>
        <v>27.285468521800894</v>
      </c>
      <c r="AQ112" s="4">
        <f t="shared" si="18"/>
        <v>27.285468521800894</v>
      </c>
      <c r="AR112" s="4">
        <f t="shared" si="18"/>
        <v>27.285468521800894</v>
      </c>
      <c r="AS112" s="4">
        <f t="shared" si="18"/>
        <v>27.285468521800894</v>
      </c>
      <c r="AT112" s="4">
        <f t="shared" si="18"/>
        <v>27.285468521800894</v>
      </c>
      <c r="AU112" s="4">
        <f t="shared" si="18"/>
        <v>27.285468521800894</v>
      </c>
      <c r="AV112" s="4">
        <f t="shared" si="18"/>
        <v>27.285468521800894</v>
      </c>
    </row>
    <row r="113" spans="1:49" ht="31.5" customHeight="1">
      <c r="A113" s="13" t="s">
        <v>220</v>
      </c>
      <c r="B113" s="13"/>
      <c r="C113" s="13"/>
      <c r="R113" s="6">
        <f>[2]PL!JW$349</f>
        <v>43372</v>
      </c>
      <c r="S113" s="6">
        <f>[2]PL!JX$349</f>
        <v>43557.599999999999</v>
      </c>
      <c r="T113" s="6">
        <f>[2]PL!JY$349</f>
        <v>43743.199999999997</v>
      </c>
      <c r="U113" s="6">
        <f>[2]PL!JZ$349</f>
        <v>43928.800000000003</v>
      </c>
      <c r="V113" s="6">
        <f>[2]PL!KA$349</f>
        <v>44114.400000000001</v>
      </c>
      <c r="W113" s="6">
        <f>[2]PL!KB$349</f>
        <v>44300</v>
      </c>
      <c r="X113" s="6">
        <f>[2]PL!KC$349</f>
        <v>44300</v>
      </c>
      <c r="Y113" s="6">
        <f>[2]PL!KD$349</f>
        <v>44300</v>
      </c>
      <c r="Z113" s="6">
        <f>[2]PL!KE$349</f>
        <v>44300</v>
      </c>
      <c r="AA113" s="6">
        <f>[2]PL!KF$349</f>
        <v>44300</v>
      </c>
      <c r="AB113" s="6">
        <f>[2]PL!KG$349</f>
        <v>44300</v>
      </c>
      <c r="AC113" s="6">
        <f>[2]PL!KH$349</f>
        <v>44300</v>
      </c>
      <c r="AD113" s="6">
        <f>[2]PL!KI$349</f>
        <v>44300</v>
      </c>
      <c r="AE113" s="6">
        <f>[2]PL!KJ$349</f>
        <v>44300</v>
      </c>
      <c r="AF113" s="6">
        <f>[2]PL!KK$349</f>
        <v>44300</v>
      </c>
      <c r="AG113" s="6">
        <f>[2]PL!KL$349</f>
        <v>44300</v>
      </c>
      <c r="AH113" s="6">
        <f>[2]PL!KM$349</f>
        <v>44300</v>
      </c>
      <c r="AI113" s="6">
        <f>[2]PL!KN$349</f>
        <v>44300</v>
      </c>
      <c r="AJ113" s="6">
        <f>[2]PL!KO$349</f>
        <v>44300</v>
      </c>
      <c r="AK113" s="6">
        <f>[2]PL!KP$349</f>
        <v>44300</v>
      </c>
      <c r="AL113" s="6">
        <f>[2]PL!KQ$349</f>
        <v>44300</v>
      </c>
      <c r="AM113" s="6">
        <f>[2]PL!KR$349</f>
        <v>44300</v>
      </c>
      <c r="AN113" s="6">
        <f>[2]PL!KS$349</f>
        <v>44300</v>
      </c>
      <c r="AO113" s="6">
        <f>[2]PL!KT$349</f>
        <v>44300</v>
      </c>
      <c r="AP113" s="6">
        <f>[2]PL!KU$349</f>
        <v>44300</v>
      </c>
      <c r="AQ113" s="6">
        <f>[2]PL!KV$349</f>
        <v>44300</v>
      </c>
      <c r="AR113" s="6">
        <f>[2]PL!KW$349</f>
        <v>44300</v>
      </c>
      <c r="AS113" s="6">
        <f>[2]PL!KX$349</f>
        <v>44300</v>
      </c>
      <c r="AT113" s="6">
        <f>[2]PL!KY$349</f>
        <v>44300</v>
      </c>
      <c r="AU113" s="6">
        <f>[2]PL!KZ$349</f>
        <v>44300</v>
      </c>
      <c r="AV113" s="6">
        <f>[2]PL!LA$349</f>
        <v>44300</v>
      </c>
    </row>
    <row r="114" spans="1:49" ht="31.5" customHeight="1">
      <c r="A114" s="13" t="s">
        <v>221</v>
      </c>
      <c r="B114" s="13"/>
      <c r="C114" s="13"/>
      <c r="R114" s="6">
        <f>[2]PL!JW$343+[2]PL!JW$344</f>
        <v>42070.84</v>
      </c>
      <c r="S114" s="6">
        <f>[2]PL!JX$343+[2]PL!JX$344</f>
        <v>40124.471999999994</v>
      </c>
      <c r="T114" s="6">
        <f>[2]PL!JY$343+[2]PL!JY$344</f>
        <v>38178.103999999999</v>
      </c>
      <c r="U114" s="6">
        <f>[2]PL!JZ$343+[2]PL!JZ$344</f>
        <v>36231.735999999997</v>
      </c>
      <c r="V114" s="6">
        <f>[2]PL!KA$343+[2]PL!KA$344</f>
        <v>34285.368000000002</v>
      </c>
      <c r="W114" s="6">
        <f>[2]PL!KB$343+[2]PL!KB$344</f>
        <v>32339</v>
      </c>
      <c r="X114" s="6">
        <f>[2]PL!KC$343+[2]PL!KC$344</f>
        <v>30301.200000000001</v>
      </c>
      <c r="Y114" s="6">
        <f>[2]PL!KD$343+[2]PL!KD$344</f>
        <v>28263.4</v>
      </c>
      <c r="Z114" s="6">
        <f>[2]PL!KE$343+[2]PL!KE$344</f>
        <v>26225.599999999999</v>
      </c>
      <c r="AA114" s="6">
        <f>[2]PL!KF$343+[2]PL!KF$344</f>
        <v>24187.8</v>
      </c>
      <c r="AB114" s="6">
        <f>[2]PL!KG$343+[2]PL!KG$344</f>
        <v>22150</v>
      </c>
      <c r="AC114" s="6">
        <f>[2]PL!KH$343+[2]PL!KH$344</f>
        <v>20732.400000000001</v>
      </c>
      <c r="AD114" s="6">
        <f>[2]PL!KI$343+[2]PL!KI$344</f>
        <v>19314.8</v>
      </c>
      <c r="AE114" s="6">
        <f>[2]PL!KJ$343+[2]PL!KJ$344</f>
        <v>17897.2</v>
      </c>
      <c r="AF114" s="6">
        <f>[2]PL!KK$343+[2]PL!KK$344</f>
        <v>16479.600000000002</v>
      </c>
      <c r="AG114" s="6">
        <f>[2]PL!KL$343+[2]PL!KL$344</f>
        <v>15062.000000000002</v>
      </c>
      <c r="AH114" s="6">
        <f>[2]PL!KM$343+[2]PL!KM$344</f>
        <v>12226.800000000001</v>
      </c>
      <c r="AI114" s="6">
        <f>[2]PL!KN$343+[2]PL!KN$344</f>
        <v>9391.6000000000022</v>
      </c>
      <c r="AJ114" s="6">
        <f>[2]PL!KO$343+[2]PL!KO$344</f>
        <v>6556.4</v>
      </c>
      <c r="AK114" s="6">
        <f>[2]PL!KP$343+[2]PL!KP$344</f>
        <v>3721.2000000000007</v>
      </c>
      <c r="AL114" s="6">
        <f>[2]PL!KQ$343+[2]PL!KQ$344</f>
        <v>886</v>
      </c>
      <c r="AM114" s="6">
        <f>[2]PL!KR$343+[2]PL!KR$344</f>
        <v>708.8</v>
      </c>
      <c r="AN114" s="6">
        <f>[2]PL!KS$343+[2]PL!KS$344</f>
        <v>531.6</v>
      </c>
      <c r="AO114" s="6">
        <f>[2]PL!KT$343+[2]PL!KT$344</f>
        <v>354.4</v>
      </c>
      <c r="AP114" s="6">
        <f>[2]PL!KU$343+[2]PL!KU$344</f>
        <v>177.20000000000005</v>
      </c>
      <c r="AQ114" s="6">
        <f>[2]PL!KV$343+[2]PL!KV$344</f>
        <v>0</v>
      </c>
      <c r="AR114" s="6">
        <f>[2]PL!KW$343+[2]PL!KW$344</f>
        <v>0</v>
      </c>
      <c r="AS114" s="6">
        <f>[2]PL!KX$343+[2]PL!KX$344</f>
        <v>0</v>
      </c>
      <c r="AT114" s="6">
        <f>[2]PL!KY$343+[2]PL!KY$344</f>
        <v>0</v>
      </c>
      <c r="AU114" s="6">
        <f>[2]PL!KZ$343+[2]PL!KZ$344</f>
        <v>0</v>
      </c>
      <c r="AV114" s="6">
        <f>[2]PL!LA$343+[2]PL!LA$344</f>
        <v>0</v>
      </c>
    </row>
    <row r="115" spans="1:49" ht="31.5" customHeight="1">
      <c r="A115" s="13" t="s">
        <v>222</v>
      </c>
      <c r="B115" s="13"/>
      <c r="C115" s="13"/>
      <c r="R115" s="6">
        <f>[2]PL!JW$351</f>
        <v>1301.1599999999999</v>
      </c>
      <c r="S115" s="6">
        <f>[2]PL!JX$351</f>
        <v>3433.1279999999997</v>
      </c>
      <c r="T115" s="6">
        <f>[2]PL!JY$351</f>
        <v>5565.0959999999995</v>
      </c>
      <c r="U115" s="6">
        <f>[2]PL!JZ$351</f>
        <v>7697.0640000000003</v>
      </c>
      <c r="V115" s="6">
        <f>[2]PL!KA$351</f>
        <v>9829.0319999999992</v>
      </c>
      <c r="W115" s="6">
        <f>[2]PL!KB$351</f>
        <v>11961</v>
      </c>
      <c r="X115" s="6">
        <f>[2]PL!KC$351</f>
        <v>13998.8</v>
      </c>
      <c r="Y115" s="6">
        <f>[2]PL!KD$351</f>
        <v>16036.6</v>
      </c>
      <c r="Z115" s="6">
        <f>[2]PL!KE$351</f>
        <v>18074.400000000001</v>
      </c>
      <c r="AA115" s="6">
        <f>[2]PL!KF$351</f>
        <v>20112.2</v>
      </c>
      <c r="AB115" s="6">
        <f>[2]PL!KG$351</f>
        <v>22150</v>
      </c>
      <c r="AC115" s="6">
        <f>[2]PL!KH$351</f>
        <v>23567.599999999999</v>
      </c>
      <c r="AD115" s="6">
        <f>[2]PL!KI$351</f>
        <v>24985.200000000001</v>
      </c>
      <c r="AE115" s="6">
        <f>[2]PL!KJ$351</f>
        <v>26402.799999999999</v>
      </c>
      <c r="AF115" s="6">
        <f>[2]PL!KK$351</f>
        <v>27820.400000000001</v>
      </c>
      <c r="AG115" s="6">
        <f>[2]PL!KL$351</f>
        <v>29238</v>
      </c>
      <c r="AH115" s="6">
        <f>[2]PL!KM$351</f>
        <v>32073.199999999997</v>
      </c>
      <c r="AI115" s="6">
        <f>[2]PL!KN$351</f>
        <v>34908.399999999994</v>
      </c>
      <c r="AJ115" s="6">
        <f>[2]PL!KO$351</f>
        <v>37743.600000000006</v>
      </c>
      <c r="AK115" s="6">
        <f>[2]PL!KP$351</f>
        <v>40578.800000000003</v>
      </c>
      <c r="AL115" s="6">
        <f>[2]PL!KQ$351</f>
        <v>43414</v>
      </c>
      <c r="AM115" s="6">
        <f>[2]PL!KR$351</f>
        <v>43591.200000000004</v>
      </c>
      <c r="AN115" s="6">
        <f>[2]PL!KS$351</f>
        <v>43768.4</v>
      </c>
      <c r="AO115" s="6">
        <f>[2]PL!KT$351</f>
        <v>43945.600000000006</v>
      </c>
      <c r="AP115" s="6">
        <f>[2]PL!KU$351</f>
        <v>44122.8</v>
      </c>
      <c r="AQ115" s="6">
        <f>[2]PL!KV$351</f>
        <v>44300</v>
      </c>
      <c r="AR115" s="6">
        <f>[2]PL!KW$351</f>
        <v>44300</v>
      </c>
      <c r="AS115" s="6">
        <f>[2]PL!KX$351</f>
        <v>44300</v>
      </c>
      <c r="AT115" s="6">
        <f>[2]PL!KY$351</f>
        <v>44300</v>
      </c>
      <c r="AU115" s="6">
        <f>[2]PL!KZ$351</f>
        <v>44300</v>
      </c>
      <c r="AV115" s="6">
        <f>[2]PL!LA$351</f>
        <v>44300</v>
      </c>
    </row>
    <row r="116" spans="1:49">
      <c r="A116" s="13" t="s">
        <v>188</v>
      </c>
      <c r="B116" s="13"/>
      <c r="C116" s="13"/>
      <c r="R116" s="4">
        <f>[2]PL!JW$888</f>
        <v>91.601444544488345</v>
      </c>
      <c r="S116" s="4">
        <f>[2]PL!JX$888</f>
        <v>90.782996057446326</v>
      </c>
      <c r="T116" s="4">
        <f>[2]PL!JY$888</f>
        <v>91.346359291780615</v>
      </c>
      <c r="U116" s="4">
        <f>[2]PL!JZ$888</f>
        <v>90.064884533138184</v>
      </c>
      <c r="V116" s="4">
        <f>[2]PL!KA$888</f>
        <v>90.064884533138184</v>
      </c>
      <c r="W116" s="4">
        <f>[2]PL!KB$888</f>
        <v>90.064884533138184</v>
      </c>
      <c r="X116" s="4">
        <f>[2]PL!KC$888</f>
        <v>90.064884533138184</v>
      </c>
      <c r="Y116" s="4">
        <f>[2]PL!KD$888</f>
        <v>91.664884533138178</v>
      </c>
      <c r="Z116" s="4">
        <f>[2]PL!KE$888</f>
        <v>91.664884533138178</v>
      </c>
      <c r="AA116" s="4">
        <f>[2]PL!KF$888</f>
        <v>91.664884533138178</v>
      </c>
      <c r="AB116" s="4">
        <f>[2]PL!KG$888</f>
        <v>91.664884533138178</v>
      </c>
      <c r="AC116" s="4">
        <f>[2]PL!KH$888</f>
        <v>91.664884533138178</v>
      </c>
      <c r="AD116" s="4">
        <f>[2]PL!KI$888</f>
        <v>91.664884533138178</v>
      </c>
      <c r="AE116" s="4">
        <f>[2]PL!KJ$888</f>
        <v>91.664884533138178</v>
      </c>
      <c r="AF116" s="4">
        <f>[2]PL!KK$888</f>
        <v>91.664884533138178</v>
      </c>
      <c r="AG116" s="4">
        <f>[2]PL!KL$888</f>
        <v>91.664884533138178</v>
      </c>
      <c r="AH116" s="4">
        <f>[2]PL!KM$888</f>
        <v>91.664884533138192</v>
      </c>
      <c r="AI116" s="4">
        <f>[2]PL!KN$888</f>
        <v>91.664884533138178</v>
      </c>
      <c r="AJ116" s="4">
        <f>[2]PL!KO$888</f>
        <v>91.664884533138178</v>
      </c>
      <c r="AK116" s="4">
        <f>[2]PL!KP$888</f>
        <v>91.664884533138178</v>
      </c>
      <c r="AL116" s="4">
        <f>[2]PL!KQ$888</f>
        <v>91.664884533138178</v>
      </c>
      <c r="AM116" s="4">
        <f>[2]PL!KR$888</f>
        <v>91.664884533138178</v>
      </c>
      <c r="AN116" s="4">
        <f>[2]PL!KS$888</f>
        <v>91.664884533138178</v>
      </c>
      <c r="AO116" s="4">
        <f>[2]PL!KT$888</f>
        <v>91.664884533138178</v>
      </c>
      <c r="AP116" s="4">
        <f>[2]PL!KU$888</f>
        <v>91.664884533138178</v>
      </c>
      <c r="AQ116" s="4">
        <f>[2]PL!KV$888</f>
        <v>91.664884533138178</v>
      </c>
      <c r="AR116" s="4">
        <f>[2]PL!KW$888</f>
        <v>91.664884533138178</v>
      </c>
      <c r="AS116" s="4">
        <f>[2]PL!KX$888</f>
        <v>91.664884533138178</v>
      </c>
      <c r="AT116" s="4">
        <f>[2]PL!KY$888</f>
        <v>91.664884533138178</v>
      </c>
      <c r="AU116" s="4">
        <f>[2]PL!KZ$888</f>
        <v>91.664884533138178</v>
      </c>
      <c r="AV116" s="4">
        <f>[2]PL!LA$888</f>
        <v>91.664884533138178</v>
      </c>
    </row>
    <row r="117" spans="1:49">
      <c r="A117" s="13" t="s">
        <v>223</v>
      </c>
      <c r="B117" s="13"/>
      <c r="C117" s="13"/>
      <c r="R117" s="4">
        <f>[2]PL!JW$887</f>
        <v>112.74660148664032</v>
      </c>
      <c r="S117" s="4">
        <f>[2]PL!JX$887</f>
        <v>137.3228065675624</v>
      </c>
      <c r="T117" s="4">
        <f>[2]PL!JY$887</f>
        <v>148.48727413060354</v>
      </c>
      <c r="U117" s="4">
        <f>[2]PL!JZ$887</f>
        <v>150.54289301174649</v>
      </c>
      <c r="V117" s="4">
        <f>[2]PL!KA$887</f>
        <v>143.31719569782251</v>
      </c>
      <c r="W117" s="4">
        <f>[2]PL!KB$887</f>
        <v>138.3769575645064</v>
      </c>
      <c r="X117" s="4">
        <f>[2]PL!KC$887</f>
        <v>135.05888644677691</v>
      </c>
      <c r="Y117" s="4">
        <f>[2]PL!KD$887</f>
        <v>134.75021204551592</v>
      </c>
      <c r="Z117" s="4">
        <f>[2]PL!KE$887</f>
        <v>133.09336760560947</v>
      </c>
      <c r="AA117" s="4">
        <f>[2]PL!KF$887</f>
        <v>131.1191080586953</v>
      </c>
      <c r="AB117" s="4">
        <f>[2]PL!KG$887</f>
        <v>128.56003555566176</v>
      </c>
      <c r="AC117" s="4">
        <f>[2]PL!KH$887</f>
        <v>128.93569805865312</v>
      </c>
      <c r="AD117" s="4">
        <f>[2]PL!KI$887</f>
        <v>129.51018306135924</v>
      </c>
      <c r="AE117" s="4">
        <f>[2]PL!KJ$887</f>
        <v>130.30402237471927</v>
      </c>
      <c r="AF117" s="4">
        <f>[2]PL!KK$887</f>
        <v>130.90127959470411</v>
      </c>
      <c r="AG117" s="4">
        <f>[2]PL!KL$887</f>
        <v>131.33054848035022</v>
      </c>
      <c r="AH117" s="4">
        <f>[2]PL!KM$887</f>
        <v>131.21458395411494</v>
      </c>
      <c r="AI117" s="4">
        <f>[2]PL!KN$887</f>
        <v>130.99544878614992</v>
      </c>
      <c r="AJ117" s="4">
        <f>[2]PL!KO$887</f>
        <v>130.69639269853502</v>
      </c>
      <c r="AK117" s="4">
        <f>[2]PL!KP$887</f>
        <v>130.33416767442839</v>
      </c>
      <c r="AL117" s="4">
        <f>[2]PL!KQ$887</f>
        <v>129.9211496687345</v>
      </c>
      <c r="AM117" s="4">
        <f>[2]PL!KR$887</f>
        <v>130.81499740343313</v>
      </c>
      <c r="AN117" s="4">
        <f>[2]PL!KS$887</f>
        <v>131.94918074993768</v>
      </c>
      <c r="AO117" s="4">
        <f>[2]PL!KT$887</f>
        <v>133.54277034410421</v>
      </c>
      <c r="AP117" s="4">
        <f>[2]PL!KU$887</f>
        <v>135.05415164542032</v>
      </c>
      <c r="AQ117" s="4">
        <f>[2]PL!KV$887</f>
        <v>136.49616213790176</v>
      </c>
      <c r="AR117" s="4">
        <f>[2]PL!KW$887</f>
        <v>137.86705700642028</v>
      </c>
      <c r="AS117" s="4">
        <f>[2]PL!KX$887</f>
        <v>139.21949176870433</v>
      </c>
      <c r="AT117" s="4">
        <f>[2]PL!KY$887</f>
        <v>140.55544429327915</v>
      </c>
      <c r="AU117" s="4">
        <f>[2]PL!KZ$887</f>
        <v>141.87661963921803</v>
      </c>
      <c r="AV117" s="4">
        <f>[2]PL!LA$887</f>
        <v>143.18449552438457</v>
      </c>
    </row>
    <row r="118" spans="1:49">
      <c r="A118" s="13" t="s">
        <v>224</v>
      </c>
      <c r="B118" s="13"/>
      <c r="C118" s="13"/>
      <c r="R118" s="4">
        <f>[2]PL!JW$350/[2]PL!JW$349</f>
        <v>0.97</v>
      </c>
      <c r="S118" s="4">
        <f>[2]PL!JX$350/[2]PL!JX$349</f>
        <v>0.92118188329935524</v>
      </c>
      <c r="T118" s="4">
        <f>[2]PL!JY$350/[2]PL!JY$349</f>
        <v>0.87277803178551183</v>
      </c>
      <c r="U118" s="4">
        <f>[2]PL!JZ$350/[2]PL!JZ$349</f>
        <v>0.82478319462402783</v>
      </c>
      <c r="V118" s="4">
        <f>[2]PL!KA$350/[2]PL!KA$349</f>
        <v>0.77719220934660793</v>
      </c>
      <c r="W118" s="4">
        <f>[2]PL!KB$350/[2]PL!KB$349</f>
        <v>0.73</v>
      </c>
      <c r="X118" s="4">
        <f>[2]PL!KC$350/[2]PL!KC$349</f>
        <v>0.68400000000000005</v>
      </c>
      <c r="Y118" s="4">
        <f>[2]PL!KD$350/[2]PL!KD$349</f>
        <v>0.63800000000000001</v>
      </c>
      <c r="Z118" s="4">
        <f>[2]PL!KE$350/[2]PL!KE$349</f>
        <v>0.59199999999999997</v>
      </c>
      <c r="AA118" s="4">
        <f>[2]PL!KF$350/[2]PL!KF$349</f>
        <v>0.54599999999999993</v>
      </c>
      <c r="AB118" s="4">
        <f>[2]PL!KG$350/[2]PL!KG$349</f>
        <v>0.5</v>
      </c>
      <c r="AC118" s="4">
        <f>[2]PL!KH$350/[2]PL!KH$349</f>
        <v>0.46800000000000003</v>
      </c>
      <c r="AD118" s="4">
        <f>[2]PL!KI$350/[2]PL!KI$349</f>
        <v>0.436</v>
      </c>
      <c r="AE118" s="4">
        <f>[2]PL!KJ$350/[2]PL!KJ$349</f>
        <v>0.40400000000000003</v>
      </c>
      <c r="AF118" s="4">
        <f>[2]PL!KK$350/[2]PL!KK$349</f>
        <v>0.37200000000000005</v>
      </c>
      <c r="AG118" s="4">
        <f>[2]PL!KL$350/[2]PL!KL$349</f>
        <v>0.34</v>
      </c>
      <c r="AH118" s="4">
        <f>[2]PL!KM$350/[2]PL!KM$349</f>
        <v>0.27600000000000002</v>
      </c>
      <c r="AI118" s="4">
        <f>[2]PL!KN$350/[2]PL!KN$349</f>
        <v>0.21200000000000005</v>
      </c>
      <c r="AJ118" s="4">
        <f>[2]PL!KO$350/[2]PL!KO$349</f>
        <v>0.14799999999999999</v>
      </c>
      <c r="AK118" s="4">
        <f>[2]PL!KP$350/[2]PL!KP$349</f>
        <v>8.4000000000000019E-2</v>
      </c>
      <c r="AL118" s="4">
        <f>[2]PL!KQ$350/[2]PL!KQ$349</f>
        <v>0.02</v>
      </c>
      <c r="AM118" s="4">
        <f>[2]PL!KR$350/[2]PL!KR$349</f>
        <v>1.6E-2</v>
      </c>
      <c r="AN118" s="4">
        <f>[2]PL!KS$350/[2]PL!KS$349</f>
        <v>1.2E-2</v>
      </c>
      <c r="AO118" s="4">
        <f>[2]PL!KT$350/[2]PL!KT$349</f>
        <v>8.0000000000000002E-3</v>
      </c>
      <c r="AP118" s="4">
        <f>[2]PL!KU$350/[2]PL!KU$349</f>
        <v>4.000000000000001E-3</v>
      </c>
      <c r="AQ118" s="4">
        <f>[2]PL!KV$350/[2]PL!KV$349</f>
        <v>0</v>
      </c>
      <c r="AR118" s="4">
        <f>[2]PL!KW$350/[2]PL!KW$349</f>
        <v>0</v>
      </c>
      <c r="AS118" s="4">
        <f>[2]PL!KX$350/[2]PL!KX$349</f>
        <v>0</v>
      </c>
      <c r="AT118" s="4">
        <f>[2]PL!KY$350/[2]PL!KY$349</f>
        <v>0</v>
      </c>
      <c r="AU118" s="4">
        <f>[2]PL!KZ$350/[2]PL!KZ$349</f>
        <v>0</v>
      </c>
      <c r="AV118" s="4">
        <f>[2]PL!LA$350/[2]PL!LA$349</f>
        <v>0</v>
      </c>
    </row>
    <row r="119" spans="1:49">
      <c r="A119" s="13" t="s">
        <v>225</v>
      </c>
      <c r="B119" s="13"/>
      <c r="C119" s="13"/>
      <c r="R119" s="4">
        <f t="shared" ref="R119:AV119" si="19">1-R118</f>
        <v>3.0000000000000027E-2</v>
      </c>
      <c r="S119" s="4">
        <f t="shared" si="19"/>
        <v>7.8818116700644758E-2</v>
      </c>
      <c r="T119" s="4">
        <f t="shared" si="19"/>
        <v>0.12722196821448817</v>
      </c>
      <c r="U119" s="4">
        <f t="shared" si="19"/>
        <v>0.17521680537597217</v>
      </c>
      <c r="V119" s="4">
        <f t="shared" si="19"/>
        <v>0.22280779065339207</v>
      </c>
      <c r="W119" s="4">
        <f t="shared" si="19"/>
        <v>0.27</v>
      </c>
      <c r="X119" s="4">
        <f t="shared" si="19"/>
        <v>0.31599999999999995</v>
      </c>
      <c r="Y119" s="4">
        <f t="shared" si="19"/>
        <v>0.36199999999999999</v>
      </c>
      <c r="Z119" s="4">
        <f t="shared" si="19"/>
        <v>0.40800000000000003</v>
      </c>
      <c r="AA119" s="4">
        <f t="shared" si="19"/>
        <v>0.45400000000000007</v>
      </c>
      <c r="AB119" s="4">
        <f t="shared" si="19"/>
        <v>0.5</v>
      </c>
      <c r="AC119" s="4">
        <f t="shared" si="19"/>
        <v>0.53200000000000003</v>
      </c>
      <c r="AD119" s="4">
        <f t="shared" si="19"/>
        <v>0.56400000000000006</v>
      </c>
      <c r="AE119" s="4">
        <f t="shared" si="19"/>
        <v>0.59599999999999997</v>
      </c>
      <c r="AF119" s="4">
        <f t="shared" si="19"/>
        <v>0.62799999999999989</v>
      </c>
      <c r="AG119" s="4">
        <f t="shared" si="19"/>
        <v>0.65999999999999992</v>
      </c>
      <c r="AH119" s="4">
        <f t="shared" si="19"/>
        <v>0.72399999999999998</v>
      </c>
      <c r="AI119" s="4">
        <f t="shared" si="19"/>
        <v>0.78799999999999992</v>
      </c>
      <c r="AJ119" s="4">
        <f t="shared" si="19"/>
        <v>0.85199999999999998</v>
      </c>
      <c r="AK119" s="4">
        <f t="shared" si="19"/>
        <v>0.91599999999999993</v>
      </c>
      <c r="AL119" s="4">
        <f t="shared" si="19"/>
        <v>0.98</v>
      </c>
      <c r="AM119" s="4">
        <f t="shared" si="19"/>
        <v>0.98399999999999999</v>
      </c>
      <c r="AN119" s="4">
        <f t="shared" si="19"/>
        <v>0.98799999999999999</v>
      </c>
      <c r="AO119" s="4">
        <f t="shared" si="19"/>
        <v>0.99199999999999999</v>
      </c>
      <c r="AP119" s="4">
        <f t="shared" si="19"/>
        <v>0.996</v>
      </c>
      <c r="AQ119" s="4">
        <f t="shared" si="19"/>
        <v>1</v>
      </c>
      <c r="AR119" s="4">
        <f t="shared" si="19"/>
        <v>1</v>
      </c>
      <c r="AS119" s="4">
        <f t="shared" si="19"/>
        <v>1</v>
      </c>
      <c r="AT119" s="4">
        <f t="shared" si="19"/>
        <v>1</v>
      </c>
      <c r="AU119" s="4">
        <f t="shared" si="19"/>
        <v>1</v>
      </c>
      <c r="AV119" s="4">
        <f t="shared" si="19"/>
        <v>1</v>
      </c>
    </row>
    <row r="120" spans="1:49" ht="19.5" customHeight="1">
      <c r="A120" s="13" t="s">
        <v>63</v>
      </c>
      <c r="B120" s="13"/>
      <c r="C120" s="13"/>
      <c r="R120" s="4">
        <f t="shared" ref="R120:AV120" si="20">R117-R116</f>
        <v>21.145156942151971</v>
      </c>
      <c r="S120" s="4">
        <f t="shared" si="20"/>
        <v>46.53981051011607</v>
      </c>
      <c r="T120" s="4">
        <f t="shared" si="20"/>
        <v>57.140914838822923</v>
      </c>
      <c r="U120" s="4">
        <f t="shared" si="20"/>
        <v>60.478008478608302</v>
      </c>
      <c r="V120" s="4">
        <f t="shared" si="20"/>
        <v>53.252311164684329</v>
      </c>
      <c r="W120" s="4">
        <f t="shared" si="20"/>
        <v>48.312073031368215</v>
      </c>
      <c r="X120" s="4">
        <f t="shared" si="20"/>
        <v>44.994001913638726</v>
      </c>
      <c r="Y120" s="4">
        <f t="shared" si="20"/>
        <v>43.085327512377745</v>
      </c>
      <c r="Z120" s="4">
        <f t="shared" si="20"/>
        <v>41.428483072471295</v>
      </c>
      <c r="AA120" s="4">
        <f t="shared" si="20"/>
        <v>39.454223525557126</v>
      </c>
      <c r="AB120" s="4">
        <f t="shared" si="20"/>
        <v>36.895151022523578</v>
      </c>
      <c r="AC120" s="4">
        <f t="shared" si="20"/>
        <v>37.270813525514939</v>
      </c>
      <c r="AD120" s="4">
        <f t="shared" si="20"/>
        <v>37.845298528221065</v>
      </c>
      <c r="AE120" s="4">
        <f t="shared" si="20"/>
        <v>38.639137841581089</v>
      </c>
      <c r="AF120" s="4">
        <f t="shared" si="20"/>
        <v>39.236395061565929</v>
      </c>
      <c r="AG120" s="4">
        <f t="shared" si="20"/>
        <v>39.665663947212039</v>
      </c>
      <c r="AH120" s="4">
        <f t="shared" si="20"/>
        <v>39.549699420976751</v>
      </c>
      <c r="AI120" s="4">
        <f t="shared" si="20"/>
        <v>39.330564253011744</v>
      </c>
      <c r="AJ120" s="4">
        <f t="shared" si="20"/>
        <v>39.031508165396843</v>
      </c>
      <c r="AK120" s="4">
        <f t="shared" si="20"/>
        <v>38.669283141290208</v>
      </c>
      <c r="AL120" s="4">
        <f t="shared" si="20"/>
        <v>38.256265135596323</v>
      </c>
      <c r="AM120" s="4">
        <f t="shared" si="20"/>
        <v>39.150112870294947</v>
      </c>
      <c r="AN120" s="4">
        <f t="shared" si="20"/>
        <v>40.284296216799504</v>
      </c>
      <c r="AO120" s="4">
        <f t="shared" si="20"/>
        <v>41.877885810966035</v>
      </c>
      <c r="AP120" s="4">
        <f t="shared" si="20"/>
        <v>43.389267112282141</v>
      </c>
      <c r="AQ120" s="4">
        <f t="shared" si="20"/>
        <v>44.831277604763585</v>
      </c>
      <c r="AR120" s="4">
        <f t="shared" si="20"/>
        <v>46.202172473282104</v>
      </c>
      <c r="AS120" s="4">
        <f t="shared" si="20"/>
        <v>47.554607235566152</v>
      </c>
      <c r="AT120" s="4">
        <f t="shared" si="20"/>
        <v>48.890559760140974</v>
      </c>
      <c r="AU120" s="4">
        <f t="shared" si="20"/>
        <v>50.211735106079857</v>
      </c>
      <c r="AV120" s="4">
        <f t="shared" si="20"/>
        <v>51.519610991246395</v>
      </c>
    </row>
    <row r="121" spans="1:49">
      <c r="A121" s="13" t="s">
        <v>189</v>
      </c>
      <c r="B121" s="13"/>
      <c r="C121" s="13"/>
      <c r="R121" s="4">
        <f>R90</f>
        <v>589.19507384858696</v>
      </c>
      <c r="S121" s="4">
        <f>R121*résultats!S56/résultats!R56</f>
        <v>597.8542483510812</v>
      </c>
      <c r="T121" s="4">
        <f>S121*résultats!T56/résultats!S56</f>
        <v>601.47238454371814</v>
      </c>
      <c r="U121" s="4">
        <f>T121*résultats!U56/résultats!T56</f>
        <v>606.09224511222044</v>
      </c>
      <c r="V121" s="4">
        <f>U121*résultats!V56/résultats!U56</f>
        <v>607.17436556399537</v>
      </c>
      <c r="W121" s="4">
        <f>V121*résultats!W56/résultats!V56</f>
        <v>606.50589411101475</v>
      </c>
      <c r="X121" s="4">
        <f>W121*résultats!X56/résultats!W56</f>
        <v>604.88182900219658</v>
      </c>
      <c r="Y121" s="4">
        <f>X121*résultats!Y56/résultats!X56</f>
        <v>604.94281667055793</v>
      </c>
      <c r="Z121" s="4">
        <f>Y121*résultats!Z56/résultats!Y56</f>
        <v>605.85299356500298</v>
      </c>
      <c r="AA121" s="4">
        <f>Z121*résultats!AA56/résultats!Z56</f>
        <v>607.79102268784959</v>
      </c>
      <c r="AB121" s="4">
        <f>AA121*résultats!AB56/résultats!AA56</f>
        <v>610.79458978770595</v>
      </c>
      <c r="AC121" s="4">
        <f>AB121*résultats!AC56/résultats!AB56</f>
        <v>614.56938778936808</v>
      </c>
      <c r="AD121" s="4">
        <f>AC121*résultats!AD56/résultats!AC56</f>
        <v>619.02841287017111</v>
      </c>
      <c r="AE121" s="4">
        <f>AD121*résultats!AE56/résultats!AD56</f>
        <v>624.43615463589742</v>
      </c>
      <c r="AF121" s="4">
        <f>AE121*résultats!AF56/résultats!AE56</f>
        <v>630.52978107820297</v>
      </c>
      <c r="AG121" s="4">
        <f>AF121*résultats!AG56/résultats!AF56</f>
        <v>636.99263128286134</v>
      </c>
      <c r="AH121" s="4">
        <f>AG121*résultats!AH56/résultats!AG56</f>
        <v>644.82112011363017</v>
      </c>
      <c r="AI121" s="4">
        <f>AH121*résultats!AI56/résultats!AH56</f>
        <v>653.13516289496999</v>
      </c>
      <c r="AJ121" s="4">
        <f>AI121*résultats!AJ56/résultats!AI56</f>
        <v>661.89934413672484</v>
      </c>
      <c r="AK121" s="4">
        <f>AJ121*résultats!AK56/résultats!AJ56</f>
        <v>670.98993892432668</v>
      </c>
      <c r="AL121" s="4">
        <f>AK121*résultats!AL56/résultats!AK56</f>
        <v>680.30950176298632</v>
      </c>
      <c r="AM121" s="4">
        <f>AL121*résultats!AM56/résultats!AL56</f>
        <v>689.92712618921792</v>
      </c>
      <c r="AN121" s="4">
        <f>AM121*résultats!AN56/résultats!AM56</f>
        <v>700.26777630861625</v>
      </c>
      <c r="AO121" s="4">
        <f>AN121*résultats!AO56/résultats!AN56</f>
        <v>710.84103610147088</v>
      </c>
      <c r="AP121" s="4">
        <f>AO121*résultats!AP56/résultats!AO56</f>
        <v>721.58310518408075</v>
      </c>
      <c r="AQ121" s="4">
        <f>AP121*résultats!AQ56/résultats!AP56</f>
        <v>732.36421534496912</v>
      </c>
      <c r="AR121" s="4">
        <f>AQ121*résultats!AR56/résultats!AQ56</f>
        <v>743.49199326730479</v>
      </c>
      <c r="AS121" s="4">
        <f>AR121*résultats!AS56/résultats!AR56</f>
        <v>754.5965590834993</v>
      </c>
      <c r="AT121" s="4">
        <f>AS121*résultats!AT56/résultats!AS56</f>
        <v>765.66630679465572</v>
      </c>
      <c r="AU121" s="4">
        <f>AT121*résultats!AU56/résultats!AT56</f>
        <v>776.64777552485555</v>
      </c>
      <c r="AV121" s="4">
        <f>AU121*résultats!AV56/résultats!AU56</f>
        <v>787.64243743058773</v>
      </c>
      <c r="AW121">
        <f>AV121/R121</f>
        <v>1.3368109687098273</v>
      </c>
    </row>
    <row r="122" spans="1:49">
      <c r="A122" s="13" t="s">
        <v>190</v>
      </c>
      <c r="B122" s="13"/>
      <c r="C122" s="13"/>
      <c r="R122" s="4">
        <f>R121</f>
        <v>589.19507384858696</v>
      </c>
      <c r="S122" s="4">
        <f>R122*résultats!S58/résultats!R58</f>
        <v>597.8542483510812</v>
      </c>
      <c r="T122" s="4">
        <f>S122*résultats!T58/résultats!S58</f>
        <v>601.47238454371814</v>
      </c>
      <c r="U122" s="4">
        <f>T122*résultats!U58/résultats!T58</f>
        <v>606.09224511222044</v>
      </c>
      <c r="V122" s="4">
        <f>U122*résultats!V58/résultats!U58</f>
        <v>608.60211934974416</v>
      </c>
      <c r="W122" s="4">
        <f>V122*résultats!W58/résultats!V58</f>
        <v>604.0130964856362</v>
      </c>
      <c r="X122" s="4">
        <f>W122*résultats!X58/résultats!W58</f>
        <v>603.22695955761208</v>
      </c>
      <c r="Y122" s="4">
        <f>X122*résultats!Y58/résultats!X58</f>
        <v>603.06824146104577</v>
      </c>
      <c r="Z122" s="4">
        <f>Y122*résultats!Z58/résultats!Y58</f>
        <v>603.1253813365563</v>
      </c>
      <c r="AA122" s="4">
        <f>Z122*résultats!AA58/résultats!Z58</f>
        <v>603.41929405524581</v>
      </c>
      <c r="AB122" s="4">
        <f>AA122*résultats!AB58/résultats!AA58</f>
        <v>604.12654407940749</v>
      </c>
      <c r="AC122" s="4">
        <f>AB122*résultats!AC58/résultats!AB58</f>
        <v>609.00045117315165</v>
      </c>
      <c r="AD122" s="4">
        <f>AC122*résultats!AD58/résultats!AC58</f>
        <v>612.87271774595933</v>
      </c>
      <c r="AE122" s="4">
        <f>AD122*résultats!AE58/résultats!AD58</f>
        <v>617.02236732412655</v>
      </c>
      <c r="AF122" s="4">
        <f>AE122*résultats!AF58/résultats!AE58</f>
        <v>621.21664365058052</v>
      </c>
      <c r="AG122" s="4">
        <f>AF122*résultats!AG58/résultats!AF58</f>
        <v>625.44065142473335</v>
      </c>
      <c r="AH122" s="4">
        <f>AG122*résultats!AH58/résultats!AG58</f>
        <v>630.73636137991218</v>
      </c>
      <c r="AI122" s="4">
        <f>AH122*résultats!AI58/résultats!AH58</f>
        <v>635.89193598920474</v>
      </c>
      <c r="AJ122" s="4">
        <f>AI122*résultats!AJ58/résultats!AI58</f>
        <v>641.56597533365766</v>
      </c>
      <c r="AK122" s="4">
        <f>AJ122*résultats!AK58/résultats!AJ58</f>
        <v>647.7033189041133</v>
      </c>
      <c r="AL122" s="4">
        <f>AK122*résultats!AL58/résultats!AK58</f>
        <v>654.1961233028976</v>
      </c>
      <c r="AM122" s="4">
        <f>AL122*résultats!AM58/résultats!AL58</f>
        <v>659.77465480812896</v>
      </c>
      <c r="AN122" s="4">
        <f>AM122*résultats!AN58/résultats!AM58</f>
        <v>666.4122579269258</v>
      </c>
      <c r="AO122" s="4">
        <f>AN122*résultats!AO58/résultats!AN58</f>
        <v>673.7790782445104</v>
      </c>
      <c r="AP122" s="4">
        <f>AO122*résultats!AP58/résultats!AO58</f>
        <v>681.64383714900362</v>
      </c>
      <c r="AQ122" s="4">
        <f>AP122*résultats!AQ58/résultats!AP58</f>
        <v>689.54271764259386</v>
      </c>
      <c r="AR122" s="4">
        <f>AQ122*résultats!AR58/résultats!AQ58</f>
        <v>695.93001639779061</v>
      </c>
      <c r="AS122" s="4">
        <f>AR122*résultats!AS58/résultats!AR58</f>
        <v>703.6450200409115</v>
      </c>
      <c r="AT122" s="4">
        <f>AS122*résultats!AT58/résultats!AS58</f>
        <v>711.78448000144499</v>
      </c>
      <c r="AU122" s="4">
        <f>AT122*résultats!AU58/résultats!AT58</f>
        <v>720.19667129389939</v>
      </c>
      <c r="AV122" s="4">
        <f>AU122*résultats!AV58/résultats!AU58</f>
        <v>722.69159920283528</v>
      </c>
      <c r="AW122">
        <f>AV122/R122</f>
        <v>1.2265744085099983</v>
      </c>
    </row>
    <row r="123" spans="1:49">
      <c r="A123" s="13" t="s">
        <v>192</v>
      </c>
      <c r="B123" s="13"/>
      <c r="C123" s="13"/>
      <c r="R123" s="4">
        <f t="shared" ref="R123:AV123" si="21">R107*R109/1000</f>
        <v>146.79607513560569</v>
      </c>
      <c r="S123" s="4">
        <f t="shared" si="21"/>
        <v>343.39445667840448</v>
      </c>
      <c r="T123" s="4">
        <f t="shared" si="21"/>
        <v>552.9158776958252</v>
      </c>
      <c r="U123" s="4">
        <f t="shared" si="21"/>
        <v>750.35162133920505</v>
      </c>
      <c r="V123" s="4">
        <f t="shared" si="21"/>
        <v>911.35304828311735</v>
      </c>
      <c r="W123" s="4">
        <f t="shared" si="21"/>
        <v>1069.7720697666277</v>
      </c>
      <c r="X123" s="4">
        <f t="shared" si="21"/>
        <v>1231.0016956634749</v>
      </c>
      <c r="Y123" s="4">
        <f t="shared" si="21"/>
        <v>1407.695573554312</v>
      </c>
      <c r="Z123" s="4">
        <f t="shared" si="21"/>
        <v>1572.7945357585088</v>
      </c>
      <c r="AA123" s="4">
        <f t="shared" si="21"/>
        <v>1730.461531150009</v>
      </c>
      <c r="AB123" s="4">
        <f t="shared" si="21"/>
        <v>1877.4587106046342</v>
      </c>
      <c r="AC123" s="4">
        <f t="shared" si="21"/>
        <v>1880.9227751883047</v>
      </c>
      <c r="AD123" s="4">
        <f t="shared" si="21"/>
        <v>1888.0872387710358</v>
      </c>
      <c r="AE123" s="4">
        <f t="shared" si="21"/>
        <v>1898.9521013528272</v>
      </c>
      <c r="AF123" s="4">
        <f t="shared" si="21"/>
        <v>1909.8169639346186</v>
      </c>
      <c r="AG123" s="4">
        <f t="shared" si="21"/>
        <v>1920.6818265164102</v>
      </c>
      <c r="AH123" s="4">
        <f t="shared" si="21"/>
        <v>1915.9495073171618</v>
      </c>
      <c r="AI123" s="4">
        <f t="shared" si="21"/>
        <v>1911.2171881179133</v>
      </c>
      <c r="AJ123" s="4">
        <f t="shared" si="21"/>
        <v>1906.4848689186649</v>
      </c>
      <c r="AK123" s="4">
        <f t="shared" si="21"/>
        <v>1901.7525497194165</v>
      </c>
      <c r="AL123" s="4">
        <f t="shared" si="21"/>
        <v>1897.0202305201681</v>
      </c>
      <c r="AM123" s="4">
        <f t="shared" si="21"/>
        <v>1897.0202305201681</v>
      </c>
      <c r="AN123" s="4">
        <f t="shared" si="21"/>
        <v>1897.0202305201683</v>
      </c>
      <c r="AO123" s="4">
        <f t="shared" si="21"/>
        <v>1897.0202305201683</v>
      </c>
      <c r="AP123" s="4">
        <f t="shared" si="21"/>
        <v>1897.0202305201683</v>
      </c>
      <c r="AQ123" s="4">
        <f t="shared" si="21"/>
        <v>1897.0202305201683</v>
      </c>
      <c r="AR123" s="4">
        <f t="shared" si="21"/>
        <v>1897.0202305201683</v>
      </c>
      <c r="AS123" s="4">
        <f t="shared" si="21"/>
        <v>1897.0202305201683</v>
      </c>
      <c r="AT123" s="4">
        <f t="shared" si="21"/>
        <v>1897.0202305201683</v>
      </c>
      <c r="AU123" s="4">
        <f t="shared" si="21"/>
        <v>1897.0202305201683</v>
      </c>
      <c r="AV123" s="4">
        <f t="shared" si="21"/>
        <v>1897.0202305201683</v>
      </c>
    </row>
    <row r="124" spans="1:49">
      <c r="A124" s="13" t="s">
        <v>191</v>
      </c>
      <c r="B124" s="13"/>
      <c r="C124" s="13"/>
      <c r="R124" s="4">
        <f t="shared" ref="R124:AV124" si="22">R117*R115/1000</f>
        <v>146.70136799035689</v>
      </c>
      <c r="S124" s="4">
        <f t="shared" si="22"/>
        <v>471.44677226568228</v>
      </c>
      <c r="T124" s="4">
        <f t="shared" si="22"/>
        <v>826.34593531512519</v>
      </c>
      <c r="U124" s="4">
        <f t="shared" si="22"/>
        <v>1158.7382822565655</v>
      </c>
      <c r="V124" s="4">
        <f t="shared" si="22"/>
        <v>1408.6693026641599</v>
      </c>
      <c r="W124" s="4">
        <f t="shared" si="22"/>
        <v>1655.1267894290611</v>
      </c>
      <c r="X124" s="4">
        <f t="shared" si="22"/>
        <v>1890.6623395911404</v>
      </c>
      <c r="Y124" s="4">
        <f t="shared" si="22"/>
        <v>2160.9352504891208</v>
      </c>
      <c r="Z124" s="4">
        <f t="shared" si="22"/>
        <v>2405.5827634508278</v>
      </c>
      <c r="AA124" s="4">
        <f t="shared" si="22"/>
        <v>2637.0937250980915</v>
      </c>
      <c r="AB124" s="4">
        <f t="shared" si="22"/>
        <v>2847.6047875579079</v>
      </c>
      <c r="AC124" s="4">
        <f t="shared" si="22"/>
        <v>3038.7049575671131</v>
      </c>
      <c r="AD124" s="4">
        <f t="shared" si="22"/>
        <v>3235.837825824673</v>
      </c>
      <c r="AE124" s="4">
        <f t="shared" si="22"/>
        <v>3440.3910419552376</v>
      </c>
      <c r="AF124" s="4">
        <f t="shared" si="22"/>
        <v>3641.7259588365059</v>
      </c>
      <c r="AG124" s="4">
        <f t="shared" si="22"/>
        <v>3839.8425764684798</v>
      </c>
      <c r="AH124" s="4">
        <f t="shared" si="22"/>
        <v>4208.4715940771184</v>
      </c>
      <c r="AI124" s="4">
        <f t="shared" si="22"/>
        <v>4572.8415244064354</v>
      </c>
      <c r="AJ124" s="4">
        <f t="shared" si="22"/>
        <v>4932.9523674564271</v>
      </c>
      <c r="AK124" s="4">
        <f t="shared" si="22"/>
        <v>5288.8041232270953</v>
      </c>
      <c r="AL124" s="4">
        <f t="shared" si="22"/>
        <v>5640.3967917184391</v>
      </c>
      <c r="AM124" s="4">
        <f t="shared" si="22"/>
        <v>5702.3827148125347</v>
      </c>
      <c r="AN124" s="4">
        <f t="shared" si="22"/>
        <v>5775.204522735572</v>
      </c>
      <c r="AO124" s="4">
        <f t="shared" si="22"/>
        <v>5868.617168433866</v>
      </c>
      <c r="AP124" s="4">
        <f t="shared" si="22"/>
        <v>5958.967322220552</v>
      </c>
      <c r="AQ124" s="4">
        <f t="shared" si="22"/>
        <v>6046.7799827090485</v>
      </c>
      <c r="AR124" s="4">
        <f t="shared" si="22"/>
        <v>6107.5106253844187</v>
      </c>
      <c r="AS124" s="4">
        <f t="shared" si="22"/>
        <v>6167.4234853536018</v>
      </c>
      <c r="AT124" s="4">
        <f t="shared" si="22"/>
        <v>6226.6061821922658</v>
      </c>
      <c r="AU124" s="4">
        <f t="shared" si="22"/>
        <v>6285.1342500173587</v>
      </c>
      <c r="AV124" s="4">
        <f t="shared" si="22"/>
        <v>6343.0731517302365</v>
      </c>
    </row>
    <row r="126" spans="1:49">
      <c r="A126" t="str">
        <f>[5]PL!B31</f>
        <v>Kilométrage moyen des véhicules immatriculés en France</v>
      </c>
    </row>
    <row r="127" spans="1:49">
      <c r="A127" t="str">
        <f>[5]PL!B33</f>
        <v>Poids lourds pavillon français</v>
      </c>
      <c r="M127">
        <f>[5]PL!C33</f>
        <v>43413.608805479693</v>
      </c>
      <c r="N127">
        <f>[5]PL!D33</f>
        <v>44046.79149535171</v>
      </c>
      <c r="O127">
        <f>[5]PL!E33</f>
        <v>44322.400564653763</v>
      </c>
      <c r="P127">
        <f>[5]PL!F33</f>
        <v>44526.445351313632</v>
      </c>
      <c r="Q127">
        <f>[5]PL!G33</f>
        <v>43689.413860143904</v>
      </c>
      <c r="R127">
        <f>[5]PL!H33</f>
        <v>41498.442999652114</v>
      </c>
    </row>
    <row r="128" spans="1:49">
      <c r="A128" t="str">
        <f>[5]PL!B34</f>
        <v>Diesel</v>
      </c>
      <c r="M128">
        <f>[5]PL!C34</f>
        <v>43492.369892292671</v>
      </c>
      <c r="N128">
        <f>[5]PL!D34</f>
        <v>44119.951814252614</v>
      </c>
      <c r="O128">
        <f>[5]PL!E34</f>
        <v>44376.1721222497</v>
      </c>
      <c r="P128">
        <f>[5]PL!F34</f>
        <v>44549.370242353463</v>
      </c>
      <c r="Q128">
        <f>[5]PL!G34</f>
        <v>43714.904662971268</v>
      </c>
      <c r="R128">
        <f>[5]PL!H34</f>
        <v>41466.359574650829</v>
      </c>
    </row>
    <row r="129" spans="1:23">
      <c r="A129" t="str">
        <f>[5]PL!B35</f>
        <v>GNV</v>
      </c>
      <c r="M129">
        <f>[5]PL!C35</f>
        <v>20606.92781391431</v>
      </c>
      <c r="N129">
        <f>[5]PL!D35</f>
        <v>26482.184863120907</v>
      </c>
      <c r="O129">
        <f>[5]PL!E35</f>
        <v>36011.957352358106</v>
      </c>
      <c r="P129">
        <f>[5]PL!F35</f>
        <v>44078.084087042909</v>
      </c>
      <c r="Q129">
        <f>[5]PL!G35</f>
        <v>43178.221300861485</v>
      </c>
      <c r="R129">
        <f>[5]PL!H35</f>
        <v>46971.014560497242</v>
      </c>
    </row>
    <row r="130" spans="1:23">
      <c r="A130" t="str">
        <f>[5]PL!B36</f>
        <v>Electrique</v>
      </c>
      <c r="M130">
        <f>[5]PL!C36</f>
        <v>9335.8557504889541</v>
      </c>
      <c r="N130">
        <f>[5]PL!D36</f>
        <v>9140.9805688869019</v>
      </c>
      <c r="O130">
        <f>[5]PL!E36</f>
        <v>10438.074609264835</v>
      </c>
      <c r="P130">
        <f>[5]PL!F36</f>
        <v>7687.0714579282767</v>
      </c>
      <c r="Q130">
        <f>[5]PL!G36</f>
        <v>3408.4367904104456</v>
      </c>
      <c r="R130">
        <f>[5]PL!H36</f>
        <v>2056.0068723453123</v>
      </c>
    </row>
    <row r="132" spans="1:23">
      <c r="A132" t="str">
        <f>[5]VUL!$B$31</f>
        <v>Kilométrage moyen des véhicules immatriculés en France</v>
      </c>
    </row>
    <row r="133" spans="1:23">
      <c r="A133" s="6" t="str">
        <f>[5]VUL!$B33</f>
        <v>Véhicules utilitaires légers pavillon français</v>
      </c>
      <c r="M133" s="6">
        <f>[5]VUL!C33</f>
        <v>14155.205133650517</v>
      </c>
      <c r="N133" s="6">
        <f>[5]VUL!D33</f>
        <v>14142.022526075238</v>
      </c>
      <c r="O133" s="6">
        <f>[5]VUL!E33</f>
        <v>14014.60182971281</v>
      </c>
      <c r="P133" s="6">
        <f>[5]VUL!F33</f>
        <v>13943.724649166421</v>
      </c>
      <c r="Q133" s="6">
        <f>[5]VUL!G33</f>
        <v>14016.29646575092</v>
      </c>
      <c r="R133" s="6">
        <f>[5]VUL!H33</f>
        <v>12841.657670982409</v>
      </c>
    </row>
    <row r="134" spans="1:23">
      <c r="A134" s="6" t="str">
        <f>[5]VUL!$B34</f>
        <v>Diesel (y compris hybrides)</v>
      </c>
      <c r="M134" s="6">
        <f>[5]VUL!C34</f>
        <v>14591.471106415722</v>
      </c>
      <c r="N134" s="6">
        <f>[5]VUL!D34</f>
        <v>14556.488428505245</v>
      </c>
      <c r="O134" s="6">
        <f>[5]VUL!E34</f>
        <v>14408.764428399476</v>
      </c>
      <c r="P134" s="6">
        <f>[5]VUL!F34</f>
        <v>14321.222930977543</v>
      </c>
      <c r="Q134" s="6">
        <f>[5]VUL!G34</f>
        <v>14367.169301206677</v>
      </c>
      <c r="R134" s="6">
        <f>[5]VUL!H34</f>
        <v>13161.572745873904</v>
      </c>
    </row>
    <row r="135" spans="1:23">
      <c r="A135" s="6" t="str">
        <f>[5]VUL!$B35</f>
        <v>Essence et autres énergies</v>
      </c>
      <c r="M135" s="6">
        <f>[5]VUL!C35</f>
        <v>5640.5541617532672</v>
      </c>
      <c r="N135" s="6">
        <f>[5]VUL!D35</f>
        <v>5736.8530076139932</v>
      </c>
      <c r="O135" s="6">
        <f>[5]VUL!E35</f>
        <v>5794.2706947930556</v>
      </c>
      <c r="P135" s="6">
        <f>[5]VUL!F35</f>
        <v>6042.1034442581777</v>
      </c>
      <c r="Q135" s="6">
        <f>[5]VUL!G35</f>
        <v>6623.6434568762934</v>
      </c>
      <c r="R135" s="6">
        <f>[5]VUL!H35</f>
        <v>6265.196941207967</v>
      </c>
    </row>
    <row r="139" spans="1:23">
      <c r="A139" t="s">
        <v>127</v>
      </c>
      <c r="C139" t="s">
        <v>158</v>
      </c>
      <c r="D139">
        <f>'[8]E2.a'!$X$3</f>
        <v>2006</v>
      </c>
      <c r="E139">
        <f t="shared" ref="E139:W139" si="23">D139+1</f>
        <v>2007</v>
      </c>
      <c r="F139">
        <f t="shared" si="23"/>
        <v>2008</v>
      </c>
      <c r="G139">
        <f t="shared" si="23"/>
        <v>2009</v>
      </c>
      <c r="H139">
        <f t="shared" si="23"/>
        <v>2010</v>
      </c>
      <c r="I139">
        <f t="shared" si="23"/>
        <v>2011</v>
      </c>
      <c r="J139">
        <f t="shared" si="23"/>
        <v>2012</v>
      </c>
      <c r="K139">
        <f t="shared" si="23"/>
        <v>2013</v>
      </c>
      <c r="L139">
        <f t="shared" si="23"/>
        <v>2014</v>
      </c>
      <c r="M139">
        <f t="shared" si="23"/>
        <v>2015</v>
      </c>
      <c r="N139">
        <f t="shared" si="23"/>
        <v>2016</v>
      </c>
      <c r="O139">
        <f t="shared" si="23"/>
        <v>2017</v>
      </c>
      <c r="P139">
        <f t="shared" si="23"/>
        <v>2018</v>
      </c>
      <c r="Q139">
        <f t="shared" si="23"/>
        <v>2019</v>
      </c>
      <c r="R139">
        <f t="shared" si="23"/>
        <v>2020</v>
      </c>
      <c r="S139">
        <f t="shared" si="23"/>
        <v>2021</v>
      </c>
      <c r="T139">
        <f t="shared" si="23"/>
        <v>2022</v>
      </c>
      <c r="U139">
        <f t="shared" si="23"/>
        <v>2023</v>
      </c>
      <c r="V139">
        <f t="shared" si="23"/>
        <v>2024</v>
      </c>
      <c r="W139">
        <f t="shared" si="23"/>
        <v>2025</v>
      </c>
    </row>
    <row r="140" spans="1:23">
      <c r="A140" t="s">
        <v>131</v>
      </c>
      <c r="C140" t="s">
        <v>159</v>
      </c>
      <c r="D140" s="6">
        <f>'[8]E2.a'!X$5</f>
        <v>204.579897943709</v>
      </c>
      <c r="E140" s="6">
        <f>'[8]E2.a'!Y$5</f>
        <v>213.67587457285799</v>
      </c>
      <c r="F140" s="6">
        <f>'[8]E2.a'!Z$5</f>
        <v>203.96486732542101</v>
      </c>
      <c r="G140" s="6">
        <f>'[8]E2.a'!AA$5</f>
        <v>176.98912395914999</v>
      </c>
      <c r="H140" s="6">
        <f>'[8]E2.a'!AB$5</f>
        <v>186.316913909189</v>
      </c>
      <c r="I140" s="6">
        <f>'[8]E2.a'!AC$5</f>
        <v>190.743423843009</v>
      </c>
      <c r="J140" s="6">
        <f>'[8]E2.a'!AD$5</f>
        <v>178.90116317016199</v>
      </c>
      <c r="K140" s="6">
        <f>'[8]E2.a'!AE$5</f>
        <v>178.619136150815</v>
      </c>
      <c r="L140" s="6">
        <f>'[8]E2.a'!AF$5</f>
        <v>174.069125380625</v>
      </c>
      <c r="M140" s="6">
        <f>'[8]E2.a'!AG$5</f>
        <v>164.665687858517</v>
      </c>
      <c r="N140" s="6">
        <f>'[8]E2.a'!AH$5</f>
        <v>167.92375135145429</v>
      </c>
      <c r="O140" s="6">
        <f>'[8]E2.a'!AI$5</f>
        <v>180.39293880177638</v>
      </c>
      <c r="P140" s="6">
        <f>'[8]E2.a'!AJ$5</f>
        <v>186.39185065564317</v>
      </c>
      <c r="R140"/>
      <c r="S140"/>
      <c r="T140"/>
      <c r="U140"/>
      <c r="V140"/>
      <c r="W140"/>
    </row>
    <row r="141" spans="1:23">
      <c r="A141" t="s">
        <v>132</v>
      </c>
      <c r="C141" t="s">
        <v>159</v>
      </c>
      <c r="D141" s="15">
        <f>'[9]D2.e'!R8</f>
        <v>0.48485857467806903</v>
      </c>
      <c r="E141" s="15">
        <f>'[9]D2.e'!S8</f>
        <v>0.44401187538122505</v>
      </c>
      <c r="F141" s="15">
        <f>'[9]D2.e'!T8</f>
        <v>0.39352473544305905</v>
      </c>
      <c r="G141" s="15">
        <f>'[9]D2.e'!U8</f>
        <v>0.34891599299071302</v>
      </c>
      <c r="H141" s="15">
        <f>'[9]D2.e'!V8</f>
        <v>0.316145398020996</v>
      </c>
      <c r="I141" s="15">
        <f>'[9]D2.e'!W8</f>
        <v>0.263635392532306</v>
      </c>
      <c r="J141" s="15">
        <f>'[9]D2.e'!X8</f>
        <v>0.214074840287164</v>
      </c>
      <c r="K141" s="15">
        <f>'[9]D2.e'!Y8</f>
        <v>0.18292969278889801</v>
      </c>
      <c r="L141" s="15">
        <f>'[9]D2.e'!Z8</f>
        <v>0.16298755334973802</v>
      </c>
      <c r="M141" s="15">
        <f>'[9]D2.e'!AA8</f>
        <v>0.14694565519052999</v>
      </c>
      <c r="N141" s="15">
        <f>'[9]D2.e'!AB8</f>
        <v>0.13074827361173402</v>
      </c>
      <c r="O141" s="15">
        <f>'[9]D2.e'!AC8</f>
        <v>0.12786517238666689</v>
      </c>
      <c r="P141" s="15"/>
      <c r="R141"/>
      <c r="S141"/>
      <c r="T141"/>
      <c r="U141"/>
      <c r="V141"/>
      <c r="W141"/>
    </row>
    <row r="142" spans="1:23">
      <c r="A142" t="s">
        <v>133</v>
      </c>
      <c r="C142" t="s">
        <v>159</v>
      </c>
      <c r="D142" s="15">
        <f>'[9]D2.e'!R10+'[9]D2.e'!R11*'[8]E2.a'!X15/'[8]E2.a'!X14+'[9]D2.e'!R12</f>
        <v>12.457594101422631</v>
      </c>
      <c r="E142" s="15">
        <f>'[9]D2.e'!S10+'[9]D2.e'!S11*'[8]E2.a'!Y15/'[8]E2.a'!Y14+'[9]D2.e'!S12</f>
        <v>12.715656985305415</v>
      </c>
      <c r="F142" s="15">
        <f>'[9]D2.e'!T10+'[9]D2.e'!T11*'[8]E2.a'!Z15/'[8]E2.a'!Z14+'[9]D2.e'!T12</f>
        <v>12.006084525278997</v>
      </c>
      <c r="G142" s="15">
        <f>'[9]D2.e'!U10+'[9]D2.e'!U11*'[8]E2.a'!AA15/'[8]E2.a'!AA14+'[9]D2.e'!U12</f>
        <v>11.569600501557799</v>
      </c>
      <c r="H142" s="15">
        <f>'[9]D2.e'!V10+'[9]D2.e'!V11*'[8]E2.a'!AB15/'[8]E2.a'!AB14+'[9]D2.e'!V12</f>
        <v>12.068947900068595</v>
      </c>
      <c r="I142" s="15">
        <f>'[9]D2.e'!W10+'[9]D2.e'!W11*'[8]E2.a'!AC15/'[8]E2.a'!AC14+'[9]D2.e'!W12</f>
        <v>12.431507201958418</v>
      </c>
      <c r="J142" s="15">
        <f>'[9]D2.e'!X10+'[9]D2.e'!X11*'[8]E2.a'!AD15/'[8]E2.a'!AD14+'[9]D2.e'!X12</f>
        <v>12.008933008757948</v>
      </c>
      <c r="K142" s="15">
        <f>'[9]D2.e'!Y10+'[9]D2.e'!Y11*'[8]E2.a'!AE15/'[8]E2.a'!AE14+'[9]D2.e'!Y12</f>
        <v>11.979560181600775</v>
      </c>
      <c r="L142" s="15">
        <f>'[9]D2.e'!Z10+'[9]D2.e'!Z11*'[8]E2.a'!AF15/'[8]E2.a'!AF14+'[9]D2.e'!Z12</f>
        <v>11.808620729257818</v>
      </c>
      <c r="M142" s="15">
        <f>'[9]D2.e'!AA10+'[9]D2.e'!AA11*'[8]E2.a'!AG15/'[8]E2.a'!AG14+'[9]D2.e'!AA12</f>
        <v>11.764067226954371</v>
      </c>
      <c r="N142" s="15">
        <f>'[9]D2.e'!AB10+'[9]D2.e'!AB11*'[8]E2.a'!AH15/'[8]E2.a'!AH14+'[9]D2.e'!AB12</f>
        <v>11.819071526850831</v>
      </c>
      <c r="O142" s="15">
        <f>'[9]D2.e'!AC10+'[9]D2.e'!AC11*'[8]E2.a'!AI15/'[8]E2.a'!AI14+'[9]D2.e'!AC12</f>
        <v>12.292679276698614</v>
      </c>
      <c r="P142" s="15"/>
      <c r="R142"/>
      <c r="S142"/>
      <c r="T142"/>
      <c r="U142"/>
      <c r="V142"/>
      <c r="W142"/>
    </row>
    <row r="143" spans="1:23">
      <c r="A143" t="s">
        <v>134</v>
      </c>
      <c r="C143" t="s">
        <v>159</v>
      </c>
      <c r="R143"/>
      <c r="S143"/>
      <c r="T143"/>
      <c r="U143"/>
      <c r="V143"/>
      <c r="W143"/>
    </row>
    <row r="144" spans="1:23">
      <c r="A144" t="s">
        <v>135</v>
      </c>
      <c r="C144" t="s">
        <v>159</v>
      </c>
      <c r="D144" s="15">
        <f>'[9]D2.e'!R13</f>
        <v>1.19036157349897E-2</v>
      </c>
      <c r="E144" s="15">
        <f>'[9]D2.e'!S13</f>
        <v>1.3391567701863399E-2</v>
      </c>
      <c r="F144" s="15">
        <f>'[9]D2.e'!T13</f>
        <v>1.6367471635610701E-2</v>
      </c>
      <c r="G144" s="15">
        <f>'[9]D2.e'!U13</f>
        <v>1.6367471635610701E-2</v>
      </c>
      <c r="H144" s="15">
        <f>'[9]D2.e'!V13</f>
        <v>1.71114476190476E-2</v>
      </c>
      <c r="I144" s="15">
        <f>'[9]D2.e'!W13</f>
        <v>1.8734876190476198E-2</v>
      </c>
      <c r="J144" s="15">
        <f>'[9]D2.e'!X13</f>
        <v>2.10888761904762E-2</v>
      </c>
      <c r="K144" s="15">
        <f>'[9]D2.e'!Y13</f>
        <v>2.3650876190476199E-2</v>
      </c>
      <c r="L144" s="15">
        <f>'[9]D2.e'!Z13</f>
        <v>2.5520419047619002E-2</v>
      </c>
      <c r="M144" s="15">
        <f>'[9]D2.e'!AA13</f>
        <v>2.6778704761904699E-2</v>
      </c>
      <c r="N144" s="15">
        <f>'[9]D2.e'!AB13</f>
        <v>2.7739047619047601E-2</v>
      </c>
      <c r="O144" s="15">
        <f>'[9]D2.e'!AC13</f>
        <v>3.5999999999999997E-2</v>
      </c>
      <c r="P144" s="15"/>
      <c r="R144"/>
      <c r="S144"/>
      <c r="T144"/>
      <c r="U144"/>
      <c r="V144"/>
      <c r="W144"/>
    </row>
    <row r="145" spans="1:48">
      <c r="A145" t="s">
        <v>138</v>
      </c>
      <c r="C145" t="s">
        <v>159</v>
      </c>
      <c r="D145" s="1">
        <f>'[10]G1.a'!R11</f>
        <v>41262.20582148269</v>
      </c>
      <c r="E145" s="1">
        <f>'[10]G1.a'!S11</f>
        <v>42179.243905620635</v>
      </c>
      <c r="F145" s="1">
        <f>'[10]G1.a'!T11</f>
        <v>37537.373569694872</v>
      </c>
      <c r="G145" s="1">
        <f>'[10]G1.a'!U11</f>
        <v>33932.696914616376</v>
      </c>
      <c r="H145" s="1">
        <f>'[10]G1.a'!V11</f>
        <v>35313.168516452126</v>
      </c>
      <c r="I145" s="1">
        <f>'[10]G1.a'!W11</f>
        <v>36303.230839186923</v>
      </c>
      <c r="J145" s="1">
        <f>'[10]G1.a'!X11</f>
        <v>33108.148884984315</v>
      </c>
      <c r="K145" s="1">
        <f>'[10]G1.a'!Y11</f>
        <v>33345.981447484934</v>
      </c>
      <c r="L145" s="1">
        <f>'[10]G1.a'!Z11</f>
        <v>32025.211339575741</v>
      </c>
      <c r="M145" s="1">
        <f>'[10]G1.a'!AA11</f>
        <v>30775.380559108151</v>
      </c>
      <c r="N145" s="1">
        <f>'[10]G1.a'!AB11</f>
        <v>32109.08095293742</v>
      </c>
      <c r="O145" s="1">
        <f>'[10]G1.a'!AC11</f>
        <v>32487.815623445284</v>
      </c>
      <c r="P145" s="1">
        <f>'[10]G1.a'!AD11</f>
        <v>32255.904965714537</v>
      </c>
      <c r="R145"/>
      <c r="S145"/>
      <c r="T145"/>
      <c r="U145"/>
      <c r="V145"/>
      <c r="W145"/>
    </row>
    <row r="146" spans="1:48">
      <c r="A146" t="s">
        <v>139</v>
      </c>
      <c r="C146" t="s">
        <v>159</v>
      </c>
      <c r="D146" s="1">
        <f>'[10]G1.a'!R7</f>
        <v>15595.442316281156</v>
      </c>
      <c r="E146" s="1">
        <f>'[10]G1.a'!S7</f>
        <v>15482.709385141716</v>
      </c>
      <c r="F146" s="1">
        <f>'[10]G1.a'!T7</f>
        <v>15202.291169114931</v>
      </c>
      <c r="G146" s="1">
        <f>'[10]G1.a'!U7</f>
        <v>15185.281376793095</v>
      </c>
      <c r="H146" s="1">
        <f>'[10]G1.a'!V7</f>
        <v>15587.548247424504</v>
      </c>
      <c r="I146" s="1">
        <f>'[10]G1.a'!W7</f>
        <v>15897.398384990629</v>
      </c>
      <c r="J146" s="1">
        <f>'[10]G1.a'!X7</f>
        <v>15711.65737177707</v>
      </c>
      <c r="K146" s="1">
        <f>'[10]G1.a'!Y7</f>
        <v>15962.255371135936</v>
      </c>
      <c r="L146" s="1">
        <f>'[10]G1.a'!Z7</f>
        <v>15962.782722092623</v>
      </c>
      <c r="M146" s="1">
        <f>'[10]G1.a'!AA7</f>
        <v>16188.501484579649</v>
      </c>
      <c r="N146" s="1">
        <f>'[10]G1.a'!AB7</f>
        <v>16251.550148223843</v>
      </c>
      <c r="O146" s="1">
        <f>'[10]G1.a'!AC7</f>
        <v>16600.77158663328</v>
      </c>
      <c r="P146" s="1">
        <f>'[10]G1.a'!AD7</f>
        <v>16474.179577085619</v>
      </c>
      <c r="R146"/>
      <c r="S146"/>
      <c r="T146"/>
      <c r="U146"/>
      <c r="V146"/>
      <c r="W146"/>
    </row>
    <row r="147" spans="1:48">
      <c r="A147" t="s">
        <v>128</v>
      </c>
      <c r="C147" t="s">
        <v>159</v>
      </c>
      <c r="D147" s="1">
        <f>'[10]G1.d'!R$11</f>
        <v>565.14922565793722</v>
      </c>
      <c r="E147" s="1">
        <f>'[10]G1.d'!S$11</f>
        <v>567.28499999999997</v>
      </c>
      <c r="F147" s="1">
        <f>'[10]G1.d'!T$11</f>
        <v>564.5745527728086</v>
      </c>
      <c r="G147" s="1">
        <f>'[10]G1.d'!U$11</f>
        <v>552.41879248658324</v>
      </c>
      <c r="H147" s="1">
        <f>'[10]G1.d'!V$11</f>
        <v>551.30783917211045</v>
      </c>
      <c r="I147" s="1">
        <f>'[10]G1.d'!W$11</f>
        <v>556.81091197691376</v>
      </c>
      <c r="J147" s="1">
        <f>'[10]G1.d'!X$11</f>
        <v>559.81528740124963</v>
      </c>
      <c r="K147" s="1">
        <f>'[10]G1.d'!Y$11</f>
        <v>551.80361960302071</v>
      </c>
      <c r="L147" s="1">
        <f>'[10]G1.d'!Z$11</f>
        <v>550.81021575404452</v>
      </c>
      <c r="M147" s="1">
        <f>'[10]G1.d'!AA$11</f>
        <v>550.25220540475118</v>
      </c>
      <c r="N147" s="1">
        <f>'[10]G1.d'!AB$11</f>
        <v>543.7459235341945</v>
      </c>
      <c r="O147" s="1">
        <f>'[10]G1.d'!AC$11</f>
        <v>546.81169597039104</v>
      </c>
      <c r="P147" s="1">
        <f>'[10]G1.d'!AD$11</f>
        <v>553.88235017769136</v>
      </c>
      <c r="R147"/>
      <c r="S147"/>
      <c r="T147"/>
      <c r="U147"/>
      <c r="V147"/>
      <c r="W147"/>
    </row>
    <row r="148" spans="1:48">
      <c r="A148" t="s">
        <v>129</v>
      </c>
      <c r="C148" t="s">
        <v>159</v>
      </c>
      <c r="D148" s="1">
        <f>'[10]G1.d'!R$7</f>
        <v>5611.2155288317826</v>
      </c>
      <c r="E148" s="1">
        <f>'[10]G1.d'!S$7</f>
        <v>5678.5</v>
      </c>
      <c r="F148" s="1">
        <f>'[10]G1.d'!T$7</f>
        <v>5731.084919724095</v>
      </c>
      <c r="G148" s="1">
        <f>'[10]G1.d'!U$7</f>
        <v>5766.084919724095</v>
      </c>
      <c r="H148" s="1">
        <f>'[10]G1.d'!V$7</f>
        <v>5810.0445098324399</v>
      </c>
      <c r="I148" s="1">
        <f>'[10]G1.d'!W$7</f>
        <v>5868.9567709938401</v>
      </c>
      <c r="J148" s="1">
        <f>'[10]G1.d'!X$7</f>
        <v>5911.3999763288321</v>
      </c>
      <c r="K148" s="1">
        <f>'[10]G1.d'!Y$7</f>
        <v>5935.3268287686024</v>
      </c>
      <c r="L148" s="1">
        <f>'[10]G1.d'!Z$7</f>
        <v>5970.3562190536195</v>
      </c>
      <c r="M148" s="1">
        <f>'[10]G1.d'!AA$7</f>
        <v>6019.9716807162022</v>
      </c>
      <c r="N148" s="1">
        <f>'[10]G1.d'!AB$7</f>
        <v>6080.6028299810005</v>
      </c>
      <c r="O148" s="1">
        <f>'[10]G1.d'!AC$7</f>
        <v>6151.5119711932703</v>
      </c>
      <c r="P148" s="1">
        <f>'[10]G1.d'!AD$7</f>
        <v>6177.8721297178272</v>
      </c>
      <c r="R148"/>
      <c r="S148"/>
      <c r="T148"/>
      <c r="U148"/>
      <c r="V148"/>
      <c r="W148"/>
    </row>
    <row r="149" spans="1:48">
      <c r="A149" t="s">
        <v>130</v>
      </c>
      <c r="C149" t="s">
        <v>159</v>
      </c>
      <c r="D149" s="1">
        <f>'[10]G1.d'!R12</f>
        <v>85.721433581244113</v>
      </c>
      <c r="E149" s="1">
        <f>'[10]G1.d'!S12</f>
        <v>85.998437125748495</v>
      </c>
      <c r="F149" s="1">
        <f>'[10]G1.d'!T12</f>
        <v>86.516499999999994</v>
      </c>
      <c r="G149" s="1">
        <f>'[10]G1.d'!U12</f>
        <v>87.3095</v>
      </c>
      <c r="H149" s="1">
        <f>'[10]G1.d'!V12</f>
        <v>88.338999999999999</v>
      </c>
      <c r="I149" s="1">
        <f>'[10]G1.d'!W12</f>
        <v>89.751999999999995</v>
      </c>
      <c r="J149" s="1">
        <f>'[10]G1.d'!X12</f>
        <v>90.717962330999214</v>
      </c>
      <c r="K149" s="1">
        <f>'[10]G1.d'!Y12</f>
        <v>91.568433853166198</v>
      </c>
      <c r="L149" s="1">
        <f>'[10]G1.d'!Z12</f>
        <v>92.276948528723892</v>
      </c>
      <c r="M149" s="1">
        <f>'[10]G1.d'!AA12</f>
        <v>92.953900470901687</v>
      </c>
      <c r="N149" s="1">
        <f>'[10]G1.d'!AB12</f>
        <v>93.405951403728366</v>
      </c>
      <c r="O149" s="1">
        <f>'[10]G1.d'!AC12</f>
        <v>93.677922487195701</v>
      </c>
      <c r="P149" s="1">
        <f>'[10]G1.d'!AD12</f>
        <v>94.389686788856423</v>
      </c>
      <c r="R149"/>
      <c r="S149"/>
      <c r="T149"/>
      <c r="U149"/>
      <c r="V149"/>
      <c r="W149"/>
    </row>
    <row r="150" spans="1:48">
      <c r="A150" t="s">
        <v>140</v>
      </c>
      <c r="D150">
        <f t="shared" ref="D150:O150" si="24">(D141+D142)*1000000/(D145*D147*1000+D146*D148*1000)</f>
        <v>1.1677889966076423E-4</v>
      </c>
      <c r="E150">
        <f t="shared" si="24"/>
        <v>1.1765859535008644E-4</v>
      </c>
      <c r="F150">
        <f t="shared" si="24"/>
        <v>1.144738513645433E-4</v>
      </c>
      <c r="G150">
        <f t="shared" si="24"/>
        <v>1.1211657226333184E-4</v>
      </c>
      <c r="H150">
        <f t="shared" si="24"/>
        <v>1.125582192591353E-4</v>
      </c>
      <c r="I150">
        <f t="shared" si="24"/>
        <v>1.1183652010548181E-4</v>
      </c>
      <c r="J150">
        <f t="shared" si="24"/>
        <v>1.0970964230566885E-4</v>
      </c>
      <c r="K150">
        <f t="shared" si="24"/>
        <v>1.0749791433451998E-4</v>
      </c>
      <c r="L150">
        <f t="shared" si="24"/>
        <v>1.0599661015818638E-4</v>
      </c>
      <c r="M150">
        <f t="shared" si="24"/>
        <v>1.0412767506577506E-4</v>
      </c>
      <c r="N150">
        <f t="shared" si="24"/>
        <v>1.0276903896401138E-4</v>
      </c>
      <c r="O150">
        <f t="shared" si="24"/>
        <v>1.0360420198204552E-4</v>
      </c>
      <c r="R150"/>
      <c r="S150"/>
      <c r="T150"/>
      <c r="U150"/>
      <c r="V150"/>
      <c r="W150"/>
    </row>
    <row r="151" spans="1:48">
      <c r="A151" t="s">
        <v>146</v>
      </c>
      <c r="R151"/>
      <c r="S151"/>
      <c r="T151"/>
      <c r="U151"/>
      <c r="V151"/>
      <c r="W151"/>
    </row>
    <row r="152" spans="1:48">
      <c r="A152" t="s">
        <v>148</v>
      </c>
      <c r="R152"/>
      <c r="S152"/>
      <c r="T152"/>
      <c r="U152"/>
      <c r="V152"/>
      <c r="W152"/>
    </row>
    <row r="153" spans="1:48">
      <c r="A153" t="s">
        <v>136</v>
      </c>
      <c r="R153"/>
      <c r="S153"/>
      <c r="T153"/>
      <c r="U153"/>
      <c r="V153"/>
      <c r="W153"/>
    </row>
    <row r="154" spans="1:48">
      <c r="A154" t="s">
        <v>149</v>
      </c>
      <c r="R154"/>
      <c r="S154"/>
      <c r="T154"/>
      <c r="U154"/>
      <c r="V154"/>
      <c r="W154"/>
    </row>
    <row r="155" spans="1:48">
      <c r="A155" t="s">
        <v>147</v>
      </c>
      <c r="R155"/>
      <c r="S155"/>
      <c r="T155"/>
      <c r="U155"/>
      <c r="V155"/>
      <c r="W155"/>
    </row>
    <row r="156" spans="1:48">
      <c r="A156" t="s">
        <v>137</v>
      </c>
      <c r="R156"/>
      <c r="S156"/>
      <c r="T156"/>
      <c r="U156"/>
      <c r="V156"/>
      <c r="W156"/>
    </row>
    <row r="157" spans="1:48">
      <c r="A157" t="s">
        <v>481</v>
      </c>
      <c r="C157" t="s">
        <v>160</v>
      </c>
      <c r="M157" s="1">
        <f>[11]PL!H548</f>
        <v>92.693864709604682</v>
      </c>
      <c r="N157" s="1">
        <f>[11]PL!I548</f>
        <v>93.652308064563726</v>
      </c>
      <c r="O157" s="1">
        <f>[11]PL!J548</f>
        <v>94.530710392672972</v>
      </c>
      <c r="P157" s="1">
        <f>[11]PL!K548</f>
        <v>94.446985505420926</v>
      </c>
      <c r="Q157" s="1">
        <f>[11]PL!L548</f>
        <v>94.161666453013922</v>
      </c>
      <c r="R157" s="1">
        <f>[11]PL!M548</f>
        <v>91.601444544488345</v>
      </c>
      <c r="S157" s="1">
        <f>[11]PL!N548</f>
        <v>95.386475355406773</v>
      </c>
      <c r="T157" s="1">
        <f>[11]PL!O548</f>
        <v>98.381</v>
      </c>
      <c r="U157" s="1">
        <f>[11]PL!JZ$548</f>
        <v>97.0008380624312</v>
      </c>
      <c r="V157" s="1">
        <f>[11]PL!KA$548</f>
        <v>97.0008380624312</v>
      </c>
      <c r="W157" s="1">
        <f>[11]PL!KB$548</f>
        <v>97.0008380624312</v>
      </c>
      <c r="X157" s="1">
        <f>[11]PL!KC$548</f>
        <v>97.0008380624312</v>
      </c>
      <c r="Y157" s="1">
        <f>[11]PL!KD$548</f>
        <v>98.600838062431194</v>
      </c>
      <c r="Z157" s="1">
        <f>[11]PL!KE$548</f>
        <v>98.600838062431194</v>
      </c>
      <c r="AA157" s="1">
        <f>[11]PL!KF$548</f>
        <v>98.600838062431194</v>
      </c>
      <c r="AB157" s="1">
        <f>[11]PL!KG$548</f>
        <v>98.600838062431194</v>
      </c>
      <c r="AC157" s="1">
        <f>[11]PL!KH$548</f>
        <v>98.600838062431194</v>
      </c>
      <c r="AD157" s="1">
        <f>[11]PL!KI$548</f>
        <v>98.600838062431194</v>
      </c>
      <c r="AE157" s="1">
        <f>[11]PL!KJ$548</f>
        <v>98.600838062431194</v>
      </c>
      <c r="AF157" s="1">
        <f>[11]PL!KK$548</f>
        <v>98.600838062431194</v>
      </c>
      <c r="AG157" s="1">
        <f>[11]PL!KL$548</f>
        <v>98.600838062431194</v>
      </c>
      <c r="AH157" s="1">
        <f>[11]PL!KM$548</f>
        <v>98.600838062431194</v>
      </c>
      <c r="AI157" s="1">
        <f>[11]PL!KN$548</f>
        <v>98.600838062431194</v>
      </c>
      <c r="AJ157" s="1">
        <f>[11]PL!KO$548</f>
        <v>98.600838062431194</v>
      </c>
      <c r="AK157" s="1">
        <f>[11]PL!KP$548</f>
        <v>98.600838062431194</v>
      </c>
      <c r="AL157" s="1">
        <f>[11]PL!KQ$548</f>
        <v>98.600838062431194</v>
      </c>
      <c r="AM157" s="1">
        <f>[11]PL!KR$548</f>
        <v>98.600838062431194</v>
      </c>
      <c r="AN157" s="1">
        <f>[11]PL!KS$548</f>
        <v>98.600838062431194</v>
      </c>
      <c r="AO157" s="1">
        <f>[11]PL!KT$548</f>
        <v>98.600838062431194</v>
      </c>
      <c r="AP157" s="1">
        <f>[11]PL!KU$548</f>
        <v>98.600838062431194</v>
      </c>
      <c r="AQ157" s="1">
        <f>[11]PL!KV$548</f>
        <v>98.600838062431194</v>
      </c>
      <c r="AR157" s="1">
        <f>[11]PL!KW$548</f>
        <v>98.600838062431194</v>
      </c>
      <c r="AS157" s="1">
        <f>[11]PL!KX$548</f>
        <v>98.600838062431194</v>
      </c>
      <c r="AT157" s="1">
        <f>[11]PL!KY$548</f>
        <v>98.600838062431194</v>
      </c>
      <c r="AU157" s="1">
        <f>[11]PL!KZ$548</f>
        <v>98.600838062431194</v>
      </c>
      <c r="AV157" s="1">
        <f>[11]PL!LA$548</f>
        <v>98.600838062431194</v>
      </c>
    </row>
    <row r="158" spans="1:48">
      <c r="A158" t="s">
        <v>482</v>
      </c>
      <c r="C158" t="s">
        <v>160</v>
      </c>
      <c r="R158" s="1">
        <f>[11]PL!$X$604</f>
        <v>391.68833644964138</v>
      </c>
      <c r="S158" s="1">
        <f>[11]PL!Y604</f>
        <v>388.05476181173776</v>
      </c>
      <c r="T158" s="1">
        <f>[11]PL!Z604</f>
        <v>437.88792492712616</v>
      </c>
      <c r="U158" s="1">
        <f>[11]PL!AA604</f>
        <v>440.03249808226656</v>
      </c>
      <c r="V158" s="1">
        <f>[11]PL!AB604</f>
        <v>379.44572903933988</v>
      </c>
      <c r="W158" s="1">
        <f>[11]PL!AC604</f>
        <v>343.49570112280117</v>
      </c>
      <c r="X158" s="1">
        <f>[11]PL!AD604</f>
        <v>262.73993905059581</v>
      </c>
      <c r="Y158" s="1">
        <f>[11]PL!AE604</f>
        <v>234.78377533744501</v>
      </c>
      <c r="Z158" s="1">
        <f>[11]PL!AF604</f>
        <v>212.79168585754286</v>
      </c>
      <c r="AA158" s="1">
        <f>[11]PL!AG604</f>
        <v>196.91402542349232</v>
      </c>
      <c r="AB158" s="1">
        <f>[11]PL!AH604</f>
        <v>182.95756537270114</v>
      </c>
      <c r="AC158" s="1">
        <f>[11]PL!AI604</f>
        <v>172.19167288998037</v>
      </c>
      <c r="AD158" s="1">
        <f>[11]PL!AJ604</f>
        <v>163.46392342254347</v>
      </c>
      <c r="AE158" s="1">
        <f>[11]PL!AK604</f>
        <v>156.82443524125807</v>
      </c>
      <c r="AF158" s="1">
        <f>[11]PL!AL604</f>
        <v>150.08471051823739</v>
      </c>
      <c r="AG158" s="1">
        <f>[11]PL!AM604</f>
        <v>143.24474925348142</v>
      </c>
      <c r="AH158" s="1">
        <f>[11]PL!AN604</f>
        <v>141.30301366152241</v>
      </c>
      <c r="AI158" s="1">
        <f>[11]PL!AO604</f>
        <v>139.33454832510068</v>
      </c>
      <c r="AJ158" s="1">
        <f>[11]PL!AP604</f>
        <v>137.33935324421623</v>
      </c>
      <c r="AK158" s="1">
        <f>[11]PL!AQ604</f>
        <v>135.31742841886901</v>
      </c>
      <c r="AL158" s="1">
        <f>[11]PL!AR604</f>
        <v>133.26877384905907</v>
      </c>
      <c r="AM158" s="1">
        <f>[11]PL!AS604</f>
        <v>133.57783651940949</v>
      </c>
      <c r="AN158" s="1">
        <f>[11]PL!AT604</f>
        <v>133.8868991897599</v>
      </c>
      <c r="AO158" s="1">
        <f>[11]PL!AU604</f>
        <v>134.19596186011034</v>
      </c>
      <c r="AP158" s="1">
        <f>[11]PL!AV604</f>
        <v>134.50502453046073</v>
      </c>
      <c r="AQ158" s="1">
        <f>[11]PL!AW604</f>
        <v>134.81408720081117</v>
      </c>
      <c r="AR158" s="1">
        <f>[11]PL!AX604</f>
        <v>135.12314987116159</v>
      </c>
      <c r="AS158" s="1">
        <f>[11]PL!AY604</f>
        <v>135.432212541512</v>
      </c>
      <c r="AT158" s="1">
        <f>[11]PL!AZ604</f>
        <v>135.74127521186244</v>
      </c>
      <c r="AU158" s="1">
        <f>[11]PL!BA604</f>
        <v>136.05033788221286</v>
      </c>
      <c r="AV158" s="1">
        <f>[11]PL!BB604</f>
        <v>136.35940055256327</v>
      </c>
    </row>
    <row r="159" spans="1:48">
      <c r="A159" t="s">
        <v>483</v>
      </c>
      <c r="C159" t="s">
        <v>160</v>
      </c>
      <c r="R159" s="1">
        <f>[11]PL!$X$584</f>
        <v>251.92100856752154</v>
      </c>
      <c r="S159" s="1">
        <f>[11]PL!$AC$584</f>
        <v>220.81035056140058</v>
      </c>
      <c r="T159" s="1">
        <f>[11]PL!$AC$584</f>
        <v>220.81035056140058</v>
      </c>
      <c r="U159" s="1">
        <f>[11]PL!$AC$584</f>
        <v>220.81035056140058</v>
      </c>
      <c r="V159" s="1">
        <f>[11]PL!$AC$584</f>
        <v>220.81035056140058</v>
      </c>
      <c r="W159" s="1">
        <f>[11]PL!$AC$584</f>
        <v>220.81035056140058</v>
      </c>
      <c r="X159" s="1">
        <f>[11]PL!$AC$584</f>
        <v>220.81035056140058</v>
      </c>
      <c r="Y159" s="1">
        <f>[11]PL!$AC$584</f>
        <v>220.81035056140058</v>
      </c>
      <c r="Z159" s="1">
        <f>[11]PL!$AC$584</f>
        <v>220.81035056140058</v>
      </c>
      <c r="AA159" s="1">
        <f>[11]PL!$AC$584</f>
        <v>220.81035056140058</v>
      </c>
      <c r="AB159" s="1">
        <f>[11]PL!$AC$584</f>
        <v>220.81035056140058</v>
      </c>
      <c r="AC159" s="1">
        <f>[11]PL!$AC$584</f>
        <v>220.81035056140058</v>
      </c>
      <c r="AD159" s="1">
        <f>[11]PL!$AC$584</f>
        <v>220.81035056140058</v>
      </c>
      <c r="AE159" s="1">
        <f>[11]PL!$AC$584</f>
        <v>220.81035056140058</v>
      </c>
      <c r="AF159" s="1">
        <f>[11]PL!$AC$584</f>
        <v>220.81035056140058</v>
      </c>
      <c r="AG159" s="1">
        <f>[11]PL!$AC$584</f>
        <v>220.81035056140058</v>
      </c>
      <c r="AH159" s="1">
        <f>[11]PL!$AC$584</f>
        <v>220.81035056140058</v>
      </c>
      <c r="AI159" s="1">
        <f>[11]PL!$AC$584</f>
        <v>220.81035056140058</v>
      </c>
      <c r="AJ159" s="1">
        <f>[11]PL!$AC$584</f>
        <v>220.81035056140058</v>
      </c>
      <c r="AK159" s="1">
        <f>[11]PL!$AC$584</f>
        <v>220.81035056140058</v>
      </c>
      <c r="AL159" s="1">
        <f>[11]PL!$AC$584</f>
        <v>220.81035056140058</v>
      </c>
      <c r="AM159" s="1">
        <f>[11]PL!$AC$584</f>
        <v>220.81035056140058</v>
      </c>
      <c r="AN159" s="1">
        <f>[11]PL!$AC$584</f>
        <v>220.81035056140058</v>
      </c>
      <c r="AO159" s="1">
        <f>[11]PL!$AC$584</f>
        <v>220.81035056140058</v>
      </c>
      <c r="AP159" s="1">
        <f>[11]PL!$AC$584</f>
        <v>220.81035056140058</v>
      </c>
      <c r="AQ159" s="1">
        <f>[11]PL!$AC$584</f>
        <v>220.81035056140058</v>
      </c>
      <c r="AR159" s="1">
        <f>[11]PL!$AC$584</f>
        <v>220.81035056140058</v>
      </c>
      <c r="AS159" s="1">
        <f>[11]PL!$AC$584</f>
        <v>220.81035056140058</v>
      </c>
      <c r="AT159" s="1">
        <f>[11]PL!$AC$584</f>
        <v>220.81035056140058</v>
      </c>
      <c r="AU159" s="1">
        <f>[11]PL!$AC$584</f>
        <v>220.81035056140058</v>
      </c>
      <c r="AV159" s="1">
        <f>[11]PL!$AC$584</f>
        <v>220.81035056140058</v>
      </c>
    </row>
    <row r="160" spans="1:48">
      <c r="A160" t="s">
        <v>144</v>
      </c>
      <c r="C160" t="s">
        <v>160</v>
      </c>
      <c r="R160" s="6">
        <f>'calibration CI PL'!$B5*'sorties PL'!R158+'calibration CI PL'!$B6*'sorties PL'!R159</f>
        <v>351.63249600466429</v>
      </c>
      <c r="S160" s="6">
        <f>'calibration CI PL'!$B5*'sorties PL'!S158+'calibration CI PL'!$B6*'sorties PL'!S159</f>
        <v>340.13056414031882</v>
      </c>
      <c r="T160" s="6">
        <f>'calibration CI PL'!$B5*'sorties PL'!T158+'calibration CI PL'!$B6*'sorties PL'!T159</f>
        <v>375.68906946610537</v>
      </c>
      <c r="U160" s="6">
        <f>'calibration CI PL'!$B5*'sorties PL'!U158+'calibration CI PL'!$B6*'sorties PL'!U159</f>
        <v>377.21933186951782</v>
      </c>
      <c r="V160" s="6">
        <f>'calibration CI PL'!$B5*'sorties PL'!V158+'calibration CI PL'!$B6*'sorties PL'!V159</f>
        <v>333.98757985938221</v>
      </c>
      <c r="W160" s="6">
        <f>'calibration CI PL'!$B5*'sorties PL'!W158+'calibration CI PL'!$B6*'sorties PL'!W159</f>
        <v>308.33540008158138</v>
      </c>
      <c r="X160" s="6">
        <f>'calibration CI PL'!$B5*'sorties PL'!X158+'calibration CI PL'!$B6*'sorties PL'!X159</f>
        <v>250.71204213652379</v>
      </c>
      <c r="Y160" s="6">
        <f>'calibration CI PL'!$B5*'sorties PL'!Y158+'calibration CI PL'!$B6*'sorties PL'!Y159</f>
        <v>230.7638924679818</v>
      </c>
      <c r="Z160" s="6">
        <f>'calibration CI PL'!$B5*'sorties PL'!Z158+'calibration CI PL'!$B6*'sorties PL'!Z159</f>
        <v>215.07141416622227</v>
      </c>
      <c r="AA160" s="6">
        <f>'calibration CI PL'!$B5*'sorties PL'!AA158+'calibration CI PL'!$B6*'sorties PL'!AA159</f>
        <v>203.74189306402133</v>
      </c>
      <c r="AB160" s="6">
        <f>'calibration CI PL'!$B5*'sorties PL'!AB158+'calibration CI PL'!$B6*'sorties PL'!AB159</f>
        <v>193.78324649173624</v>
      </c>
      <c r="AC160" s="6">
        <f>'calibration CI PL'!$B5*'sorties PL'!AC158+'calibration CI PL'!$B6*'sorties PL'!AC159</f>
        <v>186.10123272316898</v>
      </c>
      <c r="AD160" s="6">
        <f>'calibration CI PL'!$B5*'sorties PL'!AD158+'calibration CI PL'!$B6*'sorties PL'!AD159</f>
        <v>179.87353802112122</v>
      </c>
      <c r="AE160" s="6">
        <f>'calibration CI PL'!$B5*'sorties PL'!AE158+'calibration CI PL'!$B6*'sorties PL'!AE159</f>
        <v>175.13592432985166</v>
      </c>
      <c r="AF160" s="6">
        <f>'calibration CI PL'!$B5*'sorties PL'!AF158+'calibration CI PL'!$B6*'sorties PL'!AF159</f>
        <v>170.32678675006474</v>
      </c>
      <c r="AG160" s="6">
        <f>'calibration CI PL'!$B5*'sorties PL'!AG158+'calibration CI PL'!$B6*'sorties PL'!AG159</f>
        <v>165.44612528176043</v>
      </c>
      <c r="AH160" s="6">
        <f>'calibration CI PL'!$B5*'sorties PL'!AH158+'calibration CI PL'!$B6*'sorties PL'!AH159</f>
        <v>164.06059783233746</v>
      </c>
      <c r="AI160" s="6">
        <f>'calibration CI PL'!$B5*'sorties PL'!AI158+'calibration CI PL'!$B6*'sorties PL'!AI159</f>
        <v>162.65599734597652</v>
      </c>
      <c r="AJ160" s="6">
        <f>'calibration CI PL'!$B5*'sorties PL'!AJ158+'calibration CI PL'!$B6*'sorties PL'!AJ159</f>
        <v>161.23232382267764</v>
      </c>
      <c r="AK160" s="6">
        <f>'calibration CI PL'!$B5*'sorties PL'!AK158+'calibration CI PL'!$B6*'sorties PL'!AK159</f>
        <v>159.78957726244076</v>
      </c>
      <c r="AL160" s="6">
        <f>'calibration CI PL'!$B5*'sorties PL'!AL158+'calibration CI PL'!$B6*'sorties PL'!AL159</f>
        <v>158.32775766526595</v>
      </c>
      <c r="AM160" s="6">
        <f>'calibration CI PL'!$B5*'sorties PL'!AM158+'calibration CI PL'!$B6*'sorties PL'!AM159</f>
        <v>158.54828965486112</v>
      </c>
      <c r="AN160" s="6">
        <f>'calibration CI PL'!$B5*'sorties PL'!AN158+'calibration CI PL'!$B6*'sorties PL'!AN159</f>
        <v>158.7688216444563</v>
      </c>
      <c r="AO160" s="6">
        <f>'calibration CI PL'!$B5*'sorties PL'!AO158+'calibration CI PL'!$B6*'sorties PL'!AO159</f>
        <v>158.98935363405147</v>
      </c>
      <c r="AP160" s="6">
        <f>'calibration CI PL'!$B5*'sorties PL'!AP158+'calibration CI PL'!$B6*'sorties PL'!AP159</f>
        <v>159.20988562364661</v>
      </c>
      <c r="AQ160" s="6">
        <f>'calibration CI PL'!$B5*'sorties PL'!AQ158+'calibration CI PL'!$B6*'sorties PL'!AQ159</f>
        <v>159.43041761324179</v>
      </c>
      <c r="AR160" s="6">
        <f>'calibration CI PL'!$B5*'sorties PL'!AR158+'calibration CI PL'!$B6*'sorties PL'!AR159</f>
        <v>159.65094960283696</v>
      </c>
      <c r="AS160" s="6">
        <f>'calibration CI PL'!$B5*'sorties PL'!AS158+'calibration CI PL'!$B6*'sorties PL'!AS159</f>
        <v>159.87148159243213</v>
      </c>
      <c r="AT160" s="6">
        <f>'calibration CI PL'!$B5*'sorties PL'!AT158+'calibration CI PL'!$B6*'sorties PL'!AT159</f>
        <v>160.09201358202733</v>
      </c>
      <c r="AU160" s="6">
        <f>'calibration CI PL'!$B5*'sorties PL'!AU158+'calibration CI PL'!$B6*'sorties PL'!AU159</f>
        <v>160.31254557162248</v>
      </c>
      <c r="AV160" s="6">
        <f>'calibration CI PL'!$B5*'sorties PL'!AV158+'calibration CI PL'!$B6*'sorties PL'!AV159</f>
        <v>160.53307756121765</v>
      </c>
    </row>
    <row r="161" spans="1:48">
      <c r="A161" t="s">
        <v>145</v>
      </c>
      <c r="C161" t="s">
        <v>160</v>
      </c>
      <c r="M161" s="1">
        <f>[11]PL!H630</f>
        <v>171.96397647256487</v>
      </c>
      <c r="N161" s="1">
        <f>[11]PL!I630</f>
        <v>170.56432639251196</v>
      </c>
      <c r="O161" s="1">
        <f>[11]PL!J630</f>
        <v>141.26731904784265</v>
      </c>
      <c r="P161" s="1">
        <f>[11]PL!K630</f>
        <v>136.72602805153315</v>
      </c>
      <c r="Q161" s="1">
        <f>[11]PL!L630</f>
        <v>137.82274470583098</v>
      </c>
      <c r="R161" s="1">
        <f>[11]PL!JW630</f>
        <v>112.74660148664032</v>
      </c>
      <c r="S161" s="1">
        <f>[11]PL!JX630</f>
        <v>112.74660148664032</v>
      </c>
      <c r="T161" s="1">
        <f>[11]PL!JY630</f>
        <v>112.74660148664032</v>
      </c>
      <c r="U161" s="1">
        <f>[11]PL!JZ630</f>
        <v>111.6728243296247</v>
      </c>
      <c r="V161" s="1">
        <f>[11]PL!KA630</f>
        <v>110.59904717260908</v>
      </c>
      <c r="W161" s="1">
        <f>[11]PL!KB630</f>
        <v>109.52527001559345</v>
      </c>
      <c r="X161" s="1">
        <f>[11]PL!KC630</f>
        <v>108.45149285857784</v>
      </c>
      <c r="Y161" s="1">
        <f>[11]PL!KD630</f>
        <v>107.37771570156221</v>
      </c>
      <c r="Z161" s="1">
        <f>[11]PL!KE630</f>
        <v>106.30393854454658</v>
      </c>
      <c r="AA161" s="1">
        <f>[11]PL!KF630</f>
        <v>105.23016138753097</v>
      </c>
      <c r="AB161" s="1">
        <f>[11]PL!KG630</f>
        <v>104.15638423051534</v>
      </c>
      <c r="AC161" s="1">
        <f>[11]PL!KH630</f>
        <v>104.15638423051534</v>
      </c>
      <c r="AD161" s="1">
        <f>[11]PL!KI630</f>
        <v>104.15638423051534</v>
      </c>
      <c r="AE161" s="1">
        <f>[11]PL!KJ630</f>
        <v>104.15638423051534</v>
      </c>
      <c r="AF161" s="1">
        <f>[11]PL!KK630</f>
        <v>104.15638423051534</v>
      </c>
      <c r="AG161" s="1">
        <f>[11]PL!KL630</f>
        <v>104.15638423051534</v>
      </c>
      <c r="AH161" s="1">
        <f>[11]PL!KM630</f>
        <v>104.15638423051534</v>
      </c>
      <c r="AI161" s="1">
        <f>[11]PL!KN630</f>
        <v>104.15638423051534</v>
      </c>
      <c r="AJ161" s="1">
        <f>[11]PL!KO630</f>
        <v>104.15638423051534</v>
      </c>
      <c r="AK161" s="1">
        <f>[11]PL!KP630</f>
        <v>104.15638423051534</v>
      </c>
      <c r="AL161" s="1">
        <f>[11]PL!KQ630</f>
        <v>104.15638423051534</v>
      </c>
      <c r="AM161" s="1">
        <f>[11]PL!KR630</f>
        <v>104.15638423051534</v>
      </c>
      <c r="AN161" s="1">
        <f>[11]PL!KS630</f>
        <v>104.15638423051534</v>
      </c>
      <c r="AO161" s="1">
        <f>[11]PL!KT630</f>
        <v>104.15638423051534</v>
      </c>
      <c r="AP161" s="1">
        <f>[11]PL!KU630</f>
        <v>104.15638423051534</v>
      </c>
      <c r="AQ161" s="1">
        <f>[11]PL!KV630</f>
        <v>104.15638423051534</v>
      </c>
      <c r="AR161" s="1">
        <f>[11]PL!KW630</f>
        <v>104.15638423051534</v>
      </c>
      <c r="AS161" s="1">
        <f>[11]PL!KX630</f>
        <v>104.15638423051534</v>
      </c>
      <c r="AT161" s="1">
        <f>[11]PL!KY630</f>
        <v>104.15638423051534</v>
      </c>
      <c r="AU161" s="1">
        <f>[11]PL!KZ630</f>
        <v>104.15638423051534</v>
      </c>
      <c r="AV161" s="1">
        <f>[11]PL!LA630</f>
        <v>104.15638423051534</v>
      </c>
    </row>
    <row r="162" spans="1:48">
      <c r="A162" t="s">
        <v>141</v>
      </c>
      <c r="C162" t="s">
        <v>160</v>
      </c>
      <c r="M162" s="1">
        <f>[11]VUL!H297</f>
        <v>21.4</v>
      </c>
      <c r="N162" s="1">
        <f>[11]VUL!I297</f>
        <v>21.4</v>
      </c>
      <c r="O162" s="1">
        <f>[11]VUL!J297</f>
        <v>21.4</v>
      </c>
      <c r="P162" s="1">
        <f>[11]VUL!K297</f>
        <v>21.4</v>
      </c>
      <c r="Q162" s="1">
        <f>[11]VUL!L297</f>
        <v>22.472999999999999</v>
      </c>
      <c r="R162" s="1">
        <f>[11]VUL!IL$373</f>
        <v>25.149658723881178</v>
      </c>
      <c r="S162" s="1">
        <f>[11]VUL!IM$373</f>
        <v>25.149658723881178</v>
      </c>
      <c r="T162" s="1">
        <f>[11]VUL!IN$373</f>
        <v>25.149658723881178</v>
      </c>
      <c r="U162" s="1">
        <f>[11]VUL!IO$373</f>
        <v>25.149658723881178</v>
      </c>
      <c r="V162" s="1">
        <f>[11]VUL!IP$373</f>
        <v>25.149658723881178</v>
      </c>
      <c r="W162" s="1">
        <f>[11]VUL!IQ$373</f>
        <v>25.149658723881178</v>
      </c>
      <c r="X162" s="1">
        <f>[11]VUL!IR$373</f>
        <v>25.149658723881178</v>
      </c>
      <c r="Y162" s="1">
        <f>[11]VUL!IS$373</f>
        <v>25.149658723881178</v>
      </c>
      <c r="Z162" s="1">
        <f>[11]VUL!IT$373</f>
        <v>25.149658723881178</v>
      </c>
      <c r="AA162" s="1">
        <f>[11]VUL!IU$373</f>
        <v>25.149658723881178</v>
      </c>
      <c r="AB162" s="1">
        <f>[11]VUL!IV$373</f>
        <v>25.149658723881178</v>
      </c>
      <c r="AC162" s="1">
        <f>[11]VUL!IW$373</f>
        <v>25.149658723881178</v>
      </c>
      <c r="AD162" s="1">
        <f>[11]VUL!IX$373</f>
        <v>25.149658723881178</v>
      </c>
      <c r="AE162" s="1">
        <f>[11]VUL!IY$373</f>
        <v>25.149658723881178</v>
      </c>
      <c r="AF162" s="1">
        <f>[11]VUL!IZ$373</f>
        <v>25.149658723881178</v>
      </c>
      <c r="AG162" s="1">
        <f>[11]VUL!JA$373</f>
        <v>25.149658723881178</v>
      </c>
      <c r="AH162" s="1">
        <f>[11]VUL!JB$373</f>
        <v>25.149658723881178</v>
      </c>
      <c r="AI162" s="1">
        <f>[11]VUL!JC$373</f>
        <v>25.149658723881178</v>
      </c>
      <c r="AJ162" s="1">
        <f>[11]VUL!JD$373</f>
        <v>25.149658723881178</v>
      </c>
      <c r="AK162" s="1">
        <f>[11]VUL!JE$373</f>
        <v>25.149658723881178</v>
      </c>
      <c r="AL162" s="1">
        <f>[11]VUL!JF$373</f>
        <v>25.149658723881178</v>
      </c>
      <c r="AM162" s="1">
        <f>[11]VUL!JG$373</f>
        <v>25.149658723881178</v>
      </c>
      <c r="AN162" s="1">
        <f>[11]VUL!JH$373</f>
        <v>25.149658723881178</v>
      </c>
      <c r="AO162" s="1">
        <f>[11]VUL!JI$373</f>
        <v>25.149658723881178</v>
      </c>
      <c r="AP162" s="1">
        <f>[11]VUL!JJ$373</f>
        <v>25.149658723881178</v>
      </c>
      <c r="AQ162" s="1">
        <f>[11]VUL!JK$373</f>
        <v>25.149658723881178</v>
      </c>
      <c r="AR162" s="1">
        <f>[11]VUL!JL$373</f>
        <v>25.149658723881178</v>
      </c>
      <c r="AS162" s="1">
        <f>[11]VUL!JM$373</f>
        <v>25.149658723881178</v>
      </c>
      <c r="AT162" s="1">
        <f>[11]VUL!JN$373</f>
        <v>25.149658723881178</v>
      </c>
      <c r="AU162" s="1">
        <f>[11]VUL!JO$373</f>
        <v>25.149658723881178</v>
      </c>
      <c r="AV162" s="1">
        <f>[11]VUL!JP$373</f>
        <v>25.149658723881178</v>
      </c>
    </row>
    <row r="163" spans="1:48">
      <c r="A163" t="s">
        <v>142</v>
      </c>
      <c r="C163" t="s">
        <v>160</v>
      </c>
      <c r="M163" s="1">
        <f>[11]VUL!H299</f>
        <v>38.784637457044667</v>
      </c>
      <c r="N163" s="1">
        <f>[11]VUL!I299</f>
        <v>35.60094339622642</v>
      </c>
      <c r="O163" s="1">
        <f>[11]VUL!J299</f>
        <v>39.378297238765555</v>
      </c>
      <c r="P163" s="1">
        <f>[11]VUL!K299</f>
        <v>38.525784953111675</v>
      </c>
      <c r="Q163" s="1">
        <f>[11]VUL!L299</f>
        <v>40.044398129942756</v>
      </c>
      <c r="R163" s="1">
        <f>[11]VUL!IL$375</f>
        <v>30.678899201992298</v>
      </c>
      <c r="S163" s="1">
        <f>[11]VUL!IM$375</f>
        <v>30.845801891234583</v>
      </c>
      <c r="T163" s="1">
        <f>[11]VUL!IN$375</f>
        <v>31.8697093568348</v>
      </c>
      <c r="U163" s="1">
        <f>[11]VUL!IO$375</f>
        <v>31.897855999999997</v>
      </c>
      <c r="V163" s="1">
        <f>[11]VUL!IP$375</f>
        <v>31.141691314641744</v>
      </c>
      <c r="W163" s="1">
        <f>[11]VUL!IQ$375</f>
        <v>30.383714392523363</v>
      </c>
      <c r="X163" s="1">
        <f>[11]VUL!IR$375</f>
        <v>29.846728971962616</v>
      </c>
      <c r="Y163" s="1">
        <f>[11]VUL!IS$375</f>
        <v>29.716154082140413</v>
      </c>
      <c r="Z163" s="1">
        <f>[11]VUL!IT$375</f>
        <v>29.552028044077439</v>
      </c>
      <c r="AA163" s="1">
        <f>[11]VUL!IU$375</f>
        <v>29.354350857773682</v>
      </c>
      <c r="AB163" s="1">
        <f>[11]VUL!IV$375</f>
        <v>29.123122523229149</v>
      </c>
      <c r="AC163" s="1">
        <f>[11]VUL!IW$375</f>
        <v>28.714183527868215</v>
      </c>
      <c r="AD163" s="1">
        <f>[11]VUL!IX$375</f>
        <v>28.305244532507277</v>
      </c>
      <c r="AE163" s="1">
        <f>[11]VUL!IY$375</f>
        <v>28.077526600123413</v>
      </c>
      <c r="AF163" s="1">
        <f>[11]VUL!IZ$375</f>
        <v>27.849808667739545</v>
      </c>
      <c r="AG163" s="1">
        <f>[11]VUL!JA$375</f>
        <v>27.622090735355677</v>
      </c>
      <c r="AH163" s="1">
        <f>[11]VUL!JB$375</f>
        <v>27.547564866575502</v>
      </c>
      <c r="AI163" s="1">
        <f>[11]VUL!JC$375</f>
        <v>27.473038997795328</v>
      </c>
      <c r="AJ163" s="1">
        <f>[11]VUL!JD$375</f>
        <v>27.398513129015154</v>
      </c>
      <c r="AK163" s="1">
        <f>[11]VUL!JE$375</f>
        <v>27.323987260234979</v>
      </c>
      <c r="AL163" s="1">
        <f>[11]VUL!JF$375</f>
        <v>27.249461391454805</v>
      </c>
      <c r="AM163" s="1">
        <f>[11]VUL!JG$375</f>
        <v>27.249461391454805</v>
      </c>
      <c r="AN163" s="1">
        <f>[11]VUL!JH$375</f>
        <v>27.249461391454805</v>
      </c>
      <c r="AO163" s="1">
        <f>[11]VUL!JI$375</f>
        <v>27.249461391454805</v>
      </c>
      <c r="AP163" s="1">
        <f>[11]VUL!JJ$375</f>
        <v>27.249461391454805</v>
      </c>
      <c r="AQ163" s="1">
        <f>[11]VUL!JK$375</f>
        <v>27.249461391454805</v>
      </c>
      <c r="AR163" s="1">
        <f>[11]VUL!JL$375</f>
        <v>27.249461391454805</v>
      </c>
      <c r="AS163" s="1">
        <f>[11]VUL!JM$375</f>
        <v>27.249461391454805</v>
      </c>
      <c r="AT163" s="1">
        <f>[11]VUL!JN$375</f>
        <v>27.249461391454805</v>
      </c>
      <c r="AU163" s="1">
        <f>[11]VUL!JO$375</f>
        <v>27.249461391454801</v>
      </c>
      <c r="AV163" s="1">
        <f>[11]VUL!JP$375</f>
        <v>27.249461391454805</v>
      </c>
    </row>
    <row r="164" spans="1:48">
      <c r="A164" t="s">
        <v>143</v>
      </c>
      <c r="C164" t="s">
        <v>160</v>
      </c>
      <c r="M164" s="1">
        <f>[11]VUL!H$301</f>
        <v>23.573106796116505</v>
      </c>
      <c r="N164" s="1">
        <f>[11]VUL!I$301</f>
        <v>23.573106796116505</v>
      </c>
      <c r="O164" s="1">
        <f>[11]VUL!J$301</f>
        <v>23.573106796116505</v>
      </c>
      <c r="P164" s="1">
        <f>[11]VUL!K$301</f>
        <v>23.540000000000003</v>
      </c>
      <c r="Q164" s="1">
        <f>[11]VUL!L$301</f>
        <v>24.720300000000002</v>
      </c>
      <c r="R164" s="1">
        <f>[11]VUL!IL$377</f>
        <v>27.749947774553554</v>
      </c>
      <c r="S164" s="1">
        <f>[11]VUL!IM$377</f>
        <v>27.749947774553554</v>
      </c>
      <c r="T164" s="1">
        <f>[11]VUL!IN$377</f>
        <v>27.749947774553554</v>
      </c>
      <c r="U164" s="1">
        <f>[11]VUL!IO$377</f>
        <v>27.749947774553554</v>
      </c>
      <c r="V164" s="1">
        <f>[11]VUL!IP$377</f>
        <v>27.749947774553554</v>
      </c>
      <c r="W164" s="1">
        <f>[11]VUL!IQ$377</f>
        <v>27.749947774553554</v>
      </c>
      <c r="X164" s="1">
        <f>[11]VUL!IR$377</f>
        <v>27.749947774553554</v>
      </c>
      <c r="Y164" s="1">
        <f>[11]VUL!IS$377</f>
        <v>27.749947774553554</v>
      </c>
      <c r="Z164" s="1">
        <f>[11]VUL!IT$377</f>
        <v>27.749947774553554</v>
      </c>
      <c r="AA164" s="1">
        <f>[11]VUL!IU$377</f>
        <v>27.749947774553554</v>
      </c>
      <c r="AB164" s="1">
        <f>[11]VUL!IV$377</f>
        <v>27.749947774553554</v>
      </c>
      <c r="AC164" s="1">
        <f>[11]VUL!IW$377</f>
        <v>27.749947774553554</v>
      </c>
      <c r="AD164" s="1">
        <f>[11]VUL!IX$377</f>
        <v>27.749947774553554</v>
      </c>
      <c r="AE164" s="1">
        <f>[11]VUL!IY$377</f>
        <v>27.749947774553554</v>
      </c>
      <c r="AF164" s="1">
        <f>[11]VUL!IZ$377</f>
        <v>27.749947774553554</v>
      </c>
      <c r="AG164" s="1">
        <f>[11]VUL!JA$377</f>
        <v>27.749947774553554</v>
      </c>
      <c r="AH164" s="1">
        <f>[11]VUL!JB$377</f>
        <v>27.749947774553554</v>
      </c>
      <c r="AI164" s="1">
        <f>[11]VUL!JC$377</f>
        <v>27.749947774553554</v>
      </c>
      <c r="AJ164" s="1">
        <f>[11]VUL!JD$377</f>
        <v>27.749947774553554</v>
      </c>
      <c r="AK164" s="1">
        <f>[11]VUL!JE$377</f>
        <v>27.749947774553554</v>
      </c>
      <c r="AL164" s="1">
        <f>[11]VUL!JF$377</f>
        <v>27.749947774553554</v>
      </c>
      <c r="AM164" s="1">
        <f>[11]VUL!JG$377</f>
        <v>27.749947774553554</v>
      </c>
      <c r="AN164" s="1">
        <f>[11]VUL!JH$377</f>
        <v>27.749947774553554</v>
      </c>
      <c r="AO164" s="1">
        <f>[11]VUL!JI$377</f>
        <v>27.749947774553554</v>
      </c>
      <c r="AP164" s="1">
        <f>[11]VUL!JJ$377</f>
        <v>27.749947774553554</v>
      </c>
      <c r="AQ164" s="1">
        <f>[11]VUL!JK$377</f>
        <v>27.749947774553554</v>
      </c>
      <c r="AR164" s="1">
        <f>[11]VUL!JL$377</f>
        <v>27.749947774553554</v>
      </c>
      <c r="AS164" s="1">
        <f>[11]VUL!JM$377</f>
        <v>27.749947774553554</v>
      </c>
      <c r="AT164" s="1">
        <f>[11]VUL!JN$377</f>
        <v>27.749947774553554</v>
      </c>
      <c r="AU164" s="1">
        <f>[11]VUL!JO$377</f>
        <v>27.749947774553554</v>
      </c>
      <c r="AV164" s="1">
        <f>[11]VUL!JP$377</f>
        <v>27.749947774553554</v>
      </c>
    </row>
    <row r="165" spans="1:48">
      <c r="A165" t="s">
        <v>484</v>
      </c>
      <c r="C165" t="s">
        <v>160</v>
      </c>
      <c r="M165" s="1">
        <f t="shared" ref="M165:AV165" si="25">M157/1.27</f>
        <v>72.987295046932815</v>
      </c>
      <c r="N165" s="1">
        <f t="shared" si="25"/>
        <v>73.741974853987188</v>
      </c>
      <c r="O165" s="1">
        <f t="shared" si="25"/>
        <v>74.433630230451158</v>
      </c>
      <c r="P165" s="1">
        <f t="shared" si="25"/>
        <v>74.36770512237868</v>
      </c>
      <c r="Q165" s="1">
        <f t="shared" si="25"/>
        <v>74.143044451192068</v>
      </c>
      <c r="R165" s="1">
        <f t="shared" si="25"/>
        <v>72.127121688573496</v>
      </c>
      <c r="S165" s="1">
        <f t="shared" si="25"/>
        <v>75.107460909769117</v>
      </c>
      <c r="T165" s="1">
        <f t="shared" si="25"/>
        <v>77.465354330708664</v>
      </c>
      <c r="U165" s="1">
        <f t="shared" si="25"/>
        <v>76.378612647583623</v>
      </c>
      <c r="V165" s="1">
        <f t="shared" si="25"/>
        <v>76.378612647583623</v>
      </c>
      <c r="W165" s="1">
        <f t="shared" si="25"/>
        <v>76.378612647583623</v>
      </c>
      <c r="X165" s="1">
        <f t="shared" si="25"/>
        <v>76.378612647583623</v>
      </c>
      <c r="Y165" s="1">
        <f t="shared" si="25"/>
        <v>77.63845516726866</v>
      </c>
      <c r="Z165" s="1">
        <f t="shared" si="25"/>
        <v>77.63845516726866</v>
      </c>
      <c r="AA165" s="1">
        <f t="shared" si="25"/>
        <v>77.63845516726866</v>
      </c>
      <c r="AB165" s="1">
        <f t="shared" si="25"/>
        <v>77.63845516726866</v>
      </c>
      <c r="AC165" s="1">
        <f t="shared" si="25"/>
        <v>77.63845516726866</v>
      </c>
      <c r="AD165" s="1">
        <f t="shared" si="25"/>
        <v>77.63845516726866</v>
      </c>
      <c r="AE165" s="1">
        <f t="shared" si="25"/>
        <v>77.63845516726866</v>
      </c>
      <c r="AF165" s="1">
        <f t="shared" si="25"/>
        <v>77.63845516726866</v>
      </c>
      <c r="AG165" s="1">
        <f t="shared" si="25"/>
        <v>77.63845516726866</v>
      </c>
      <c r="AH165" s="1">
        <f t="shared" si="25"/>
        <v>77.63845516726866</v>
      </c>
      <c r="AI165" s="1">
        <f t="shared" si="25"/>
        <v>77.63845516726866</v>
      </c>
      <c r="AJ165" s="1">
        <f t="shared" si="25"/>
        <v>77.63845516726866</v>
      </c>
      <c r="AK165" s="1">
        <f t="shared" si="25"/>
        <v>77.63845516726866</v>
      </c>
      <c r="AL165" s="1">
        <f t="shared" si="25"/>
        <v>77.63845516726866</v>
      </c>
      <c r="AM165" s="1">
        <f t="shared" si="25"/>
        <v>77.63845516726866</v>
      </c>
      <c r="AN165" s="1">
        <f t="shared" si="25"/>
        <v>77.63845516726866</v>
      </c>
      <c r="AO165" s="1">
        <f t="shared" si="25"/>
        <v>77.63845516726866</v>
      </c>
      <c r="AP165" s="1">
        <f t="shared" si="25"/>
        <v>77.63845516726866</v>
      </c>
      <c r="AQ165" s="1">
        <f t="shared" si="25"/>
        <v>77.63845516726866</v>
      </c>
      <c r="AR165" s="1">
        <f t="shared" si="25"/>
        <v>77.63845516726866</v>
      </c>
      <c r="AS165" s="1">
        <f t="shared" si="25"/>
        <v>77.63845516726866</v>
      </c>
      <c r="AT165" s="1">
        <f t="shared" si="25"/>
        <v>77.63845516726866</v>
      </c>
      <c r="AU165" s="1">
        <f t="shared" si="25"/>
        <v>77.63845516726866</v>
      </c>
      <c r="AV165" s="69">
        <f t="shared" si="25"/>
        <v>77.63845516726866</v>
      </c>
    </row>
    <row r="166" spans="1:48">
      <c r="A166" t="s">
        <v>485</v>
      </c>
      <c r="C166" t="s">
        <v>160</v>
      </c>
      <c r="M166" s="1">
        <f t="shared" ref="M166:AV166" si="26">M158/1.27</f>
        <v>0</v>
      </c>
      <c r="N166" s="1">
        <f t="shared" si="26"/>
        <v>0</v>
      </c>
      <c r="O166" s="1">
        <f t="shared" si="26"/>
        <v>0</v>
      </c>
      <c r="P166" s="1">
        <f t="shared" si="26"/>
        <v>0</v>
      </c>
      <c r="Q166" s="1">
        <f t="shared" si="26"/>
        <v>0</v>
      </c>
      <c r="R166" s="1">
        <f t="shared" si="26"/>
        <v>308.41601295247352</v>
      </c>
      <c r="S166" s="1">
        <f t="shared" si="26"/>
        <v>305.55493056042343</v>
      </c>
      <c r="T166" s="1">
        <f t="shared" si="26"/>
        <v>344.79364167490246</v>
      </c>
      <c r="U166" s="1">
        <f t="shared" si="26"/>
        <v>346.48228195454061</v>
      </c>
      <c r="V166" s="1">
        <f t="shared" si="26"/>
        <v>298.77616459790539</v>
      </c>
      <c r="W166" s="1">
        <f t="shared" si="26"/>
        <v>270.46905600220566</v>
      </c>
      <c r="X166" s="1">
        <f t="shared" si="26"/>
        <v>206.88184177212267</v>
      </c>
      <c r="Y166" s="1">
        <f t="shared" si="26"/>
        <v>184.86911443893308</v>
      </c>
      <c r="Z166" s="1">
        <f t="shared" si="26"/>
        <v>167.55250854924634</v>
      </c>
      <c r="AA166" s="1">
        <f t="shared" si="26"/>
        <v>155.0504137192853</v>
      </c>
      <c r="AB166" s="1">
        <f t="shared" si="26"/>
        <v>144.06107509661507</v>
      </c>
      <c r="AC166" s="1">
        <f t="shared" si="26"/>
        <v>135.58399440155935</v>
      </c>
      <c r="AD166" s="1">
        <f t="shared" si="26"/>
        <v>128.71175072641219</v>
      </c>
      <c r="AE166" s="1">
        <f t="shared" si="26"/>
        <v>123.48380727658116</v>
      </c>
      <c r="AF166" s="1">
        <f t="shared" si="26"/>
        <v>118.17693741593494</v>
      </c>
      <c r="AG166" s="1">
        <f t="shared" si="26"/>
        <v>112.79114114447356</v>
      </c>
      <c r="AH166" s="1">
        <f t="shared" si="26"/>
        <v>111.26221548151371</v>
      </c>
      <c r="AI166" s="1">
        <f t="shared" si="26"/>
        <v>109.71224277566982</v>
      </c>
      <c r="AJ166" s="1">
        <f t="shared" si="26"/>
        <v>108.14122302694192</v>
      </c>
      <c r="AK166" s="1">
        <f t="shared" si="26"/>
        <v>106.54915623532993</v>
      </c>
      <c r="AL166" s="1">
        <f t="shared" si="26"/>
        <v>104.93604240083391</v>
      </c>
      <c r="AM166" s="1">
        <f t="shared" si="26"/>
        <v>105.1793988341807</v>
      </c>
      <c r="AN166" s="1">
        <f t="shared" si="26"/>
        <v>105.42275526752748</v>
      </c>
      <c r="AO166" s="1">
        <f t="shared" si="26"/>
        <v>105.66611170087428</v>
      </c>
      <c r="AP166" s="1">
        <f t="shared" si="26"/>
        <v>105.90946813422104</v>
      </c>
      <c r="AQ166" s="1">
        <f t="shared" si="26"/>
        <v>106.15282456756785</v>
      </c>
      <c r="AR166" s="1">
        <f t="shared" si="26"/>
        <v>106.39618100091464</v>
      </c>
      <c r="AS166" s="1">
        <f t="shared" si="26"/>
        <v>106.63953743426141</v>
      </c>
      <c r="AT166" s="1">
        <f t="shared" si="26"/>
        <v>106.88289386760822</v>
      </c>
      <c r="AU166" s="1">
        <f t="shared" si="26"/>
        <v>107.12625030095501</v>
      </c>
      <c r="AV166" s="1">
        <f t="shared" si="26"/>
        <v>107.36960673430178</v>
      </c>
    </row>
    <row r="167" spans="1:48">
      <c r="A167" t="s">
        <v>486</v>
      </c>
      <c r="C167" t="s">
        <v>160</v>
      </c>
      <c r="M167" s="1">
        <f t="shared" ref="M167:AV167" si="27">M159/1.27</f>
        <v>0</v>
      </c>
      <c r="N167" s="1">
        <f t="shared" si="27"/>
        <v>0</v>
      </c>
      <c r="O167" s="1">
        <f t="shared" si="27"/>
        <v>0</v>
      </c>
      <c r="P167" s="1">
        <f t="shared" si="27"/>
        <v>0</v>
      </c>
      <c r="Q167" s="1">
        <f t="shared" si="27"/>
        <v>0</v>
      </c>
      <c r="R167" s="1">
        <f t="shared" si="27"/>
        <v>198.3629988720642</v>
      </c>
      <c r="S167" s="1">
        <f t="shared" si="27"/>
        <v>173.86641776488236</v>
      </c>
      <c r="T167" s="1">
        <f t="shared" si="27"/>
        <v>173.86641776488236</v>
      </c>
      <c r="U167" s="1">
        <f t="shared" si="27"/>
        <v>173.86641776488236</v>
      </c>
      <c r="V167" s="1">
        <f t="shared" si="27"/>
        <v>173.86641776488236</v>
      </c>
      <c r="W167" s="1">
        <f t="shared" si="27"/>
        <v>173.86641776488236</v>
      </c>
      <c r="X167" s="1">
        <f t="shared" si="27"/>
        <v>173.86641776488236</v>
      </c>
      <c r="Y167" s="1">
        <f t="shared" si="27"/>
        <v>173.86641776488236</v>
      </c>
      <c r="Z167" s="1">
        <f t="shared" si="27"/>
        <v>173.86641776488236</v>
      </c>
      <c r="AA167" s="1">
        <f t="shared" si="27"/>
        <v>173.86641776488236</v>
      </c>
      <c r="AB167" s="1">
        <f t="shared" si="27"/>
        <v>173.86641776488236</v>
      </c>
      <c r="AC167" s="1">
        <f t="shared" si="27"/>
        <v>173.86641776488236</v>
      </c>
      <c r="AD167" s="1">
        <f t="shared" si="27"/>
        <v>173.86641776488236</v>
      </c>
      <c r="AE167" s="1">
        <f t="shared" si="27"/>
        <v>173.86641776488236</v>
      </c>
      <c r="AF167" s="1">
        <f t="shared" si="27"/>
        <v>173.86641776488236</v>
      </c>
      <c r="AG167" s="1">
        <f t="shared" si="27"/>
        <v>173.86641776488236</v>
      </c>
      <c r="AH167" s="1">
        <f t="shared" si="27"/>
        <v>173.86641776488236</v>
      </c>
      <c r="AI167" s="1">
        <f t="shared" si="27"/>
        <v>173.86641776488236</v>
      </c>
      <c r="AJ167" s="1">
        <f t="shared" si="27"/>
        <v>173.86641776488236</v>
      </c>
      <c r="AK167" s="1">
        <f t="shared" si="27"/>
        <v>173.86641776488236</v>
      </c>
      <c r="AL167" s="1">
        <f t="shared" si="27"/>
        <v>173.86641776488236</v>
      </c>
      <c r="AM167" s="1">
        <f t="shared" si="27"/>
        <v>173.86641776488236</v>
      </c>
      <c r="AN167" s="1">
        <f t="shared" si="27"/>
        <v>173.86641776488236</v>
      </c>
      <c r="AO167" s="1">
        <f t="shared" si="27"/>
        <v>173.86641776488236</v>
      </c>
      <c r="AP167" s="1">
        <f t="shared" si="27"/>
        <v>173.86641776488236</v>
      </c>
      <c r="AQ167" s="1">
        <f t="shared" si="27"/>
        <v>173.86641776488236</v>
      </c>
      <c r="AR167" s="1">
        <f t="shared" si="27"/>
        <v>173.86641776488236</v>
      </c>
      <c r="AS167" s="1">
        <f t="shared" si="27"/>
        <v>173.86641776488236</v>
      </c>
      <c r="AT167" s="1">
        <f t="shared" si="27"/>
        <v>173.86641776488236</v>
      </c>
      <c r="AU167" s="1">
        <f t="shared" si="27"/>
        <v>173.86641776488236</v>
      </c>
      <c r="AV167" s="1">
        <f t="shared" si="27"/>
        <v>173.86641776488236</v>
      </c>
    </row>
    <row r="168" spans="1:48">
      <c r="A168" t="s">
        <v>487</v>
      </c>
      <c r="M168" s="1">
        <f t="shared" ref="M168:AB172" si="28">M160/1.27</f>
        <v>0</v>
      </c>
      <c r="N168" s="1">
        <f t="shared" si="28"/>
        <v>0</v>
      </c>
      <c r="O168" s="1">
        <f t="shared" si="28"/>
        <v>0</v>
      </c>
      <c r="P168" s="1">
        <f t="shared" si="28"/>
        <v>0</v>
      </c>
      <c r="Q168" s="1">
        <f t="shared" si="28"/>
        <v>0</v>
      </c>
      <c r="R168" s="1">
        <f t="shared" si="28"/>
        <v>276.87598110603489</v>
      </c>
      <c r="S168" s="1">
        <f t="shared" si="28"/>
        <v>267.81934184277071</v>
      </c>
      <c r="T168" s="1">
        <f t="shared" si="28"/>
        <v>295.8181649339412</v>
      </c>
      <c r="U168" s="1">
        <f t="shared" si="28"/>
        <v>297.02309596025026</v>
      </c>
      <c r="V168" s="1">
        <f t="shared" si="28"/>
        <v>262.98234634597026</v>
      </c>
      <c r="W168" s="1">
        <f t="shared" si="28"/>
        <v>242.78377959179636</v>
      </c>
      <c r="X168" s="1">
        <f t="shared" si="28"/>
        <v>197.41105680041244</v>
      </c>
      <c r="Y168" s="1">
        <f t="shared" si="28"/>
        <v>181.70385233699355</v>
      </c>
      <c r="Z168" s="1">
        <f t="shared" si="28"/>
        <v>169.34757020962383</v>
      </c>
      <c r="AA168" s="1">
        <f t="shared" si="28"/>
        <v>160.42668745198529</v>
      </c>
      <c r="AB168" s="1">
        <f t="shared" si="28"/>
        <v>152.58523345806003</v>
      </c>
      <c r="AC168" s="1">
        <f t="shared" ref="N168:AV172" si="29">AC160/1.27</f>
        <v>146.53640371903069</v>
      </c>
      <c r="AD168" s="1">
        <f t="shared" si="29"/>
        <v>141.63270710324505</v>
      </c>
      <c r="AE168" s="1">
        <f t="shared" si="29"/>
        <v>137.90230262193043</v>
      </c>
      <c r="AF168" s="1">
        <f t="shared" si="29"/>
        <v>134.1155801181612</v>
      </c>
      <c r="AG168" s="1">
        <f t="shared" si="29"/>
        <v>130.27253959193735</v>
      </c>
      <c r="AH168" s="1">
        <f t="shared" si="29"/>
        <v>129.18157309632872</v>
      </c>
      <c r="AI168" s="1">
        <f t="shared" si="29"/>
        <v>128.07558846139884</v>
      </c>
      <c r="AJ168" s="1">
        <f t="shared" si="29"/>
        <v>126.95458568714774</v>
      </c>
      <c r="AK168" s="1">
        <f t="shared" si="29"/>
        <v>125.8185647735754</v>
      </c>
      <c r="AL168" s="1">
        <f t="shared" si="29"/>
        <v>124.66752572068185</v>
      </c>
      <c r="AM168" s="1">
        <f t="shared" si="29"/>
        <v>124.84117295658356</v>
      </c>
      <c r="AN168" s="1">
        <f t="shared" si="29"/>
        <v>125.01482019248527</v>
      </c>
      <c r="AO168" s="1">
        <f t="shared" si="29"/>
        <v>125.18846742838699</v>
      </c>
      <c r="AP168" s="1">
        <f t="shared" si="29"/>
        <v>125.36211466428867</v>
      </c>
      <c r="AQ168" s="1">
        <f t="shared" si="29"/>
        <v>125.53576190019038</v>
      </c>
      <c r="AR168" s="1">
        <f t="shared" si="29"/>
        <v>125.70940913609209</v>
      </c>
      <c r="AS168" s="1">
        <f t="shared" si="29"/>
        <v>125.8830563719938</v>
      </c>
      <c r="AT168" s="1">
        <f t="shared" si="29"/>
        <v>126.05670360789554</v>
      </c>
      <c r="AU168" s="1">
        <f t="shared" si="29"/>
        <v>126.23035084379723</v>
      </c>
      <c r="AV168" s="1">
        <f t="shared" si="29"/>
        <v>126.40399807969894</v>
      </c>
    </row>
    <row r="169" spans="1:48">
      <c r="A169" t="s">
        <v>488</v>
      </c>
      <c r="M169" s="1">
        <f>M161/1.27</f>
        <v>135.40470588390934</v>
      </c>
      <c r="N169" s="1">
        <f t="shared" ref="N169:AV169" si="30">N161/1.27</f>
        <v>134.30261920670233</v>
      </c>
      <c r="O169" s="1">
        <f t="shared" si="30"/>
        <v>111.23410948649027</v>
      </c>
      <c r="P169" s="1">
        <f t="shared" si="30"/>
        <v>107.65828980435681</v>
      </c>
      <c r="Q169" s="1">
        <f t="shared" si="30"/>
        <v>108.52184622506377</v>
      </c>
      <c r="R169" s="1">
        <f t="shared" si="30"/>
        <v>88.776851564283717</v>
      </c>
      <c r="S169" s="1">
        <f t="shared" si="30"/>
        <v>88.776851564283717</v>
      </c>
      <c r="T169" s="1">
        <f t="shared" si="30"/>
        <v>88.776851564283717</v>
      </c>
      <c r="U169" s="1">
        <f t="shared" si="30"/>
        <v>87.931357739861966</v>
      </c>
      <c r="V169" s="1">
        <f t="shared" si="30"/>
        <v>87.085863915440214</v>
      </c>
      <c r="W169" s="1">
        <f t="shared" si="30"/>
        <v>86.240370091018463</v>
      </c>
      <c r="X169" s="1">
        <f t="shared" si="30"/>
        <v>85.394876266596725</v>
      </c>
      <c r="Y169" s="1">
        <f t="shared" si="30"/>
        <v>84.549382442174974</v>
      </c>
      <c r="Z169" s="1">
        <f t="shared" si="30"/>
        <v>83.703888617753208</v>
      </c>
      <c r="AA169" s="1">
        <f t="shared" si="30"/>
        <v>82.85839479333147</v>
      </c>
      <c r="AB169" s="1">
        <f t="shared" si="30"/>
        <v>82.012900968909719</v>
      </c>
      <c r="AC169" s="1">
        <f t="shared" si="30"/>
        <v>82.012900968909719</v>
      </c>
      <c r="AD169" s="1">
        <f t="shared" si="30"/>
        <v>82.012900968909719</v>
      </c>
      <c r="AE169" s="1">
        <f t="shared" si="30"/>
        <v>82.012900968909719</v>
      </c>
      <c r="AF169" s="1">
        <f t="shared" si="30"/>
        <v>82.012900968909719</v>
      </c>
      <c r="AG169" s="1">
        <f t="shared" si="30"/>
        <v>82.012900968909719</v>
      </c>
      <c r="AH169" s="1">
        <f t="shared" si="30"/>
        <v>82.012900968909719</v>
      </c>
      <c r="AI169" s="1">
        <f t="shared" si="30"/>
        <v>82.012900968909719</v>
      </c>
      <c r="AJ169" s="1">
        <f t="shared" si="30"/>
        <v>82.012900968909719</v>
      </c>
      <c r="AK169" s="1">
        <f t="shared" si="30"/>
        <v>82.012900968909719</v>
      </c>
      <c r="AL169" s="1">
        <f t="shared" si="30"/>
        <v>82.012900968909719</v>
      </c>
      <c r="AM169" s="1">
        <f t="shared" si="30"/>
        <v>82.012900968909719</v>
      </c>
      <c r="AN169" s="1">
        <f t="shared" si="30"/>
        <v>82.012900968909719</v>
      </c>
      <c r="AO169" s="1">
        <f t="shared" si="30"/>
        <v>82.012900968909719</v>
      </c>
      <c r="AP169" s="1">
        <f t="shared" si="30"/>
        <v>82.012900968909719</v>
      </c>
      <c r="AQ169" s="1">
        <f t="shared" si="30"/>
        <v>82.012900968909719</v>
      </c>
      <c r="AR169" s="1">
        <f t="shared" si="30"/>
        <v>82.012900968909719</v>
      </c>
      <c r="AS169" s="1">
        <f t="shared" si="30"/>
        <v>82.012900968909719</v>
      </c>
      <c r="AT169" s="1">
        <f t="shared" si="30"/>
        <v>82.012900968909719</v>
      </c>
      <c r="AU169" s="1">
        <f t="shared" si="30"/>
        <v>82.012900968909719</v>
      </c>
      <c r="AV169" s="1">
        <f t="shared" si="30"/>
        <v>82.012900968909719</v>
      </c>
    </row>
    <row r="170" spans="1:48">
      <c r="A170" t="s">
        <v>489</v>
      </c>
      <c r="M170" s="1">
        <f t="shared" si="28"/>
        <v>16.8503937007874</v>
      </c>
      <c r="N170" s="1">
        <f t="shared" si="29"/>
        <v>16.8503937007874</v>
      </c>
      <c r="O170" s="1">
        <f t="shared" si="29"/>
        <v>16.8503937007874</v>
      </c>
      <c r="P170" s="1">
        <f t="shared" si="29"/>
        <v>16.8503937007874</v>
      </c>
      <c r="Q170" s="1">
        <f t="shared" si="29"/>
        <v>17.69527559055118</v>
      </c>
      <c r="R170" s="1">
        <f t="shared" si="29"/>
        <v>19.802880884945807</v>
      </c>
      <c r="S170" s="1">
        <f t="shared" si="29"/>
        <v>19.802880884945807</v>
      </c>
      <c r="T170" s="1">
        <f t="shared" si="29"/>
        <v>19.802880884945807</v>
      </c>
      <c r="U170" s="1">
        <f t="shared" si="29"/>
        <v>19.802880884945807</v>
      </c>
      <c r="V170" s="1">
        <f t="shared" si="29"/>
        <v>19.802880884945807</v>
      </c>
      <c r="W170" s="1">
        <f t="shared" si="29"/>
        <v>19.802880884945807</v>
      </c>
      <c r="X170" s="1">
        <f t="shared" si="29"/>
        <v>19.802880884945807</v>
      </c>
      <c r="Y170" s="1">
        <f t="shared" si="29"/>
        <v>19.802880884945807</v>
      </c>
      <c r="Z170" s="1">
        <f t="shared" si="29"/>
        <v>19.802880884945807</v>
      </c>
      <c r="AA170" s="1">
        <f t="shared" si="29"/>
        <v>19.802880884945807</v>
      </c>
      <c r="AB170" s="1">
        <f t="shared" si="29"/>
        <v>19.802880884945807</v>
      </c>
      <c r="AC170" s="1">
        <f t="shared" si="29"/>
        <v>19.802880884945807</v>
      </c>
      <c r="AD170" s="1">
        <f t="shared" si="29"/>
        <v>19.802880884945807</v>
      </c>
      <c r="AE170" s="1">
        <f t="shared" si="29"/>
        <v>19.802880884945807</v>
      </c>
      <c r="AF170" s="1">
        <f t="shared" si="29"/>
        <v>19.802880884945807</v>
      </c>
      <c r="AG170" s="1">
        <f t="shared" si="29"/>
        <v>19.802880884945807</v>
      </c>
      <c r="AH170" s="1">
        <f t="shared" si="29"/>
        <v>19.802880884945807</v>
      </c>
      <c r="AI170" s="1">
        <f t="shared" si="29"/>
        <v>19.802880884945807</v>
      </c>
      <c r="AJ170" s="1">
        <f t="shared" si="29"/>
        <v>19.802880884945807</v>
      </c>
      <c r="AK170" s="1">
        <f t="shared" si="29"/>
        <v>19.802880884945807</v>
      </c>
      <c r="AL170" s="1">
        <f t="shared" si="29"/>
        <v>19.802880884945807</v>
      </c>
      <c r="AM170" s="1">
        <f t="shared" si="29"/>
        <v>19.802880884945807</v>
      </c>
      <c r="AN170" s="1">
        <f t="shared" si="29"/>
        <v>19.802880884945807</v>
      </c>
      <c r="AO170" s="1">
        <f t="shared" si="29"/>
        <v>19.802880884945807</v>
      </c>
      <c r="AP170" s="1">
        <f t="shared" si="29"/>
        <v>19.802880884945807</v>
      </c>
      <c r="AQ170" s="1">
        <f t="shared" si="29"/>
        <v>19.802880884945807</v>
      </c>
      <c r="AR170" s="1">
        <f t="shared" si="29"/>
        <v>19.802880884945807</v>
      </c>
      <c r="AS170" s="1">
        <f t="shared" si="29"/>
        <v>19.802880884945807</v>
      </c>
      <c r="AT170" s="1">
        <f t="shared" si="29"/>
        <v>19.802880884945807</v>
      </c>
      <c r="AU170" s="1">
        <f t="shared" si="29"/>
        <v>19.802880884945807</v>
      </c>
      <c r="AV170" s="1">
        <f t="shared" si="29"/>
        <v>19.802880884945807</v>
      </c>
    </row>
    <row r="171" spans="1:48">
      <c r="A171" t="s">
        <v>490</v>
      </c>
      <c r="M171" s="1">
        <f t="shared" si="28"/>
        <v>30.539084611846196</v>
      </c>
      <c r="N171" s="1">
        <f t="shared" si="29"/>
        <v>28.03223889466647</v>
      </c>
      <c r="O171" s="1">
        <f t="shared" si="29"/>
        <v>31.006533258870515</v>
      </c>
      <c r="P171" s="1">
        <f t="shared" si="29"/>
        <v>30.335263742607616</v>
      </c>
      <c r="Q171" s="1">
        <f t="shared" si="29"/>
        <v>31.531022149561224</v>
      </c>
      <c r="R171" s="1">
        <f t="shared" si="29"/>
        <v>24.156613544875825</v>
      </c>
      <c r="S171" s="1">
        <f t="shared" si="29"/>
        <v>24.288032985224081</v>
      </c>
      <c r="T171" s="1">
        <f t="shared" si="29"/>
        <v>25.094259336090392</v>
      </c>
      <c r="U171" s="1">
        <f t="shared" si="29"/>
        <v>25.116422047244093</v>
      </c>
      <c r="V171" s="1">
        <f t="shared" si="29"/>
        <v>24.521016783182475</v>
      </c>
      <c r="W171" s="1">
        <f t="shared" si="29"/>
        <v>23.924184561042019</v>
      </c>
      <c r="X171" s="1">
        <f t="shared" si="29"/>
        <v>23.501361395246153</v>
      </c>
      <c r="Y171" s="1">
        <f t="shared" si="29"/>
        <v>23.398546521370402</v>
      </c>
      <c r="Z171" s="1">
        <f t="shared" si="29"/>
        <v>23.269313420533415</v>
      </c>
      <c r="AA171" s="1">
        <f t="shared" si="29"/>
        <v>23.113662092735183</v>
      </c>
      <c r="AB171" s="1">
        <f t="shared" si="29"/>
        <v>22.931592537975707</v>
      </c>
      <c r="AC171" s="1">
        <f t="shared" si="29"/>
        <v>22.609593329030091</v>
      </c>
      <c r="AD171" s="1">
        <f t="shared" si="29"/>
        <v>22.287594120084471</v>
      </c>
      <c r="AE171" s="1">
        <f t="shared" si="29"/>
        <v>22.108288661514496</v>
      </c>
      <c r="AF171" s="1">
        <f t="shared" si="29"/>
        <v>21.928983202944522</v>
      </c>
      <c r="AG171" s="1">
        <f t="shared" si="29"/>
        <v>21.749677744374548</v>
      </c>
      <c r="AH171" s="1">
        <f t="shared" si="29"/>
        <v>21.690995957933467</v>
      </c>
      <c r="AI171" s="1">
        <f t="shared" si="29"/>
        <v>21.632314171492386</v>
      </c>
      <c r="AJ171" s="1">
        <f t="shared" si="29"/>
        <v>21.573632385051301</v>
      </c>
      <c r="AK171" s="1">
        <f t="shared" si="29"/>
        <v>21.51495059861022</v>
      </c>
      <c r="AL171" s="1">
        <f t="shared" si="29"/>
        <v>21.456268812169139</v>
      </c>
      <c r="AM171" s="1">
        <f t="shared" si="29"/>
        <v>21.456268812169139</v>
      </c>
      <c r="AN171" s="1">
        <f t="shared" si="29"/>
        <v>21.456268812169139</v>
      </c>
      <c r="AO171" s="1">
        <f t="shared" si="29"/>
        <v>21.456268812169139</v>
      </c>
      <c r="AP171" s="1">
        <f t="shared" si="29"/>
        <v>21.456268812169139</v>
      </c>
      <c r="AQ171" s="1">
        <f t="shared" si="29"/>
        <v>21.456268812169139</v>
      </c>
      <c r="AR171" s="1">
        <f t="shared" si="29"/>
        <v>21.456268812169139</v>
      </c>
      <c r="AS171" s="1">
        <f t="shared" si="29"/>
        <v>21.456268812169139</v>
      </c>
      <c r="AT171" s="1">
        <f t="shared" si="29"/>
        <v>21.456268812169139</v>
      </c>
      <c r="AU171" s="1">
        <f t="shared" si="29"/>
        <v>21.456268812169135</v>
      </c>
      <c r="AV171" s="1">
        <f t="shared" si="29"/>
        <v>21.456268812169139</v>
      </c>
    </row>
    <row r="172" spans="1:48">
      <c r="A172" t="s">
        <v>491</v>
      </c>
      <c r="M172" s="1">
        <f t="shared" si="28"/>
        <v>18.561501414264963</v>
      </c>
      <c r="N172" s="1">
        <f t="shared" si="29"/>
        <v>18.561501414264963</v>
      </c>
      <c r="O172" s="1">
        <f t="shared" si="29"/>
        <v>18.561501414264963</v>
      </c>
      <c r="P172" s="1">
        <f t="shared" si="29"/>
        <v>18.535433070866144</v>
      </c>
      <c r="Q172" s="1">
        <f t="shared" si="29"/>
        <v>19.464803149606301</v>
      </c>
      <c r="R172" s="1">
        <f t="shared" si="29"/>
        <v>21.850352578388627</v>
      </c>
      <c r="S172" s="1">
        <f t="shared" si="29"/>
        <v>21.850352578388627</v>
      </c>
      <c r="T172" s="1">
        <f t="shared" si="29"/>
        <v>21.850352578388627</v>
      </c>
      <c r="U172" s="1">
        <f t="shared" si="29"/>
        <v>21.850352578388627</v>
      </c>
      <c r="V172" s="1">
        <f t="shared" si="29"/>
        <v>21.850352578388627</v>
      </c>
      <c r="W172" s="1">
        <f t="shared" si="29"/>
        <v>21.850352578388627</v>
      </c>
      <c r="X172" s="1">
        <f t="shared" si="29"/>
        <v>21.850352578388627</v>
      </c>
      <c r="Y172" s="1">
        <f t="shared" si="29"/>
        <v>21.850352578388627</v>
      </c>
      <c r="Z172" s="1">
        <f t="shared" si="29"/>
        <v>21.850352578388627</v>
      </c>
      <c r="AA172" s="1">
        <f t="shared" si="29"/>
        <v>21.850352578388627</v>
      </c>
      <c r="AB172" s="1">
        <f t="shared" si="29"/>
        <v>21.850352578388627</v>
      </c>
      <c r="AC172" s="1">
        <f t="shared" si="29"/>
        <v>21.850352578388627</v>
      </c>
      <c r="AD172" s="1">
        <f t="shared" si="29"/>
        <v>21.850352578388627</v>
      </c>
      <c r="AE172" s="1">
        <f t="shared" si="29"/>
        <v>21.850352578388627</v>
      </c>
      <c r="AF172" s="1">
        <f t="shared" si="29"/>
        <v>21.850352578388627</v>
      </c>
      <c r="AG172" s="1">
        <f t="shared" si="29"/>
        <v>21.850352578388627</v>
      </c>
      <c r="AH172" s="1">
        <f t="shared" si="29"/>
        <v>21.850352578388627</v>
      </c>
      <c r="AI172" s="1">
        <f t="shared" si="29"/>
        <v>21.850352578388627</v>
      </c>
      <c r="AJ172" s="1">
        <f t="shared" si="29"/>
        <v>21.850352578388627</v>
      </c>
      <c r="AK172" s="1">
        <f t="shared" si="29"/>
        <v>21.850352578388627</v>
      </c>
      <c r="AL172" s="1">
        <f t="shared" si="29"/>
        <v>21.850352578388627</v>
      </c>
      <c r="AM172" s="1">
        <f t="shared" si="29"/>
        <v>21.850352578388627</v>
      </c>
      <c r="AN172" s="1">
        <f t="shared" si="29"/>
        <v>21.850352578388627</v>
      </c>
      <c r="AO172" s="1">
        <f t="shared" si="29"/>
        <v>21.850352578388627</v>
      </c>
      <c r="AP172" s="1">
        <f t="shared" si="29"/>
        <v>21.850352578388627</v>
      </c>
      <c r="AQ172" s="1">
        <f t="shared" si="29"/>
        <v>21.850352578388627</v>
      </c>
      <c r="AR172" s="1">
        <f t="shared" si="29"/>
        <v>21.850352578388627</v>
      </c>
      <c r="AS172" s="1">
        <f t="shared" si="29"/>
        <v>21.850352578388627</v>
      </c>
      <c r="AT172" s="1">
        <f t="shared" si="29"/>
        <v>21.850352578388627</v>
      </c>
      <c r="AU172" s="1">
        <f t="shared" si="29"/>
        <v>21.850352578388627</v>
      </c>
      <c r="AV172" s="1">
        <f t="shared" si="29"/>
        <v>21.850352578388627</v>
      </c>
    </row>
    <row r="173" spans="1:48"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>
      <c r="A175" s="12" t="s">
        <v>150</v>
      </c>
      <c r="B175" s="12"/>
      <c r="C175" t="s">
        <v>160</v>
      </c>
      <c r="R175"/>
      <c r="S175"/>
      <c r="T175"/>
      <c r="U175"/>
      <c r="V175"/>
      <c r="W175"/>
    </row>
    <row r="176" spans="1:48">
      <c r="A176" s="24" t="s">
        <v>151</v>
      </c>
      <c r="B176" s="25" t="s">
        <v>161</v>
      </c>
      <c r="C176" t="s">
        <v>160</v>
      </c>
      <c r="M176" s="1">
        <f>[11]PL!H70</f>
        <v>260</v>
      </c>
      <c r="N176" s="1">
        <f>[11]PL!I70</f>
        <v>305</v>
      </c>
      <c r="O176" s="1">
        <f>[11]PL!J70</f>
        <v>187</v>
      </c>
      <c r="P176" s="1">
        <f>[11]PL!K70</f>
        <v>162</v>
      </c>
      <c r="Q176" s="1">
        <f>[11]PL!L70</f>
        <v>180</v>
      </c>
      <c r="R176" s="1">
        <f>[11]PL!M70</f>
        <v>165</v>
      </c>
      <c r="S176" s="1">
        <f>[11]PL!N70</f>
        <v>191.35599999999999</v>
      </c>
      <c r="T176" s="1"/>
      <c r="U176" s="1"/>
      <c r="V176"/>
      <c r="W176"/>
    </row>
    <row r="177" spans="1:49">
      <c r="A177" s="24" t="s">
        <v>152</v>
      </c>
      <c r="B177" s="25" t="s">
        <v>161</v>
      </c>
      <c r="C177" t="s">
        <v>160</v>
      </c>
      <c r="M177" s="1">
        <f>[11]PL!H71</f>
        <v>579030</v>
      </c>
      <c r="N177" s="1">
        <f>[11]PL!I71</f>
        <v>583757</v>
      </c>
      <c r="O177" s="1">
        <f>[11]PL!J71</f>
        <v>593033</v>
      </c>
      <c r="P177" s="1">
        <f>[11]PL!K71</f>
        <v>599983</v>
      </c>
      <c r="Q177" s="1">
        <f>[11]PL!L71</f>
        <v>604529</v>
      </c>
      <c r="R177" s="1">
        <f>[11]PL!M71</f>
        <v>600733</v>
      </c>
      <c r="S177" s="1">
        <f>[11]PL!N71</f>
        <v>607102.23600000003</v>
      </c>
      <c r="T177" s="1"/>
      <c r="U177" s="1"/>
      <c r="V177"/>
      <c r="W177"/>
    </row>
    <row r="178" spans="1:49">
      <c r="A178" s="24" t="s">
        <v>153</v>
      </c>
      <c r="B178" s="25" t="s">
        <v>161</v>
      </c>
      <c r="C178" t="s">
        <v>160</v>
      </c>
      <c r="M178" s="1">
        <f>[11]PL!H72</f>
        <v>5</v>
      </c>
      <c r="N178" s="1">
        <f>[11]PL!I72</f>
        <v>3</v>
      </c>
      <c r="O178" s="1">
        <f>[11]PL!J72</f>
        <v>3</v>
      </c>
      <c r="P178" s="1">
        <f>[11]PL!K72</f>
        <v>2</v>
      </c>
      <c r="Q178" s="1">
        <f>[11]PL!L72</f>
        <v>2</v>
      </c>
      <c r="R178" s="1">
        <f>[11]PL!M72</f>
        <v>2</v>
      </c>
      <c r="S178" s="1">
        <f>[11]PL!N72</f>
        <v>10</v>
      </c>
      <c r="T178" s="1"/>
      <c r="U178" s="1"/>
      <c r="V178"/>
      <c r="W178"/>
    </row>
    <row r="179" spans="1:49">
      <c r="A179" s="24" t="s">
        <v>154</v>
      </c>
      <c r="B179" s="25" t="s">
        <v>161</v>
      </c>
      <c r="C179" t="s">
        <v>160</v>
      </c>
      <c r="M179" s="1">
        <f>[11]PL!H73</f>
        <v>108</v>
      </c>
      <c r="N179" s="1">
        <f>[11]PL!I73</f>
        <v>110</v>
      </c>
      <c r="O179" s="1">
        <f>[11]PL!J73</f>
        <v>120</v>
      </c>
      <c r="P179" s="1">
        <f>[11]PL!K73</f>
        <v>137</v>
      </c>
      <c r="Q179" s="1">
        <f>[11]PL!L73</f>
        <v>138</v>
      </c>
      <c r="R179" s="1">
        <f>[11]PL!M73</f>
        <v>131</v>
      </c>
      <c r="S179" s="1">
        <f>[11]PL!N73</f>
        <v>180.46100000000001</v>
      </c>
      <c r="T179" s="1"/>
      <c r="U179" s="1"/>
      <c r="V179"/>
      <c r="W179"/>
    </row>
    <row r="180" spans="1:49">
      <c r="A180" s="24" t="s">
        <v>155</v>
      </c>
      <c r="B180" s="25" t="s">
        <v>161</v>
      </c>
      <c r="C180" t="s">
        <v>160</v>
      </c>
      <c r="M180" s="1">
        <f>[11]PL!H74</f>
        <v>3</v>
      </c>
      <c r="N180" s="1">
        <f>[11]PL!I74</f>
        <v>2</v>
      </c>
      <c r="O180" s="1">
        <f>[11]PL!J74</f>
        <v>2</v>
      </c>
      <c r="P180" s="1">
        <f>[11]PL!K74</f>
        <v>2</v>
      </c>
      <c r="Q180" s="1">
        <f>[11]PL!L74</f>
        <v>2</v>
      </c>
      <c r="R180" s="1">
        <f>[11]PL!M74</f>
        <v>5</v>
      </c>
      <c r="S180" s="1">
        <f>[11]PL!N74</f>
        <v>3.177</v>
      </c>
      <c r="T180" s="1"/>
      <c r="U180" s="1"/>
      <c r="V180"/>
      <c r="W180"/>
    </row>
    <row r="181" spans="1:49">
      <c r="A181" s="24" t="s">
        <v>156</v>
      </c>
      <c r="B181" s="25" t="s">
        <v>161</v>
      </c>
      <c r="C181" t="s">
        <v>160</v>
      </c>
      <c r="M181" s="1">
        <f>[11]PL!H75</f>
        <v>347</v>
      </c>
      <c r="N181" s="1">
        <f>[11]PL!I75</f>
        <v>607</v>
      </c>
      <c r="O181" s="1">
        <f>[11]PL!J75</f>
        <v>1285</v>
      </c>
      <c r="P181" s="1">
        <f>[11]PL!K75</f>
        <v>2282</v>
      </c>
      <c r="Q181" s="1">
        <f>[11]PL!L75</f>
        <v>3513</v>
      </c>
      <c r="R181" s="1">
        <f>[11]PL!M75</f>
        <v>5057</v>
      </c>
      <c r="S181" s="1">
        <f>[11]PL!N75</f>
        <v>6964</v>
      </c>
      <c r="T181" s="1">
        <f>[11]PL!O75</f>
        <v>9033</v>
      </c>
      <c r="U181" s="1"/>
      <c r="V181"/>
      <c r="W181"/>
    </row>
    <row r="182" spans="1:49">
      <c r="A182" s="24" t="s">
        <v>86</v>
      </c>
      <c r="B182" s="25" t="s">
        <v>161</v>
      </c>
      <c r="C182" t="s">
        <v>160</v>
      </c>
      <c r="M182" s="1">
        <f>[11]PL!H76</f>
        <v>579753</v>
      </c>
      <c r="N182" s="1">
        <f>[11]PL!I76</f>
        <v>584784</v>
      </c>
      <c r="O182" s="1">
        <f>[11]PL!J76</f>
        <v>594630</v>
      </c>
      <c r="P182" s="1">
        <f>[11]PL!K76</f>
        <v>602568</v>
      </c>
      <c r="Q182" s="1">
        <f>[11]PL!L76</f>
        <v>608364</v>
      </c>
      <c r="R182" s="1">
        <f>[11]PL!M76</f>
        <v>606093</v>
      </c>
      <c r="S182" s="1">
        <f>[11]PL!N76</f>
        <v>614451.2300000001</v>
      </c>
      <c r="T182" s="1"/>
      <c r="U182" s="1"/>
      <c r="V182"/>
      <c r="W182"/>
    </row>
    <row r="183" spans="1:49">
      <c r="A183" s="12" t="s">
        <v>157</v>
      </c>
      <c r="B183" s="25" t="s">
        <v>161</v>
      </c>
      <c r="C183" t="s">
        <v>160</v>
      </c>
      <c r="R183"/>
      <c r="S183"/>
      <c r="T183"/>
      <c r="U183"/>
      <c r="V183"/>
      <c r="W183"/>
    </row>
    <row r="184" spans="1:49">
      <c r="A184" s="24" t="s">
        <v>151</v>
      </c>
      <c r="B184" s="25" t="s">
        <v>161</v>
      </c>
      <c r="C184" t="s">
        <v>160</v>
      </c>
      <c r="M184" s="1">
        <f>[11]VUL!H108</f>
        <v>0</v>
      </c>
      <c r="N184" s="1">
        <f>[11]VUL!I108</f>
        <v>0</v>
      </c>
      <c r="O184" s="1">
        <f>[11]VUL!J108</f>
        <v>0</v>
      </c>
      <c r="P184" s="1">
        <f>[11]VUL!K108</f>
        <v>0</v>
      </c>
      <c r="Q184" s="1">
        <f>[11]VUL!L108</f>
        <v>0</v>
      </c>
      <c r="R184" s="1">
        <f>[11]VUL!M108</f>
        <v>0</v>
      </c>
      <c r="S184" s="1">
        <f>[11]VUL!N108</f>
        <v>0</v>
      </c>
      <c r="T184" s="1">
        <f>[11]VUL!O108</f>
        <v>0</v>
      </c>
      <c r="U184" s="1">
        <f>[11]VUL!P108</f>
        <v>0</v>
      </c>
      <c r="V184"/>
      <c r="W184"/>
    </row>
    <row r="185" spans="1:49">
      <c r="A185" s="24" t="s">
        <v>152</v>
      </c>
      <c r="B185" s="25" t="s">
        <v>161</v>
      </c>
      <c r="C185" t="s">
        <v>160</v>
      </c>
      <c r="M185" s="1">
        <f>[11]VUL!H109</f>
        <v>383941</v>
      </c>
      <c r="N185" s="1">
        <f>[11]VUL!I109</f>
        <v>414526</v>
      </c>
      <c r="O185" s="1">
        <f>[11]VUL!J109</f>
        <v>444111</v>
      </c>
      <c r="P185" s="1">
        <f>[11]VUL!K109</f>
        <v>461195</v>
      </c>
      <c r="Q185" s="1">
        <f>[11]VUL!L109</f>
        <v>478840</v>
      </c>
      <c r="R185" s="1">
        <f>[11]VUL!M109</f>
        <v>398126</v>
      </c>
      <c r="S185" s="1">
        <f>[11]VUL!N109</f>
        <v>422839</v>
      </c>
      <c r="T185" s="1">
        <f>[11]VUL!O109</f>
        <v>333634</v>
      </c>
      <c r="U185" s="1">
        <f>[11]VUL!P109</f>
        <v>328370.5636658133</v>
      </c>
      <c r="V185"/>
      <c r="W185"/>
    </row>
    <row r="186" spans="1:49">
      <c r="A186" s="24" t="s">
        <v>153</v>
      </c>
      <c r="B186" s="25" t="s">
        <v>161</v>
      </c>
      <c r="C186" t="s">
        <v>160</v>
      </c>
      <c r="M186" s="1">
        <f>[11]VUL!H110</f>
        <v>8</v>
      </c>
      <c r="N186" s="1">
        <f>[11]VUL!I110</f>
        <v>9</v>
      </c>
      <c r="O186" s="1">
        <f>[11]VUL!J110</f>
        <v>7</v>
      </c>
      <c r="P186" s="1">
        <f>[11]VUL!K110</f>
        <v>21</v>
      </c>
      <c r="Q186" s="1">
        <f>[11]VUL!L110</f>
        <v>169</v>
      </c>
      <c r="R186" s="1">
        <f>[11]VUL!M110</f>
        <v>474</v>
      </c>
      <c r="S186" s="1">
        <f>[11]VUL!N110</f>
        <v>832</v>
      </c>
      <c r="T186" s="1">
        <f>[11]VUL!O110</f>
        <v>561</v>
      </c>
      <c r="U186" s="1">
        <f>[11]VUL!P110</f>
        <v>756.61085972850674</v>
      </c>
      <c r="V186"/>
      <c r="W186"/>
    </row>
    <row r="187" spans="1:49">
      <c r="A187" s="24" t="s">
        <v>154</v>
      </c>
      <c r="B187" s="25" t="s">
        <v>161</v>
      </c>
      <c r="C187" t="s">
        <v>160</v>
      </c>
      <c r="M187" s="1">
        <f>[11]VUL!H111</f>
        <v>4965</v>
      </c>
      <c r="N187" s="1">
        <f>[11]VUL!I111</f>
        <v>5954</v>
      </c>
      <c r="O187" s="1">
        <f>[11]VUL!J111</f>
        <v>6109</v>
      </c>
      <c r="P187" s="1">
        <f>[11]VUL!K111</f>
        <v>8248</v>
      </c>
      <c r="Q187" s="1">
        <f>[11]VUL!L111</f>
        <v>7989</v>
      </c>
      <c r="R187" s="1">
        <f>[11]VUL!M111</f>
        <v>8958</v>
      </c>
      <c r="S187" s="1">
        <f>[11]VUL!N111</f>
        <v>12417</v>
      </c>
      <c r="T187" s="1">
        <f>[11]VUL!O111</f>
        <v>16510</v>
      </c>
      <c r="U187" s="1">
        <f>[11]VUL!P111</f>
        <v>34060</v>
      </c>
      <c r="V187"/>
      <c r="W187"/>
    </row>
    <row r="188" spans="1:49">
      <c r="A188" s="24" t="s">
        <v>155</v>
      </c>
      <c r="B188" s="25" t="s">
        <v>161</v>
      </c>
      <c r="C188" t="s">
        <v>160</v>
      </c>
      <c r="M188" s="1">
        <f>[11]VUL!H112</f>
        <v>0</v>
      </c>
      <c r="N188" s="1">
        <f>[11]VUL!I112</f>
        <v>0</v>
      </c>
      <c r="O188" s="1">
        <f>[11]VUL!J112</f>
        <v>0</v>
      </c>
      <c r="P188" s="1">
        <f>[11]VUL!K112</f>
        <v>0</v>
      </c>
      <c r="Q188" s="1">
        <f>[11]VUL!L112</f>
        <v>0</v>
      </c>
      <c r="R188" s="1">
        <f>[11]VUL!M112</f>
        <v>0</v>
      </c>
      <c r="S188" s="1">
        <f>[11]VUL!N112</f>
        <v>0</v>
      </c>
      <c r="T188" s="1">
        <f>[11]VUL!O112</f>
        <v>0</v>
      </c>
      <c r="U188" s="1">
        <f>[11]VUL!P112</f>
        <v>0</v>
      </c>
      <c r="V188"/>
      <c r="W188"/>
    </row>
    <row r="189" spans="1:49">
      <c r="A189" s="24" t="s">
        <v>156</v>
      </c>
      <c r="B189" s="25" t="s">
        <v>161</v>
      </c>
      <c r="C189" t="s">
        <v>160</v>
      </c>
      <c r="M189" s="1">
        <f>[11]VUL!H113</f>
        <v>666</v>
      </c>
      <c r="N189" s="1">
        <f>[11]VUL!I113</f>
        <v>856</v>
      </c>
      <c r="O189" s="1">
        <f>[11]VUL!J113</f>
        <v>1009</v>
      </c>
      <c r="P189" s="1">
        <f>[11]VUL!K113</f>
        <v>935</v>
      </c>
      <c r="Q189" s="1">
        <f>[11]VUL!L113</f>
        <v>1303</v>
      </c>
      <c r="R189" s="1">
        <f>[11]VUL!M113</f>
        <v>1696</v>
      </c>
      <c r="S189" s="1">
        <f>[11]VUL!N113</f>
        <v>2588</v>
      </c>
      <c r="T189" s="1">
        <f>[11]VUL!O113</f>
        <v>904</v>
      </c>
      <c r="U189" s="1">
        <f>[11]VUL!P113</f>
        <v>1031.6235294117646</v>
      </c>
      <c r="V189"/>
      <c r="W189"/>
    </row>
    <row r="190" spans="1:49">
      <c r="A190" s="24" t="s">
        <v>86</v>
      </c>
      <c r="B190" s="25" t="s">
        <v>161</v>
      </c>
      <c r="C190" t="s">
        <v>160</v>
      </c>
      <c r="M190" s="1">
        <f>[11]VUL!H114</f>
        <v>389580</v>
      </c>
      <c r="N190" s="1">
        <f>[11]VUL!I114</f>
        <v>421345</v>
      </c>
      <c r="O190" s="1">
        <f>[11]VUL!J114</f>
        <v>451236</v>
      </c>
      <c r="P190" s="1">
        <f>[11]VUL!K114</f>
        <v>470399</v>
      </c>
      <c r="Q190" s="1">
        <f>[11]VUL!L114</f>
        <v>488301</v>
      </c>
      <c r="R190" s="1">
        <f>[11]VUL!M114</f>
        <v>409254</v>
      </c>
      <c r="S190" s="1">
        <f>[11]VUL!N114</f>
        <v>438676</v>
      </c>
      <c r="T190" s="1">
        <f>[11]VUL!O114</f>
        <v>351609</v>
      </c>
      <c r="U190" s="1">
        <f>[11]VUL!P114</f>
        <v>364218.79805495357</v>
      </c>
      <c r="V190"/>
      <c r="W190"/>
    </row>
    <row r="192" spans="1:49" s="13" customFormat="1">
      <c r="A192" s="39" t="s">
        <v>235</v>
      </c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36"/>
    </row>
    <row r="193" spans="1:50" s="13" customFormat="1">
      <c r="A193" s="13" t="s">
        <v>234</v>
      </c>
      <c r="R193" s="4">
        <f>R56*$R$127/100</f>
        <v>11.844308724452139</v>
      </c>
      <c r="S193" s="14"/>
      <c r="T193" s="14"/>
      <c r="U193" s="14"/>
      <c r="V193" s="14"/>
      <c r="W193" s="14"/>
      <c r="X193" s="14"/>
      <c r="Y193" s="14"/>
      <c r="Z193" s="14"/>
      <c r="AA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V193" s="14"/>
      <c r="AW193" s="37"/>
      <c r="AX193" s="38"/>
    </row>
    <row r="194" spans="1:50" s="13" customFormat="1">
      <c r="A194" s="13" t="s">
        <v>197</v>
      </c>
      <c r="R194" s="4">
        <f>R57*$R$127/100</f>
        <v>5.1382422974633748</v>
      </c>
      <c r="S194" s="14"/>
      <c r="T194" s="14"/>
      <c r="U194" s="14"/>
      <c r="V194" s="14"/>
      <c r="W194" s="14"/>
      <c r="X194" s="14"/>
      <c r="Y194" s="14"/>
      <c r="Z194" s="14"/>
      <c r="AA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V194" s="14"/>
      <c r="AX194" s="38"/>
    </row>
    <row r="195" spans="1:50" s="13" customFormat="1">
      <c r="A195" s="13" t="s">
        <v>198</v>
      </c>
      <c r="R195" s="4">
        <f>R58*$R$127/100</f>
        <v>13.709016543878361</v>
      </c>
      <c r="S195" s="14"/>
      <c r="T195" s="14"/>
      <c r="U195" s="14"/>
      <c r="V195" s="14"/>
      <c r="W195" s="14"/>
      <c r="X195" s="14"/>
      <c r="Y195" s="14"/>
      <c r="Z195" s="14"/>
      <c r="AA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V195" s="14"/>
      <c r="AX195" s="38"/>
    </row>
    <row r="196" spans="1:50" s="13" customFormat="1">
      <c r="A196" s="16"/>
      <c r="B196" s="16"/>
      <c r="C196" s="16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27"/>
    </row>
    <row r="197" spans="1:50" s="13" customFormat="1">
      <c r="A197" s="13" t="s">
        <v>199</v>
      </c>
      <c r="R197" s="34">
        <f>R62*R133/100</f>
        <v>0.86246379601640011</v>
      </c>
      <c r="S197" s="14"/>
      <c r="T197" s="14"/>
      <c r="U197" s="14"/>
      <c r="V197" s="14"/>
      <c r="W197" s="14"/>
      <c r="X197" s="14"/>
      <c r="Y197" s="14"/>
      <c r="Z197" s="14"/>
      <c r="AA197" s="14"/>
      <c r="AB197" s="3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V197" s="34"/>
      <c r="AW197" s="37"/>
      <c r="AX197" s="38"/>
    </row>
    <row r="198" spans="1:50" s="13" customFormat="1">
      <c r="A198" s="13" t="s">
        <v>200</v>
      </c>
      <c r="R198" s="34">
        <f>R63*$R$133/100</f>
        <v>0.38646433231675353</v>
      </c>
      <c r="S198" s="14"/>
      <c r="T198" s="14"/>
      <c r="U198" s="14"/>
      <c r="V198" s="14"/>
      <c r="W198" s="14"/>
      <c r="X198" s="14"/>
      <c r="Y198" s="14"/>
      <c r="Z198" s="14"/>
      <c r="AA198" s="14"/>
      <c r="AB198" s="3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V198" s="34"/>
      <c r="AX198" s="38"/>
    </row>
    <row r="199" spans="1:50" s="13" customFormat="1">
      <c r="A199" s="13" t="s">
        <v>201</v>
      </c>
      <c r="R199" s="34">
        <f>R64*$R$133/100</f>
        <v>1.0052729218539254</v>
      </c>
      <c r="S199" s="14"/>
      <c r="T199" s="14"/>
      <c r="U199" s="14"/>
      <c r="V199" s="14"/>
      <c r="W199" s="14"/>
      <c r="X199" s="14"/>
      <c r="Y199" s="14"/>
      <c r="Z199" s="14"/>
      <c r="AA199" s="14"/>
      <c r="AB199" s="3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V199" s="34"/>
      <c r="AX199" s="38"/>
    </row>
    <row r="200" spans="1:50" s="13" customFormat="1">
      <c r="A200" s="16"/>
      <c r="B200" s="16"/>
      <c r="C200" s="16"/>
      <c r="D200" s="63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27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B455-B26D-4937-837A-510B809485AC}">
  <dimension ref="A1:CS78"/>
  <sheetViews>
    <sheetView zoomScale="98" zoomScaleNormal="98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baseColWidth="10" defaultRowHeight="15"/>
  <cols>
    <col min="1" max="1" width="26" customWidth="1"/>
    <col min="4" max="4" width="17.7109375" customWidth="1"/>
    <col min="5" max="5" width="14.42578125" bestFit="1" customWidth="1"/>
    <col min="6" max="12" width="13.28515625" bestFit="1" customWidth="1"/>
  </cols>
  <sheetData>
    <row r="1" spans="1:97">
      <c r="D1">
        <v>2006</v>
      </c>
      <c r="E1">
        <f t="shared" ref="E1:AV1" si="0">D1+1</f>
        <v>2007</v>
      </c>
      <c r="F1">
        <f t="shared" si="0"/>
        <v>2008</v>
      </c>
      <c r="G1">
        <f t="shared" si="0"/>
        <v>2009</v>
      </c>
      <c r="H1">
        <f t="shared" si="0"/>
        <v>2010</v>
      </c>
      <c r="I1">
        <f t="shared" si="0"/>
        <v>2011</v>
      </c>
      <c r="J1">
        <f t="shared" si="0"/>
        <v>2012</v>
      </c>
      <c r="K1">
        <f t="shared" si="0"/>
        <v>2013</v>
      </c>
      <c r="L1">
        <f t="shared" si="0"/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 s="6">
        <f t="shared" si="0"/>
        <v>2020</v>
      </c>
      <c r="S1" s="6">
        <f t="shared" si="0"/>
        <v>2021</v>
      </c>
      <c r="T1" s="6">
        <f t="shared" si="0"/>
        <v>2022</v>
      </c>
      <c r="U1" s="6">
        <f t="shared" si="0"/>
        <v>2023</v>
      </c>
      <c r="V1" s="6">
        <f t="shared" si="0"/>
        <v>2024</v>
      </c>
      <c r="W1" s="6">
        <f t="shared" si="0"/>
        <v>2025</v>
      </c>
      <c r="X1" s="6">
        <f t="shared" si="0"/>
        <v>2026</v>
      </c>
      <c r="Y1" s="6">
        <f t="shared" si="0"/>
        <v>2027</v>
      </c>
      <c r="Z1" s="6">
        <f t="shared" si="0"/>
        <v>2028</v>
      </c>
      <c r="AA1" s="6">
        <f t="shared" si="0"/>
        <v>2029</v>
      </c>
      <c r="AB1" s="6">
        <f t="shared" si="0"/>
        <v>2030</v>
      </c>
      <c r="AC1" s="6">
        <f t="shared" si="0"/>
        <v>2031</v>
      </c>
      <c r="AD1" s="6">
        <f t="shared" si="0"/>
        <v>2032</v>
      </c>
      <c r="AE1" s="6">
        <f t="shared" si="0"/>
        <v>2033</v>
      </c>
      <c r="AF1" s="6">
        <f t="shared" si="0"/>
        <v>2034</v>
      </c>
      <c r="AG1" s="6">
        <f t="shared" si="0"/>
        <v>2035</v>
      </c>
      <c r="AH1" s="6">
        <f t="shared" si="0"/>
        <v>2036</v>
      </c>
      <c r="AI1" s="6">
        <f t="shared" si="0"/>
        <v>2037</v>
      </c>
      <c r="AJ1" s="6">
        <f t="shared" si="0"/>
        <v>2038</v>
      </c>
      <c r="AK1" s="6">
        <f t="shared" si="0"/>
        <v>2039</v>
      </c>
      <c r="AL1" s="6">
        <f t="shared" si="0"/>
        <v>2040</v>
      </c>
      <c r="AM1" s="6">
        <f t="shared" si="0"/>
        <v>2041</v>
      </c>
      <c r="AN1" s="6">
        <f t="shared" si="0"/>
        <v>2042</v>
      </c>
      <c r="AO1" s="6">
        <f t="shared" si="0"/>
        <v>2043</v>
      </c>
      <c r="AP1" s="6">
        <f t="shared" si="0"/>
        <v>2044</v>
      </c>
      <c r="AQ1" s="6">
        <f t="shared" si="0"/>
        <v>2045</v>
      </c>
      <c r="AR1" s="6">
        <f t="shared" si="0"/>
        <v>2046</v>
      </c>
      <c r="AS1" s="6">
        <f t="shared" si="0"/>
        <v>2047</v>
      </c>
      <c r="AT1" s="6">
        <f t="shared" si="0"/>
        <v>2048</v>
      </c>
      <c r="AU1" s="6">
        <f t="shared" si="0"/>
        <v>2049</v>
      </c>
      <c r="AV1" s="6">
        <f t="shared" si="0"/>
        <v>2050</v>
      </c>
    </row>
    <row r="2" spans="1:97" s="13" customFormat="1">
      <c r="A2" s="13" t="s">
        <v>265</v>
      </c>
      <c r="B2" s="16"/>
      <c r="C2" s="13">
        <f>D2/(1+[7]BaselineHypotheses!$B$3)</f>
        <v>5038126.1865976891</v>
      </c>
      <c r="D2" s="14">
        <f>'[6]G1-d '!S15*1000</f>
        <v>5119014.9321516044</v>
      </c>
      <c r="E2" s="14">
        <f>'[6]G1-d '!T15*1000</f>
        <v>5155969.4954204606</v>
      </c>
      <c r="F2" s="14">
        <f>'[6]G1-d '!U15*1000</f>
        <v>5182363.9017413678</v>
      </c>
      <c r="G2" s="14">
        <f>'[6]G1-d '!V15*1000</f>
        <v>5221075.2222444778</v>
      </c>
      <c r="H2" s="14">
        <f>'[6]G1-d '!W15*1000</f>
        <v>5280511.5720432233</v>
      </c>
      <c r="I2" s="14">
        <f>'[6]G1-d '!X15*1000</f>
        <v>5295604.5870985314</v>
      </c>
      <c r="J2" s="14">
        <f>'[6]G1-d '!Y15*1000</f>
        <v>5430334.3558111852</v>
      </c>
      <c r="K2" s="14">
        <f>'[6]G1-d '!Z15*1000</f>
        <v>5585353.5423109494</v>
      </c>
      <c r="L2" s="14">
        <f>'[6]G1-d '!AA15*1000</f>
        <v>5676203.0174640641</v>
      </c>
      <c r="M2" s="14">
        <f>'[6]G1-d '!AB15*1000</f>
        <v>5770728.5637053633</v>
      </c>
      <c r="N2" s="14">
        <f>'[6]G1-d '!AC15*1000</f>
        <v>5905825.1667411774</v>
      </c>
      <c r="O2" s="14">
        <f>'[6]G1-d '!AD15*1000</f>
        <v>6016343.076448299</v>
      </c>
      <c r="P2" s="14">
        <f>'[6]G1-d '!AE15*1000</f>
        <v>5930384.2213218138</v>
      </c>
      <c r="Q2" s="14">
        <f>'[6]G1-d '!AF15*1000</f>
        <v>5856940.3529663747</v>
      </c>
      <c r="R2" s="14">
        <f>'[6]G1-d '!AG15*1000</f>
        <v>5976665.6523813149</v>
      </c>
      <c r="S2" s="27">
        <f>SUM(D4:D6)-D2</f>
        <v>0</v>
      </c>
      <c r="T2" s="27">
        <f>SUM(R4:R6)-R2</f>
        <v>0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27"/>
      <c r="CS2" s="13" t="s">
        <v>390</v>
      </c>
    </row>
    <row r="3" spans="1:97">
      <c r="A3" s="62" t="s">
        <v>204</v>
      </c>
      <c r="C3" s="13">
        <f>D3/(1+[7]BaselineHypotheses!$B$3)</f>
        <v>570349.60587851354</v>
      </c>
      <c r="D3" s="40">
        <f>'[6]G1-d '!R25*1000</f>
        <v>579506.75328570034</v>
      </c>
      <c r="E3" s="40">
        <f>'[6]G1-d '!S25*1000</f>
        <v>583785.28697904013</v>
      </c>
      <c r="F3" s="40">
        <f>'[6]G1-d '!T25*1000</f>
        <v>583081.98683063604</v>
      </c>
      <c r="G3" s="40">
        <f>'[6]G1-d '!U25*1000</f>
        <v>572576.145548773</v>
      </c>
      <c r="H3" s="40">
        <f>'[6]G1-d '!V25*1000</f>
        <v>573476.27406476624</v>
      </c>
      <c r="I3" s="40">
        <f>'[6]G1-d '!W25*1000</f>
        <v>581280.1671232878</v>
      </c>
      <c r="J3" s="40">
        <f>'[6]G1-d '!X25*1000</f>
        <v>582337.9699275645</v>
      </c>
      <c r="K3" s="40">
        <f>'[6]G1-d '!Y25*1000</f>
        <v>572564.13397912378</v>
      </c>
      <c r="L3" s="40">
        <f>'[6]G1-d '!Z25*1000</f>
        <v>572405.54217067198</v>
      </c>
      <c r="M3" s="40">
        <f>'[6]G1-d '!AA25*1000</f>
        <v>569389.79137312679</v>
      </c>
      <c r="N3" s="40">
        <f>'[6]G1-d '!AB25*1000</f>
        <v>572034.46982802311</v>
      </c>
      <c r="O3" s="40">
        <f>'[6]G1-d '!AC25*1000</f>
        <v>577366.29584955715</v>
      </c>
      <c r="P3" s="40">
        <f>'[6]G1-d '!AD25*1000</f>
        <v>585921.87077611429</v>
      </c>
      <c r="Q3" s="40">
        <f>'[6]G1-d '!AE25*1000</f>
        <v>591109.37499721197</v>
      </c>
      <c r="R3" s="40">
        <f>'[6]G1-d '!AF25*1000</f>
        <v>590372.40183981822</v>
      </c>
      <c r="S3" s="27">
        <f>SUM(Q7:Q9)-Q3</f>
        <v>0</v>
      </c>
      <c r="T3" s="27">
        <f>SUM(R7:R9)-R3</f>
        <v>0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97">
      <c r="A4" s="62" t="s">
        <v>259</v>
      </c>
      <c r="C4" s="13">
        <f>D4/(1+[7]BaselineHypotheses!$B$3)</f>
        <v>5036157.7898442615</v>
      </c>
      <c r="D4" s="35">
        <f>D2-D5-D6</f>
        <v>5117014.9321516044</v>
      </c>
      <c r="E4" s="49">
        <f>E$2*E47</f>
        <v>5151193.0765699698</v>
      </c>
      <c r="F4" s="49">
        <f t="shared" ref="F4:L4" si="1">F$2*F47</f>
        <v>5174788.3993771626</v>
      </c>
      <c r="G4" s="49">
        <f t="shared" si="1"/>
        <v>5210649.2721677059</v>
      </c>
      <c r="H4" s="49">
        <f t="shared" si="1"/>
        <v>5267142.7827658895</v>
      </c>
      <c r="I4" s="49">
        <f t="shared" si="1"/>
        <v>5279366.8812222192</v>
      </c>
      <c r="J4" s="49">
        <f t="shared" si="1"/>
        <v>5410782.3653116683</v>
      </c>
      <c r="K4" s="49">
        <f t="shared" si="1"/>
        <v>5562261.0149648217</v>
      </c>
      <c r="L4" s="49">
        <f t="shared" si="1"/>
        <v>5649705.6003684308</v>
      </c>
      <c r="M4" s="40">
        <f>M2*('sorties PL'!N$98+'sorties PL'!N$99)/'sorties PL'!N$104</f>
        <v>5740711.8158933623</v>
      </c>
      <c r="N4" s="40">
        <f>N2*('sorties PL'!O$98+'sorties PL'!O$99)/'sorties PL'!O$104</f>
        <v>5871163.8289971836</v>
      </c>
      <c r="O4" s="40">
        <f>O2*('sorties PL'!P$98+'sorties PL'!P$99)/'sorties PL'!P$104</f>
        <v>5975245.1953838896</v>
      </c>
      <c r="P4" s="40">
        <f>P2*('sorties PL'!Q$98+'sorties PL'!Q$99)/'sorties PL'!Q$104</f>
        <v>5883411.2395094475</v>
      </c>
      <c r="Q4" s="40">
        <f>Q2*('sorties PL'!R$98+'sorties PL'!R$99)/'sorties PL'!R$104</f>
        <v>5802533.3965891814</v>
      </c>
      <c r="R4" s="40">
        <f>R2*('sorties PL'!S$98+'sorties PL'!S$99)/'sorties PL'!S$104</f>
        <v>5909622.6819785256</v>
      </c>
      <c r="S4" s="27">
        <f>D47*D$2-D4</f>
        <v>0</v>
      </c>
      <c r="T4" s="27">
        <f>R47*R$2-R4</f>
        <v>0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97">
      <c r="A5" s="62" t="s">
        <v>260</v>
      </c>
      <c r="C5" s="13">
        <f>D5/(1+[7]BaselineHypotheses!$B$3)</f>
        <v>984.1983767138737</v>
      </c>
      <c r="D5" s="35">
        <v>1000</v>
      </c>
      <c r="E5" s="49">
        <f t="shared" ref="E5:E6" si="2">E$2*E48</f>
        <v>1410.309612595873</v>
      </c>
      <c r="F5" s="49">
        <f t="shared" ref="F5:L5" si="3">F$2*F48</f>
        <v>1984.8265267328065</v>
      </c>
      <c r="G5" s="49">
        <f t="shared" si="3"/>
        <v>2799.9167812868659</v>
      </c>
      <c r="H5" s="49">
        <f t="shared" si="3"/>
        <v>3965.0776347747465</v>
      </c>
      <c r="I5" s="49">
        <f t="shared" si="3"/>
        <v>5567.7761872309266</v>
      </c>
      <c r="J5" s="49">
        <f t="shared" si="3"/>
        <v>7994.3528591281029</v>
      </c>
      <c r="K5" s="49">
        <f t="shared" si="3"/>
        <v>11513.249978457396</v>
      </c>
      <c r="L5" s="49">
        <f t="shared" si="3"/>
        <v>16383.085937021175</v>
      </c>
      <c r="M5" s="40">
        <f>M2*('sorties PL'!N$100+'sorties PL'!N$101)/'sorties PL'!N$104</f>
        <v>23321.633133533149</v>
      </c>
      <c r="N5" s="40">
        <f>N2*('sorties PL'!O$100+'sorties PL'!O$101)/'sorties PL'!O$104</f>
        <v>27826.681019217198</v>
      </c>
      <c r="O5" s="40">
        <f>O2*('sorties PL'!P$100+'sorties PL'!P$101)/'sorties PL'!P$104</f>
        <v>34019.323256947973</v>
      </c>
      <c r="P5" s="40">
        <f>P2*('sorties PL'!Q$100+'sorties PL'!Q$101)/'sorties PL'!Q$104</f>
        <v>39439.140837515595</v>
      </c>
      <c r="Q5" s="40">
        <f>Q2*('sorties PL'!R$100+'sorties PL'!R$101)/'sorties PL'!R$104</f>
        <v>46312.84821397192</v>
      </c>
      <c r="R5" s="40">
        <f>R2*('sorties PL'!S$100+'sorties PL'!S$101)/'sorties PL'!S$104</f>
        <v>57741.556091595179</v>
      </c>
      <c r="S5" s="27">
        <f>D48*D$2-D5</f>
        <v>0</v>
      </c>
      <c r="T5" s="27">
        <f>R48*R$2-R5</f>
        <v>0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97">
      <c r="A6" s="62" t="s">
        <v>261</v>
      </c>
      <c r="C6" s="13">
        <f>D6/(1+[7]BaselineHypotheses!$B$3)</f>
        <v>984.1983767138737</v>
      </c>
      <c r="D6" s="35">
        <v>1000</v>
      </c>
      <c r="E6" s="49">
        <f t="shared" si="2"/>
        <v>3366.109237895254</v>
      </c>
      <c r="F6" s="49">
        <f t="shared" ref="F6:L6" si="4">F$2*F49</f>
        <v>5590.6758374725387</v>
      </c>
      <c r="G6" s="49">
        <f t="shared" si="4"/>
        <v>7626.033295485312</v>
      </c>
      <c r="H6" s="49">
        <f t="shared" si="4"/>
        <v>9403.7116425592922</v>
      </c>
      <c r="I6" s="49">
        <f t="shared" si="4"/>
        <v>10669.929689081091</v>
      </c>
      <c r="J6" s="49">
        <f t="shared" si="4"/>
        <v>11557.637640388801</v>
      </c>
      <c r="K6" s="49">
        <f t="shared" si="4"/>
        <v>11579.277367670507</v>
      </c>
      <c r="L6" s="49">
        <f t="shared" si="4"/>
        <v>10114.3311586122</v>
      </c>
      <c r="M6" s="40">
        <f t="shared" ref="M6:Q6" si="5">M2-M4-M5</f>
        <v>6695.1146784678858</v>
      </c>
      <c r="N6" s="40">
        <f t="shared" si="5"/>
        <v>6834.6567247766507</v>
      </c>
      <c r="O6" s="40">
        <f t="shared" si="5"/>
        <v>7078.5578074614168</v>
      </c>
      <c r="P6" s="40">
        <f t="shared" si="5"/>
        <v>7533.8409748506892</v>
      </c>
      <c r="Q6" s="40">
        <f t="shared" si="5"/>
        <v>8094.1081632214118</v>
      </c>
      <c r="R6" s="40">
        <f>R2-R4-R5</f>
        <v>9301.414311194123</v>
      </c>
      <c r="S6" s="27">
        <f>C49*C$2-C6</f>
        <v>0</v>
      </c>
      <c r="T6" s="27">
        <f>R49*R$2-R6</f>
        <v>0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97">
      <c r="A7" s="25" t="s">
        <v>256</v>
      </c>
      <c r="C7" s="13">
        <f>D7/(1+[7]BaselineHypotheses!$B$3)</f>
        <v>568381.20912508585</v>
      </c>
      <c r="D7" s="35">
        <f>D3-D8-D9</f>
        <v>577506.75328570034</v>
      </c>
      <c r="E7" s="49">
        <f t="shared" ref="E7:R7" si="6">E3-E8-E9</f>
        <v>581894.04014178575</v>
      </c>
      <c r="F7" s="49">
        <f t="shared" si="6"/>
        <v>581221.82805298956</v>
      </c>
      <c r="G7" s="49">
        <f t="shared" si="6"/>
        <v>570681.43609055434</v>
      </c>
      <c r="H7" s="49">
        <f t="shared" si="6"/>
        <v>571489.53699193359</v>
      </c>
      <c r="I7" s="49">
        <f t="shared" si="6"/>
        <v>579149.0389288516</v>
      </c>
      <c r="J7" s="49">
        <f>J3-J8-J9</f>
        <v>580012.75235126389</v>
      </c>
      <c r="K7" s="49">
        <f t="shared" si="6"/>
        <v>569995.78040298424</v>
      </c>
      <c r="L7" s="49">
        <f t="shared" si="6"/>
        <v>569543.95073747565</v>
      </c>
      <c r="M7" s="49">
        <f t="shared" si="6"/>
        <v>566182.30518501252</v>
      </c>
      <c r="N7" s="49">
        <f t="shared" si="6"/>
        <v>568424.50551588845</v>
      </c>
      <c r="O7" s="49">
        <f t="shared" si="6"/>
        <v>573292.03718068113</v>
      </c>
      <c r="P7" s="49">
        <f t="shared" si="6"/>
        <v>581314.97508086497</v>
      </c>
      <c r="Q7" s="49">
        <f t="shared" si="6"/>
        <v>585893.6480156891</v>
      </c>
      <c r="R7" s="49">
        <f t="shared" si="6"/>
        <v>584462.40183981822</v>
      </c>
      <c r="S7" s="27">
        <f>C50*C$3-C7</f>
        <v>0</v>
      </c>
      <c r="T7" s="27">
        <f>R$3*R50-R7</f>
        <v>0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97">
      <c r="A8" s="25" t="s">
        <v>257</v>
      </c>
      <c r="C8" s="13">
        <f>D8/(1+[7]BaselineHypotheses!$B$3)</f>
        <v>984.1983767138737</v>
      </c>
      <c r="D8" s="13">
        <v>1000</v>
      </c>
      <c r="E8" s="13">
        <f t="shared" ref="E8:Q8" si="7">D8*($R$8/$D$8)^(1/(2020-2006))</f>
        <v>756.2144986495706</v>
      </c>
      <c r="F8" s="13">
        <f t="shared" si="7"/>
        <v>571.86036796782139</v>
      </c>
      <c r="G8" s="13">
        <f t="shared" si="7"/>
        <v>432.44910146034499</v>
      </c>
      <c r="H8" s="13">
        <f t="shared" si="7"/>
        <v>327.02428045229209</v>
      </c>
      <c r="I8" s="13">
        <f t="shared" si="7"/>
        <v>247.30050228846662</v>
      </c>
      <c r="J8" s="13">
        <f>I8*($R$8/$D$8)^(1/(2020-2006))</f>
        <v>187.01222535385978</v>
      </c>
      <c r="K8" s="13">
        <f t="shared" si="7"/>
        <v>141.4213562373096</v>
      </c>
      <c r="L8" s="13">
        <f t="shared" si="7"/>
        <v>106.9448800053394</v>
      </c>
      <c r="M8" s="13">
        <f t="shared" si="7"/>
        <v>80.873268816376225</v>
      </c>
      <c r="N8" s="13">
        <f t="shared" si="7"/>
        <v>61.1575384321279</v>
      </c>
      <c r="O8" s="13">
        <f t="shared" si="7"/>
        <v>46.248217264093448</v>
      </c>
      <c r="P8" s="13">
        <f t="shared" si="7"/>
        <v>34.973572431802843</v>
      </c>
      <c r="Q8" s="13">
        <f t="shared" si="7"/>
        <v>26.447522542500231</v>
      </c>
      <c r="R8" s="13">
        <f>20</f>
        <v>20</v>
      </c>
      <c r="S8" s="27">
        <f>C51*C$3-C8</f>
        <v>0</v>
      </c>
      <c r="T8" s="27">
        <f>R$3*R51-R8</f>
        <v>0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97">
      <c r="A9" s="25" t="s">
        <v>258</v>
      </c>
      <c r="C9" s="13">
        <f>D9/(1+[7]BaselineHypotheses!$B$3)</f>
        <v>984.1983767138737</v>
      </c>
      <c r="D9" s="49">
        <v>1000</v>
      </c>
      <c r="E9" s="49">
        <f t="shared" ref="E9:Q9" si="8">D9*($R$9/$D$9)^(1/(2020-2006))</f>
        <v>1135.0323386047526</v>
      </c>
      <c r="F9" s="49">
        <f t="shared" si="8"/>
        <v>1288.2984096785735</v>
      </c>
      <c r="G9" s="49">
        <f t="shared" si="8"/>
        <v>1462.2603567582548</v>
      </c>
      <c r="H9" s="49">
        <f t="shared" si="8"/>
        <v>1659.7127923803416</v>
      </c>
      <c r="I9" s="49">
        <f t="shared" si="8"/>
        <v>1883.8276921476831</v>
      </c>
      <c r="J9" s="49">
        <f>I9*($R$9/$D$9)^(1/(2020-2006))</f>
        <v>2138.2053509467787</v>
      </c>
      <c r="K9" s="49">
        <f t="shared" si="8"/>
        <v>2426.9322199023177</v>
      </c>
      <c r="L9" s="49">
        <f t="shared" si="8"/>
        <v>2754.6465531909512</v>
      </c>
      <c r="M9" s="49">
        <f t="shared" si="8"/>
        <v>3126.612919297846</v>
      </c>
      <c r="N9" s="49">
        <f t="shared" si="8"/>
        <v>3548.8067737024667</v>
      </c>
      <c r="O9" s="49">
        <f t="shared" si="8"/>
        <v>4028.0104516118972</v>
      </c>
      <c r="P9" s="49">
        <f t="shared" si="8"/>
        <v>4571.9221228174374</v>
      </c>
      <c r="Q9" s="49">
        <f t="shared" si="8"/>
        <v>5189.2794589802807</v>
      </c>
      <c r="R9" s="40">
        <f>'sorties PL'!R96</f>
        <v>5890.0000000000009</v>
      </c>
      <c r="S9" s="27">
        <f>C52*C$3-C9</f>
        <v>0</v>
      </c>
      <c r="T9" s="27">
        <f>R$3*R52-R9</f>
        <v>0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97">
      <c r="A10" s="25" t="s">
        <v>253</v>
      </c>
      <c r="B10" s="14">
        <f t="shared" ref="B10:C15" si="9">C10</f>
        <v>16.877564253010341</v>
      </c>
      <c r="C10" s="14">
        <f t="shared" si="9"/>
        <v>16.877564253010341</v>
      </c>
      <c r="D10" s="58">
        <f>D22*1000000/D7</f>
        <v>16.877564253010341</v>
      </c>
      <c r="E10" s="14">
        <f t="shared" ref="E10:Q10" si="10">D10+($R10-$D10)/(2020-2006)</f>
        <v>16.518046000970468</v>
      </c>
      <c r="F10" s="14">
        <f t="shared" si="10"/>
        <v>16.158527748930595</v>
      </c>
      <c r="G10" s="14">
        <f t="shared" si="10"/>
        <v>15.799009496890724</v>
      </c>
      <c r="H10" s="14">
        <f t="shared" si="10"/>
        <v>15.439491244850853</v>
      </c>
      <c r="I10" s="14">
        <f t="shared" si="10"/>
        <v>15.079972992810982</v>
      </c>
      <c r="J10" s="14">
        <f t="shared" si="10"/>
        <v>14.72045474077111</v>
      </c>
      <c r="K10" s="14">
        <f t="shared" si="10"/>
        <v>14.360936488731239</v>
      </c>
      <c r="L10" s="14">
        <f t="shared" si="10"/>
        <v>14.001418236691368</v>
      </c>
      <c r="M10" s="14">
        <f t="shared" si="10"/>
        <v>13.641899984651497</v>
      </c>
      <c r="N10" s="14">
        <f t="shared" si="10"/>
        <v>13.282381732611626</v>
      </c>
      <c r="O10" s="14">
        <f t="shared" si="10"/>
        <v>12.922863480571754</v>
      </c>
      <c r="P10" s="14">
        <f t="shared" si="10"/>
        <v>12.563345228531883</v>
      </c>
      <c r="Q10" s="14">
        <f t="shared" si="10"/>
        <v>12.203826976492012</v>
      </c>
      <c r="R10" s="4">
        <f>'sorties PL'!R193</f>
        <v>11.844308724452139</v>
      </c>
      <c r="S10" s="4"/>
      <c r="T10" s="15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97">
      <c r="A11" s="25" t="s">
        <v>254</v>
      </c>
      <c r="B11" s="14">
        <f t="shared" si="9"/>
        <v>5.1382422974633748</v>
      </c>
      <c r="C11" s="14">
        <f t="shared" si="9"/>
        <v>5.1382422974633748</v>
      </c>
      <c r="D11" s="58">
        <f t="shared" ref="D11:Q11" si="11">E11</f>
        <v>5.1382422974633748</v>
      </c>
      <c r="E11" s="14">
        <f t="shared" si="11"/>
        <v>5.1382422974633748</v>
      </c>
      <c r="F11" s="14">
        <f t="shared" si="11"/>
        <v>5.1382422974633748</v>
      </c>
      <c r="G11" s="14">
        <f t="shared" si="11"/>
        <v>5.1382422974633748</v>
      </c>
      <c r="H11" s="14">
        <f t="shared" si="11"/>
        <v>5.1382422974633748</v>
      </c>
      <c r="I11" s="14">
        <f t="shared" si="11"/>
        <v>5.1382422974633748</v>
      </c>
      <c r="J11" s="14">
        <f t="shared" si="11"/>
        <v>5.1382422974633748</v>
      </c>
      <c r="K11" s="14">
        <f t="shared" si="11"/>
        <v>5.1382422974633748</v>
      </c>
      <c r="L11" s="14">
        <f t="shared" si="11"/>
        <v>5.1382422974633748</v>
      </c>
      <c r="M11" s="14">
        <f t="shared" si="11"/>
        <v>5.1382422974633748</v>
      </c>
      <c r="N11" s="14">
        <f t="shared" si="11"/>
        <v>5.1382422974633748</v>
      </c>
      <c r="O11" s="14">
        <f t="shared" si="11"/>
        <v>5.1382422974633748</v>
      </c>
      <c r="P11" s="14">
        <f t="shared" si="11"/>
        <v>5.1382422974633748</v>
      </c>
      <c r="Q11" s="14">
        <f t="shared" si="11"/>
        <v>5.1382422974633748</v>
      </c>
      <c r="R11" s="4">
        <f>'sorties PL'!R194</f>
        <v>5.1382422974633748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97">
      <c r="A12" s="25" t="s">
        <v>255</v>
      </c>
      <c r="B12" s="14">
        <f t="shared" si="9"/>
        <v>13.709016543878361</v>
      </c>
      <c r="C12" s="14">
        <f t="shared" si="9"/>
        <v>13.709016543878361</v>
      </c>
      <c r="D12" s="58">
        <f t="shared" ref="D12:Q12" si="12">E12</f>
        <v>13.709016543878361</v>
      </c>
      <c r="E12" s="14">
        <f t="shared" si="12"/>
        <v>13.709016543878361</v>
      </c>
      <c r="F12" s="14">
        <f t="shared" si="12"/>
        <v>13.709016543878361</v>
      </c>
      <c r="G12" s="14">
        <f t="shared" si="12"/>
        <v>13.709016543878361</v>
      </c>
      <c r="H12" s="14">
        <f t="shared" si="12"/>
        <v>13.709016543878361</v>
      </c>
      <c r="I12" s="14">
        <f t="shared" si="12"/>
        <v>13.709016543878361</v>
      </c>
      <c r="J12" s="14">
        <f t="shared" si="12"/>
        <v>13.709016543878361</v>
      </c>
      <c r="K12" s="14">
        <f t="shared" si="12"/>
        <v>13.709016543878361</v>
      </c>
      <c r="L12" s="14">
        <f t="shared" si="12"/>
        <v>13.709016543878361</v>
      </c>
      <c r="M12" s="14">
        <f t="shared" si="12"/>
        <v>13.709016543878361</v>
      </c>
      <c r="N12" s="14">
        <f t="shared" si="12"/>
        <v>13.709016543878361</v>
      </c>
      <c r="O12" s="14">
        <f t="shared" si="12"/>
        <v>13.709016543878361</v>
      </c>
      <c r="P12" s="14">
        <f t="shared" si="12"/>
        <v>13.709016543878361</v>
      </c>
      <c r="Q12" s="14">
        <f t="shared" si="12"/>
        <v>13.709016543878361</v>
      </c>
      <c r="R12" s="4">
        <f>'sorties PL'!R195</f>
        <v>13.709016543878361</v>
      </c>
      <c r="S12" s="4"/>
      <c r="T12" s="4">
        <f>SUM(M19:M24,M31:M33,'calibration bloc bus'!M12:M14,'calibration bloc bus'!M33:M35)+[12]Feuil1!$M$13+[12]Feuil1!$M$14</f>
        <v>16.386598604413845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97">
      <c r="A13" s="25" t="s">
        <v>262</v>
      </c>
      <c r="B13" s="14">
        <f t="shared" si="9"/>
        <v>0.86246379601640011</v>
      </c>
      <c r="C13" s="14">
        <f t="shared" si="9"/>
        <v>0.86246379601640011</v>
      </c>
      <c r="D13" s="58">
        <f t="shared" ref="D13:Q13" si="13">E13</f>
        <v>0.86246379601640011</v>
      </c>
      <c r="E13" s="14">
        <f t="shared" si="13"/>
        <v>0.86246379601640011</v>
      </c>
      <c r="F13" s="14">
        <f t="shared" si="13"/>
        <v>0.86246379601640011</v>
      </c>
      <c r="G13" s="14">
        <f t="shared" si="13"/>
        <v>0.86246379601640011</v>
      </c>
      <c r="H13" s="14">
        <f t="shared" si="13"/>
        <v>0.86246379601640011</v>
      </c>
      <c r="I13" s="14">
        <f t="shared" si="13"/>
        <v>0.86246379601640011</v>
      </c>
      <c r="J13" s="14">
        <f t="shared" si="13"/>
        <v>0.86246379601640011</v>
      </c>
      <c r="K13" s="14">
        <f t="shared" si="13"/>
        <v>0.86246379601640011</v>
      </c>
      <c r="L13" s="14">
        <f t="shared" si="13"/>
        <v>0.86246379601640011</v>
      </c>
      <c r="M13" s="14">
        <f t="shared" si="13"/>
        <v>0.86246379601640011</v>
      </c>
      <c r="N13" s="14">
        <f t="shared" si="13"/>
        <v>0.86246379601640011</v>
      </c>
      <c r="O13" s="14">
        <f t="shared" si="13"/>
        <v>0.86246379601640011</v>
      </c>
      <c r="P13" s="14">
        <f t="shared" si="13"/>
        <v>0.86246379601640011</v>
      </c>
      <c r="Q13" s="14">
        <f t="shared" si="13"/>
        <v>0.86246379601640011</v>
      </c>
      <c r="R13" s="4">
        <f>'sorties PL'!R197</f>
        <v>0.86246379601640011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97">
      <c r="A14" s="25" t="s">
        <v>263</v>
      </c>
      <c r="B14" s="14">
        <f t="shared" si="9"/>
        <v>0.38646433231675353</v>
      </c>
      <c r="C14" s="14">
        <f t="shared" si="9"/>
        <v>0.38646433231675353</v>
      </c>
      <c r="D14" s="58">
        <f t="shared" ref="D14:Q14" si="14">E14</f>
        <v>0.38646433231675353</v>
      </c>
      <c r="E14" s="14">
        <f t="shared" si="14"/>
        <v>0.38646433231675353</v>
      </c>
      <c r="F14" s="14">
        <f t="shared" si="14"/>
        <v>0.38646433231675353</v>
      </c>
      <c r="G14" s="14">
        <f t="shared" si="14"/>
        <v>0.38646433231675353</v>
      </c>
      <c r="H14" s="14">
        <f t="shared" si="14"/>
        <v>0.38646433231675353</v>
      </c>
      <c r="I14" s="14">
        <f t="shared" si="14"/>
        <v>0.38646433231675353</v>
      </c>
      <c r="J14" s="14">
        <f t="shared" si="14"/>
        <v>0.38646433231675353</v>
      </c>
      <c r="K14" s="14">
        <f t="shared" si="14"/>
        <v>0.38646433231675353</v>
      </c>
      <c r="L14" s="14">
        <f t="shared" si="14"/>
        <v>0.38646433231675353</v>
      </c>
      <c r="M14" s="14">
        <f t="shared" si="14"/>
        <v>0.38646433231675353</v>
      </c>
      <c r="N14" s="14">
        <f t="shared" si="14"/>
        <v>0.38646433231675353</v>
      </c>
      <c r="O14" s="14">
        <f t="shared" si="14"/>
        <v>0.38646433231675353</v>
      </c>
      <c r="P14" s="14">
        <f t="shared" si="14"/>
        <v>0.38646433231675353</v>
      </c>
      <c r="Q14" s="14">
        <f t="shared" si="14"/>
        <v>0.38646433231675353</v>
      </c>
      <c r="R14" s="4">
        <f>'sorties PL'!R198</f>
        <v>0.38646433231675353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97">
      <c r="A15" s="25" t="s">
        <v>264</v>
      </c>
      <c r="B15" s="14">
        <f t="shared" si="9"/>
        <v>1.0052729218539254</v>
      </c>
      <c r="C15" s="14">
        <f t="shared" si="9"/>
        <v>1.0052729218539254</v>
      </c>
      <c r="D15" s="58">
        <f t="shared" ref="D15:Q15" si="15">E15</f>
        <v>1.0052729218539254</v>
      </c>
      <c r="E15" s="14">
        <f t="shared" si="15"/>
        <v>1.0052729218539254</v>
      </c>
      <c r="F15" s="14">
        <f t="shared" si="15"/>
        <v>1.0052729218539254</v>
      </c>
      <c r="G15" s="14">
        <f t="shared" si="15"/>
        <v>1.0052729218539254</v>
      </c>
      <c r="H15" s="14">
        <f t="shared" si="15"/>
        <v>1.0052729218539254</v>
      </c>
      <c r="I15" s="14">
        <f t="shared" si="15"/>
        <v>1.0052729218539254</v>
      </c>
      <c r="J15" s="14">
        <f t="shared" si="15"/>
        <v>1.0052729218539254</v>
      </c>
      <c r="K15" s="14">
        <f t="shared" si="15"/>
        <v>1.0052729218539254</v>
      </c>
      <c r="L15" s="14">
        <f t="shared" si="15"/>
        <v>1.0052729218539254</v>
      </c>
      <c r="M15" s="14">
        <f t="shared" si="15"/>
        <v>1.0052729218539254</v>
      </c>
      <c r="N15" s="14">
        <f t="shared" si="15"/>
        <v>1.0052729218539254</v>
      </c>
      <c r="O15" s="14">
        <f t="shared" si="15"/>
        <v>1.0052729218539254</v>
      </c>
      <c r="P15" s="14">
        <f t="shared" si="15"/>
        <v>1.0052729218539254</v>
      </c>
      <c r="Q15" s="14">
        <f t="shared" si="15"/>
        <v>1.0052729218539254</v>
      </c>
      <c r="R15" s="4">
        <f>'sorties PL'!R199</f>
        <v>1.0052729218539254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97">
      <c r="A16" s="62" t="s">
        <v>205</v>
      </c>
      <c r="D16" s="4">
        <f>D41-D25-D34</f>
        <v>962.05434236222482</v>
      </c>
      <c r="E16" s="4">
        <f t="shared" ref="E16:Q16" si="16">D16*(E$63/D$63)</f>
        <v>985.74903644806773</v>
      </c>
      <c r="F16" s="4">
        <f t="shared" si="16"/>
        <v>957.4096849001495</v>
      </c>
      <c r="G16" s="4">
        <f t="shared" si="16"/>
        <v>886.29032394011278</v>
      </c>
      <c r="H16" s="4">
        <f t="shared" si="16"/>
        <v>912.33404339341132</v>
      </c>
      <c r="I16" s="4">
        <f t="shared" si="16"/>
        <v>923.3066930686615</v>
      </c>
      <c r="J16" s="4">
        <f t="shared" si="16"/>
        <v>898.92360590149576</v>
      </c>
      <c r="K16" s="4">
        <f t="shared" si="16"/>
        <v>894.37927322680366</v>
      </c>
      <c r="L16" s="4">
        <f t="shared" si="16"/>
        <v>906.39503015732396</v>
      </c>
      <c r="M16" s="4">
        <f t="shared" si="16"/>
        <v>923.62572464551749</v>
      </c>
      <c r="N16" s="4">
        <f t="shared" si="16"/>
        <v>943.59365583802094</v>
      </c>
      <c r="O16" s="4">
        <f t="shared" si="16"/>
        <v>991.02917550584823</v>
      </c>
      <c r="P16" s="4">
        <f t="shared" si="16"/>
        <v>984.94298053013767</v>
      </c>
      <c r="Q16" s="4">
        <f t="shared" si="16"/>
        <v>1000.6367214333942</v>
      </c>
      <c r="R16" s="4">
        <f>Q16*(R$63/Q$63)</f>
        <v>1006.2033636600668</v>
      </c>
      <c r="S16" s="27">
        <f>D41-D34-D25-D16</f>
        <v>0</v>
      </c>
      <c r="T16" s="27">
        <f>R41-R34-R25-R16</f>
        <v>0</v>
      </c>
      <c r="U16" s="4">
        <f>D16-D40*D19/D44</f>
        <v>-19.929003366396159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>
      <c r="A17" s="62" t="s">
        <v>206</v>
      </c>
      <c r="D17" s="4">
        <f>D42-D26-D35</f>
        <v>74.876837832850484</v>
      </c>
      <c r="E17" s="4">
        <f t="shared" ref="E17:R17" si="17">D17*(E$63/D$63)</f>
        <v>76.720999527717254</v>
      </c>
      <c r="F17" s="4">
        <f t="shared" si="17"/>
        <v>74.515343426283977</v>
      </c>
      <c r="G17" s="4">
        <f t="shared" si="17"/>
        <v>68.980112594826821</v>
      </c>
      <c r="H17" s="4">
        <f t="shared" si="17"/>
        <v>71.007099296306365</v>
      </c>
      <c r="I17" s="4">
        <f t="shared" si="17"/>
        <v>71.861102312719183</v>
      </c>
      <c r="J17" s="4">
        <f t="shared" si="17"/>
        <v>69.963362878169946</v>
      </c>
      <c r="K17" s="4">
        <f t="shared" si="17"/>
        <v>69.609676765277442</v>
      </c>
      <c r="L17" s="4">
        <f t="shared" si="17"/>
        <v>70.544864980234607</v>
      </c>
      <c r="M17" s="4">
        <f t="shared" si="17"/>
        <v>71.885932589546528</v>
      </c>
      <c r="N17" s="4">
        <f t="shared" si="17"/>
        <v>73.440039753688055</v>
      </c>
      <c r="O17" s="4">
        <f t="shared" si="17"/>
        <v>77.131953564880632</v>
      </c>
      <c r="P17" s="4">
        <f t="shared" si="17"/>
        <v>76.658264071315827</v>
      </c>
      <c r="Q17" s="4">
        <f t="shared" si="17"/>
        <v>77.879710346085076</v>
      </c>
      <c r="R17" s="4">
        <f t="shared" si="17"/>
        <v>78.312962969067499</v>
      </c>
      <c r="S17" s="27">
        <f>D42-D35-D26-D17</f>
        <v>0</v>
      </c>
      <c r="T17" s="27">
        <f>R42-R35-R26-R17</f>
        <v>0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>
      <c r="A18" s="62" t="s">
        <v>207</v>
      </c>
      <c r="D18" s="4">
        <f>D43-D27-D36</f>
        <v>25.735867818559072</v>
      </c>
      <c r="E18" s="4">
        <f t="shared" ref="E18:R18" si="18">D18*(E$63/D$63)</f>
        <v>26.369723400455971</v>
      </c>
      <c r="F18" s="4">
        <f t="shared" si="18"/>
        <v>25.611618818016179</v>
      </c>
      <c r="G18" s="4">
        <f t="shared" si="18"/>
        <v>23.709108333510969</v>
      </c>
      <c r="H18" s="4">
        <f t="shared" si="18"/>
        <v>24.405802576071089</v>
      </c>
      <c r="I18" s="4">
        <f t="shared" si="18"/>
        <v>24.699331381282043</v>
      </c>
      <c r="J18" s="4">
        <f t="shared" si="18"/>
        <v>24.047060630336965</v>
      </c>
      <c r="K18" s="4">
        <f t="shared" si="18"/>
        <v>23.925495413186891</v>
      </c>
      <c r="L18" s="4">
        <f t="shared" si="18"/>
        <v>24.246928328654541</v>
      </c>
      <c r="M18" s="4">
        <f t="shared" si="18"/>
        <v>24.707865779112158</v>
      </c>
      <c r="N18" s="4">
        <f t="shared" si="18"/>
        <v>25.242026912378854</v>
      </c>
      <c r="O18" s="4">
        <f t="shared" si="18"/>
        <v>26.510972137529368</v>
      </c>
      <c r="P18" s="4">
        <f t="shared" si="18"/>
        <v>26.348160638723318</v>
      </c>
      <c r="Q18" s="4">
        <f t="shared" si="18"/>
        <v>26.767983120344478</v>
      </c>
      <c r="R18" s="4">
        <f t="shared" si="18"/>
        <v>26.916896089425922</v>
      </c>
      <c r="S18" s="27">
        <f>D43-D36-D27-D18</f>
        <v>0</v>
      </c>
      <c r="T18" s="27">
        <f>R43-R36-R27-R18</f>
        <v>0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>
      <c r="A19" s="25" t="s">
        <v>208</v>
      </c>
      <c r="D19" s="42">
        <f>D44-D31-D22</f>
        <v>2.3136839099184634</v>
      </c>
      <c r="E19" s="35">
        <f t="shared" ref="E19:R19" si="19">D19*E16/D16</f>
        <v>2.3706682506598038</v>
      </c>
      <c r="F19" s="35">
        <f t="shared" si="19"/>
        <v>2.3025137828644135</v>
      </c>
      <c r="G19" s="35">
        <f t="shared" si="19"/>
        <v>2.131475917443121</v>
      </c>
      <c r="H19" s="35">
        <f t="shared" si="19"/>
        <v>2.1941095255463523</v>
      </c>
      <c r="I19" s="35">
        <f t="shared" si="19"/>
        <v>2.2204981003751532</v>
      </c>
      <c r="J19" s="35">
        <f t="shared" si="19"/>
        <v>2.161858214904349</v>
      </c>
      <c r="K19" s="35">
        <f t="shared" si="19"/>
        <v>2.1509293630424726</v>
      </c>
      <c r="L19" s="35">
        <f t="shared" si="19"/>
        <v>2.1798265492527382</v>
      </c>
      <c r="M19" s="35">
        <f t="shared" si="19"/>
        <v>2.2212653524872481</v>
      </c>
      <c r="N19" s="35">
        <f t="shared" si="19"/>
        <v>2.2692870484353338</v>
      </c>
      <c r="O19" s="35">
        <f t="shared" si="19"/>
        <v>2.3833666734434091</v>
      </c>
      <c r="P19" s="35">
        <f t="shared" si="19"/>
        <v>2.368729733753129</v>
      </c>
      <c r="Q19" s="35">
        <f t="shared" si="19"/>
        <v>2.4064722543316832</v>
      </c>
      <c r="R19" s="35">
        <f t="shared" si="19"/>
        <v>2.419859700326159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>
      <c r="A20" s="25" t="s">
        <v>209</v>
      </c>
      <c r="D20" s="42">
        <f>D45-D32-D23</f>
        <v>7.7808626703553208E-2</v>
      </c>
      <c r="E20" s="35">
        <f t="shared" ref="E20:R20" si="20">D20*E17/D17</f>
        <v>7.9724996211800875E-2</v>
      </c>
      <c r="F20" s="35">
        <f t="shared" si="20"/>
        <v>7.7432978049709875E-2</v>
      </c>
      <c r="G20" s="35">
        <f t="shared" si="20"/>
        <v>7.168101626889474E-2</v>
      </c>
      <c r="H20" s="35">
        <f t="shared" si="20"/>
        <v>7.3787369263402389E-2</v>
      </c>
      <c r="I20" s="35">
        <f t="shared" si="20"/>
        <v>7.4674810611501358E-2</v>
      </c>
      <c r="J20" s="35">
        <f t="shared" si="20"/>
        <v>7.2702765536987402E-2</v>
      </c>
      <c r="K20" s="35">
        <f t="shared" si="20"/>
        <v>7.2335230909126691E-2</v>
      </c>
      <c r="L20" s="35">
        <f t="shared" si="20"/>
        <v>7.3307036247348925E-2</v>
      </c>
      <c r="M20" s="35">
        <f t="shared" si="20"/>
        <v>7.4700613113269906E-2</v>
      </c>
      <c r="N20" s="35">
        <f t="shared" si="20"/>
        <v>7.6315571058768961E-2</v>
      </c>
      <c r="O20" s="35">
        <f t="shared" si="20"/>
        <v>8.0152041079017938E-2</v>
      </c>
      <c r="P20" s="35">
        <f t="shared" si="20"/>
        <v>7.9659804360094844E-2</v>
      </c>
      <c r="Q20" s="35">
        <f t="shared" si="20"/>
        <v>8.092907614002931E-2</v>
      </c>
      <c r="R20" s="35">
        <f t="shared" si="20"/>
        <v>8.1379292690108893E-2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>
      <c r="A21" s="25" t="s">
        <v>210</v>
      </c>
      <c r="D21" s="42">
        <f>D46-D33-D24</f>
        <v>1.0528175103214521E-2</v>
      </c>
      <c r="E21" s="35">
        <f t="shared" ref="E21:R21" si="21">D21*E18/D18</f>
        <v>1.0787476347820235E-2</v>
      </c>
      <c r="F21" s="35">
        <f t="shared" si="21"/>
        <v>1.0477346615776782E-2</v>
      </c>
      <c r="G21" s="35">
        <f t="shared" si="21"/>
        <v>9.6990568119207018E-3</v>
      </c>
      <c r="H21" s="35">
        <f t="shared" si="21"/>
        <v>9.9840644530380107E-3</v>
      </c>
      <c r="I21" s="35">
        <f t="shared" si="21"/>
        <v>1.0104142885243422E-2</v>
      </c>
      <c r="J21" s="35">
        <f t="shared" si="21"/>
        <v>9.8373082586021236E-3</v>
      </c>
      <c r="K21" s="35">
        <f t="shared" si="21"/>
        <v>9.7875776685307329E-3</v>
      </c>
      <c r="L21" s="35">
        <f t="shared" si="21"/>
        <v>9.919071272781365E-3</v>
      </c>
      <c r="M21" s="35">
        <f t="shared" si="21"/>
        <v>1.0107634185221703E-2</v>
      </c>
      <c r="N21" s="35">
        <f t="shared" si="21"/>
        <v>1.0326151858066906E-2</v>
      </c>
      <c r="O21" s="35">
        <f t="shared" si="21"/>
        <v>1.0845259184113182E-2</v>
      </c>
      <c r="P21" s="35">
        <f t="shared" si="21"/>
        <v>1.0778655330676743E-2</v>
      </c>
      <c r="Q21" s="35">
        <f t="shared" si="21"/>
        <v>1.095039869794669E-2</v>
      </c>
      <c r="R21" s="35">
        <f t="shared" si="21"/>
        <v>1.1011316861836947E-2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>
      <c r="A22" s="25" t="s">
        <v>307</v>
      </c>
      <c r="D22" s="4">
        <f>'[9]D2.e'!$R$11</f>
        <v>9.7469073351267994</v>
      </c>
      <c r="E22" s="4">
        <f t="shared" ref="E22:R22" si="22">E7*E10/1000000</f>
        <v>9.6117525227525729</v>
      </c>
      <c r="F22" s="4">
        <f t="shared" si="22"/>
        <v>9.3916890368784003</v>
      </c>
      <c r="G22" s="4">
        <f t="shared" si="22"/>
        <v>9.016201428493904</v>
      </c>
      <c r="H22" s="4">
        <f t="shared" si="22"/>
        <v>8.8235077029108258</v>
      </c>
      <c r="I22" s="4">
        <f t="shared" si="22"/>
        <v>8.7335518658595177</v>
      </c>
      <c r="J22" s="4">
        <f t="shared" si="22"/>
        <v>8.5380514700568622</v>
      </c>
      <c r="K22" s="4">
        <f t="shared" si="22"/>
        <v>8.1856732012120546</v>
      </c>
      <c r="L22" s="4">
        <f t="shared" si="22"/>
        <v>7.9744230584529419</v>
      </c>
      <c r="M22" s="4">
        <f t="shared" si="22"/>
        <v>7.7238023804133711</v>
      </c>
      <c r="N22" s="4">
        <f t="shared" si="22"/>
        <v>7.5500312684330328</v>
      </c>
      <c r="O22" s="4">
        <f t="shared" si="22"/>
        <v>7.4085747309848085</v>
      </c>
      <c r="P22" s="4">
        <f t="shared" si="22"/>
        <v>7.3032607184563156</v>
      </c>
      <c r="Q22" s="4">
        <f t="shared" si="22"/>
        <v>7.1501447070091819</v>
      </c>
      <c r="R22" s="4">
        <f t="shared" si="22"/>
        <v>6.9225531252256109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>
      <c r="A23" s="25" t="s">
        <v>308</v>
      </c>
      <c r="D23" s="61">
        <f>D8*D11/1000000</f>
        <v>5.1382422974633746E-3</v>
      </c>
      <c r="E23" s="30">
        <f t="shared" ref="E23:R23" si="23">E8*E14/1000000</f>
        <v>2.9224993130885481E-4</v>
      </c>
      <c r="F23" s="30">
        <f t="shared" si="23"/>
        <v>2.210036352850971E-4</v>
      </c>
      <c r="G23" s="30">
        <f t="shared" si="23"/>
        <v>1.6712615325685222E-4</v>
      </c>
      <c r="H23" s="30">
        <f t="shared" si="23"/>
        <v>1.2638322019636181E-4</v>
      </c>
      <c r="I23" s="30">
        <f t="shared" si="23"/>
        <v>9.5572823498510037E-5</v>
      </c>
      <c r="J23" s="30">
        <f t="shared" si="23"/>
        <v>7.227355480644966E-5</v>
      </c>
      <c r="K23" s="30">
        <f t="shared" si="23"/>
        <v>5.4654310013581601E-5</v>
      </c>
      <c r="L23" s="30">
        <f t="shared" si="23"/>
        <v>4.1330381645958819E-5</v>
      </c>
      <c r="M23" s="30">
        <f t="shared" si="23"/>
        <v>3.125463383539416E-5</v>
      </c>
      <c r="N23" s="30">
        <f t="shared" si="23"/>
        <v>2.3635207256308503E-5</v>
      </c>
      <c r="O23" s="30">
        <f t="shared" si="23"/>
        <v>1.7873286405808029E-5</v>
      </c>
      <c r="P23" s="30">
        <f t="shared" si="23"/>
        <v>1.3516038318588303E-5</v>
      </c>
      <c r="Q23" s="30">
        <f t="shared" si="23"/>
        <v>1.0221024140819641E-5</v>
      </c>
      <c r="R23" s="30">
        <f t="shared" si="23"/>
        <v>7.7292866463350709E-6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>
      <c r="A24" s="25" t="s">
        <v>309</v>
      </c>
      <c r="D24" s="61">
        <f>D9*D12/1000000</f>
        <v>1.370901654387836E-2</v>
      </c>
      <c r="E24" s="30">
        <f t="shared" ref="E24:R24" si="24">E9*E12/1000000</f>
        <v>1.55601771077695E-2</v>
      </c>
      <c r="F24" s="30">
        <f t="shared" si="24"/>
        <v>1.7661304211735746E-2</v>
      </c>
      <c r="G24" s="30">
        <f t="shared" si="24"/>
        <v>2.0046151422256388E-2</v>
      </c>
      <c r="H24" s="30">
        <f t="shared" si="24"/>
        <v>2.2753030128828653E-2</v>
      </c>
      <c r="I24" s="30">
        <f t="shared" si="24"/>
        <v>2.5825424997468781E-2</v>
      </c>
      <c r="J24" s="30">
        <f t="shared" si="24"/>
        <v>2.9312692530338628E-2</v>
      </c>
      <c r="K24" s="30">
        <f t="shared" si="24"/>
        <v>3.3270853953512314E-2</v>
      </c>
      <c r="L24" s="30">
        <f t="shared" si="24"/>
        <v>3.7763495170232253E-2</v>
      </c>
      <c r="M24" s="30">
        <f t="shared" si="24"/>
        <v>4.2862788236957987E-2</v>
      </c>
      <c r="N24" s="30">
        <f t="shared" si="24"/>
        <v>4.8650650771714703E-2</v>
      </c>
      <c r="O24" s="30">
        <f t="shared" si="24"/>
        <v>5.5220061920062451E-2</v>
      </c>
      <c r="P24" s="30">
        <f t="shared" si="24"/>
        <v>6.2676556019027718E-2</v>
      </c>
      <c r="Q24" s="30">
        <f t="shared" si="24"/>
        <v>7.1139917953968818E-2</v>
      </c>
      <c r="R24" s="30">
        <f t="shared" si="24"/>
        <v>8.0746107443443557E-2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>
      <c r="A25" s="25" t="s">
        <v>211</v>
      </c>
      <c r="D25" s="4">
        <f>D41*D22/D44</f>
        <v>4052.8675875571175</v>
      </c>
      <c r="E25" s="4">
        <f t="shared" ref="E25:R25" si="25">D25*(E19/D19)</f>
        <v>4152.6867489381675</v>
      </c>
      <c r="F25" s="4">
        <f t="shared" si="25"/>
        <v>4033.3009364289396</v>
      </c>
      <c r="G25" s="4">
        <f t="shared" si="25"/>
        <v>3733.6948329161473</v>
      </c>
      <c r="H25" s="4">
        <f t="shared" si="25"/>
        <v>3843.4097853714666</v>
      </c>
      <c r="I25" s="4">
        <f t="shared" si="25"/>
        <v>3889.63450913213</v>
      </c>
      <c r="J25" s="4">
        <f t="shared" si="25"/>
        <v>3786.9153390052743</v>
      </c>
      <c r="K25" s="4">
        <f t="shared" si="25"/>
        <v>3767.771328325884</v>
      </c>
      <c r="L25" s="4">
        <f t="shared" si="25"/>
        <v>3818.3903730714196</v>
      </c>
      <c r="M25" s="4">
        <f t="shared" si="25"/>
        <v>3890.9785005059148</v>
      </c>
      <c r="N25" s="4">
        <f t="shared" si="25"/>
        <v>3975.0978454921442</v>
      </c>
      <c r="O25" s="4">
        <f t="shared" si="25"/>
        <v>4174.9305074274525</v>
      </c>
      <c r="P25" s="4">
        <f t="shared" si="25"/>
        <v>4149.2910593604711</v>
      </c>
      <c r="Q25" s="4">
        <f t="shared" si="25"/>
        <v>4215.404428464084</v>
      </c>
      <c r="R25" s="4">
        <f t="shared" si="25"/>
        <v>4238.8551451841113</v>
      </c>
      <c r="S25" s="27"/>
      <c r="T25" s="27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>
      <c r="A26" s="25" t="s">
        <v>212</v>
      </c>
      <c r="D26" s="4">
        <f>D42*D23/D45</f>
        <v>4.9446359812888074</v>
      </c>
      <c r="E26" s="4">
        <f t="shared" ref="E26:R26" si="26">D26*(E20/D20)</f>
        <v>5.0664187453006724</v>
      </c>
      <c r="F26" s="4">
        <f t="shared" si="26"/>
        <v>4.9207640029644342</v>
      </c>
      <c r="G26" s="4">
        <f t="shared" si="26"/>
        <v>4.5552343902548227</v>
      </c>
      <c r="H26" s="4">
        <f t="shared" si="26"/>
        <v>4.6890903551675445</v>
      </c>
      <c r="I26" s="4">
        <f t="shared" si="26"/>
        <v>4.7454860866821482</v>
      </c>
      <c r="J26" s="4">
        <f t="shared" si="26"/>
        <v>4.6201652135954658</v>
      </c>
      <c r="K26" s="4">
        <f t="shared" si="26"/>
        <v>4.5968088709599177</v>
      </c>
      <c r="L26" s="4">
        <f t="shared" si="26"/>
        <v>4.6585658231869491</v>
      </c>
      <c r="M26" s="4">
        <f t="shared" si="26"/>
        <v>4.7471258017633335</v>
      </c>
      <c r="N26" s="4">
        <f t="shared" si="26"/>
        <v>4.849754257037409</v>
      </c>
      <c r="O26" s="4">
        <f t="shared" si="26"/>
        <v>5.0935568854468958</v>
      </c>
      <c r="P26" s="4">
        <f t="shared" si="26"/>
        <v>5.0622758887911932</v>
      </c>
      <c r="Q26" s="4">
        <f t="shared" si="26"/>
        <v>5.1429364424983035</v>
      </c>
      <c r="R26" s="4">
        <f t="shared" si="26"/>
        <v>5.1715471126413046</v>
      </c>
      <c r="S26" s="50"/>
      <c r="T26" s="50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>
      <c r="A27" s="25" t="s">
        <v>213</v>
      </c>
      <c r="D27" s="4">
        <f>D43*D24/D46</f>
        <v>33.511357309014556</v>
      </c>
      <c r="E27" s="4">
        <f t="shared" ref="E27:R27" si="27">D27*(E21/D21)</f>
        <v>34.336717504249258</v>
      </c>
      <c r="F27" s="4">
        <f t="shared" si="27"/>
        <v>33.349569384012931</v>
      </c>
      <c r="G27" s="4">
        <f t="shared" si="27"/>
        <v>30.872259930922567</v>
      </c>
      <c r="H27" s="4">
        <f t="shared" si="27"/>
        <v>31.779444015880021</v>
      </c>
      <c r="I27" s="4">
        <f t="shared" si="27"/>
        <v>32.161655672438926</v>
      </c>
      <c r="J27" s="4">
        <f t="shared" si="27"/>
        <v>31.312316596280912</v>
      </c>
      <c r="K27" s="4">
        <f t="shared" si="27"/>
        <v>31.154023296945336</v>
      </c>
      <c r="L27" s="4">
        <f t="shared" si="27"/>
        <v>31.572569636903879</v>
      </c>
      <c r="M27" s="4">
        <f t="shared" si="27"/>
        <v>32.172768538619259</v>
      </c>
      <c r="N27" s="4">
        <f t="shared" si="27"/>
        <v>32.868313943331806</v>
      </c>
      <c r="O27" s="4">
        <f t="shared" si="27"/>
        <v>34.520641237883773</v>
      </c>
      <c r="P27" s="4">
        <f t="shared" si="27"/>
        <v>34.308640059257456</v>
      </c>
      <c r="Q27" s="4">
        <f t="shared" si="27"/>
        <v>34.85530206759347</v>
      </c>
      <c r="R27" s="4">
        <f t="shared" si="27"/>
        <v>35.049205601370389</v>
      </c>
      <c r="S27" s="27"/>
      <c r="T27" s="27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>
      <c r="A28" s="25" t="s">
        <v>269</v>
      </c>
      <c r="D28" s="58">
        <f>91.6014445444883/1.27</f>
        <v>72.127121688573467</v>
      </c>
      <c r="E28" s="14">
        <f>D28</f>
        <v>72.127121688573467</v>
      </c>
      <c r="F28" s="14">
        <f t="shared" ref="F28:R28" si="28">E28</f>
        <v>72.127121688573467</v>
      </c>
      <c r="G28" s="14">
        <f t="shared" si="28"/>
        <v>72.127121688573467</v>
      </c>
      <c r="H28" s="14">
        <f t="shared" si="28"/>
        <v>72.127121688573467</v>
      </c>
      <c r="I28" s="14">
        <f t="shared" si="28"/>
        <v>72.127121688573467</v>
      </c>
      <c r="J28" s="14">
        <f t="shared" si="28"/>
        <v>72.127121688573467</v>
      </c>
      <c r="K28" s="14">
        <f t="shared" si="28"/>
        <v>72.127121688573467</v>
      </c>
      <c r="L28" s="14">
        <f t="shared" si="28"/>
        <v>72.127121688573467</v>
      </c>
      <c r="M28" s="14">
        <f t="shared" si="28"/>
        <v>72.127121688573467</v>
      </c>
      <c r="N28" s="14">
        <f t="shared" si="28"/>
        <v>72.127121688573467</v>
      </c>
      <c r="O28" s="14">
        <f t="shared" si="28"/>
        <v>72.127121688573467</v>
      </c>
      <c r="P28" s="14">
        <f t="shared" si="28"/>
        <v>72.127121688573467</v>
      </c>
      <c r="Q28" s="14">
        <f t="shared" si="28"/>
        <v>72.127121688573467</v>
      </c>
      <c r="R28" s="14">
        <f t="shared" si="28"/>
        <v>72.127121688573467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>
      <c r="A29" s="25" t="s">
        <v>270</v>
      </c>
      <c r="D29" s="58">
        <f>351.632496004664/1.27</f>
        <v>276.87598110603466</v>
      </c>
      <c r="E29" s="14">
        <f t="shared" ref="E29:R30" si="29">D29</f>
        <v>276.87598110603466</v>
      </c>
      <c r="F29" s="14">
        <f t="shared" si="29"/>
        <v>276.87598110603466</v>
      </c>
      <c r="G29" s="14">
        <f t="shared" si="29"/>
        <v>276.87598110603466</v>
      </c>
      <c r="H29" s="14">
        <f t="shared" si="29"/>
        <v>276.87598110603466</v>
      </c>
      <c r="I29" s="14">
        <f t="shared" si="29"/>
        <v>276.87598110603466</v>
      </c>
      <c r="J29" s="14">
        <f t="shared" si="29"/>
        <v>276.87598110603466</v>
      </c>
      <c r="K29" s="14">
        <f t="shared" si="29"/>
        <v>276.87598110603466</v>
      </c>
      <c r="L29" s="14">
        <f t="shared" si="29"/>
        <v>276.87598110603466</v>
      </c>
      <c r="M29" s="14">
        <f t="shared" si="29"/>
        <v>276.87598110603466</v>
      </c>
      <c r="N29" s="14">
        <f t="shared" si="29"/>
        <v>276.87598110603466</v>
      </c>
      <c r="O29" s="14">
        <f t="shared" si="29"/>
        <v>276.87598110603466</v>
      </c>
      <c r="P29" s="14">
        <f t="shared" si="29"/>
        <v>276.87598110603466</v>
      </c>
      <c r="Q29" s="14">
        <f t="shared" si="29"/>
        <v>276.87598110603466</v>
      </c>
      <c r="R29" s="14">
        <f t="shared" si="29"/>
        <v>276.87598110603466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>
      <c r="A30" s="25" t="s">
        <v>271</v>
      </c>
      <c r="D30" s="58">
        <f>112.74660148664/1.27</f>
        <v>88.776851564283461</v>
      </c>
      <c r="E30" s="14">
        <f t="shared" si="29"/>
        <v>88.776851564283461</v>
      </c>
      <c r="F30" s="14">
        <f t="shared" si="29"/>
        <v>88.776851564283461</v>
      </c>
      <c r="G30" s="14">
        <f t="shared" si="29"/>
        <v>88.776851564283461</v>
      </c>
      <c r="H30" s="14">
        <f t="shared" si="29"/>
        <v>88.776851564283461</v>
      </c>
      <c r="I30" s="14">
        <f t="shared" si="29"/>
        <v>88.776851564283461</v>
      </c>
      <c r="J30" s="14">
        <f t="shared" si="29"/>
        <v>88.776851564283461</v>
      </c>
      <c r="K30" s="14">
        <f t="shared" si="29"/>
        <v>88.776851564283461</v>
      </c>
      <c r="L30" s="14">
        <f t="shared" si="29"/>
        <v>88.776851564283461</v>
      </c>
      <c r="M30" s="14">
        <f t="shared" si="29"/>
        <v>88.776851564283461</v>
      </c>
      <c r="N30" s="14">
        <f t="shared" si="29"/>
        <v>88.776851564283461</v>
      </c>
      <c r="O30" s="14">
        <f t="shared" si="29"/>
        <v>88.776851564283461</v>
      </c>
      <c r="P30" s="14">
        <f t="shared" si="29"/>
        <v>88.776851564283461</v>
      </c>
      <c r="Q30" s="14">
        <f t="shared" si="29"/>
        <v>88.776851564283461</v>
      </c>
      <c r="R30" s="14">
        <f t="shared" si="29"/>
        <v>88.776851564283461</v>
      </c>
      <c r="S30" s="4"/>
      <c r="T30" s="4"/>
      <c r="U30" s="4">
        <f>SUM(R22:R24,R31:R33)</f>
        <v>12.131808085143376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>
      <c r="A31" s="25" t="s">
        <v>310</v>
      </c>
      <c r="D31" s="15">
        <f t="shared" ref="D31:R31" si="30">D4*D13/1000000</f>
        <v>4.4132401226560747</v>
      </c>
      <c r="E31" s="15">
        <f t="shared" si="30"/>
        <v>4.4427175348319343</v>
      </c>
      <c r="F31" s="15">
        <f t="shared" si="30"/>
        <v>4.4630676465084589</v>
      </c>
      <c r="G31" s="15">
        <f>G4*G13/1000000</f>
        <v>4.4939963509838519</v>
      </c>
      <c r="H31" s="15">
        <f t="shared" si="30"/>
        <v>4.5427199585846543</v>
      </c>
      <c r="I31" s="15">
        <f t="shared" si="30"/>
        <v>4.5532628009421785</v>
      </c>
      <c r="J31" s="15">
        <f t="shared" si="30"/>
        <v>4.666603898205298</v>
      </c>
      <c r="K31" s="15">
        <f t="shared" si="30"/>
        <v>4.7972487494005946</v>
      </c>
      <c r="L31" s="15">
        <f t="shared" si="30"/>
        <v>4.872666538468871</v>
      </c>
      <c r="M31" s="15">
        <f t="shared" si="30"/>
        <v>4.9511561045715906</v>
      </c>
      <c r="N31" s="15">
        <f t="shared" si="30"/>
        <v>5.0636662429910935</v>
      </c>
      <c r="O31" s="15">
        <f t="shared" si="30"/>
        <v>5.1534326533395465</v>
      </c>
      <c r="P31" s="15">
        <f t="shared" si="30"/>
        <v>5.0742291911528712</v>
      </c>
      <c r="Q31" s="15">
        <f t="shared" si="30"/>
        <v>5.0044749797342414</v>
      </c>
      <c r="R31" s="15">
        <f t="shared" si="30"/>
        <v>5.0968356113238187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>
      <c r="A32" s="25" t="s">
        <v>311</v>
      </c>
      <c r="D32" s="15">
        <f t="shared" ref="D32:R32" si="31">D5*D14/1000000</f>
        <v>3.8646433231675353E-4</v>
      </c>
      <c r="E32" s="15">
        <f t="shared" si="31"/>
        <v>5.4503436279176344E-4</v>
      </c>
      <c r="F32" s="15">
        <f t="shared" si="31"/>
        <v>7.6706465841837508E-4</v>
      </c>
      <c r="G32" s="15">
        <f t="shared" si="31"/>
        <v>1.0820679694225023E-3</v>
      </c>
      <c r="H32" s="15">
        <f t="shared" si="31"/>
        <v>1.5323610807073146E-3</v>
      </c>
      <c r="I32" s="15">
        <f t="shared" si="31"/>
        <v>2.1517469066873194E-3</v>
      </c>
      <c r="J32" s="15">
        <f t="shared" si="31"/>
        <v>3.0895322400074721E-3</v>
      </c>
      <c r="K32" s="15">
        <f t="shared" si="31"/>
        <v>4.4494604657204142E-3</v>
      </c>
      <c r="L32" s="15">
        <f t="shared" si="31"/>
        <v>6.3314783679388831E-3</v>
      </c>
      <c r="M32" s="15">
        <f t="shared" si="31"/>
        <v>9.0129793774871656E-3</v>
      </c>
      <c r="N32" s="15">
        <f t="shared" si="31"/>
        <v>1.0754019700683053E-2</v>
      </c>
      <c r="O32" s="15">
        <f t="shared" si="31"/>
        <v>1.3147255048364205E-2</v>
      </c>
      <c r="P32" s="15">
        <f t="shared" si="31"/>
        <v>1.5241821230916872E-2</v>
      </c>
      <c r="Q32" s="15">
        <f t="shared" si="31"/>
        <v>1.789826396269981E-2</v>
      </c>
      <c r="R32" s="15">
        <f t="shared" si="31"/>
        <v>2.2315051921868705E-2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>
      <c r="A33" s="25" t="s">
        <v>312</v>
      </c>
      <c r="D33" s="15">
        <f t="shared" ref="D33:R33" si="32">D6*D15/1000000</f>
        <v>1.0052729218539254E-3</v>
      </c>
      <c r="E33" s="15">
        <f t="shared" si="32"/>
        <v>3.3838584688584521E-3</v>
      </c>
      <c r="F33" s="15">
        <f t="shared" si="32"/>
        <v>5.6201550342741598E-3</v>
      </c>
      <c r="G33" s="15">
        <f t="shared" si="32"/>
        <v>7.666244773107839E-3</v>
      </c>
      <c r="H33" s="15">
        <f t="shared" si="32"/>
        <v>9.4532966791873556E-3</v>
      </c>
      <c r="I33" s="15">
        <f t="shared" si="32"/>
        <v>1.0726191394518494E-2</v>
      </c>
      <c r="J33" s="15">
        <f t="shared" si="32"/>
        <v>1.1618580160482558E-2</v>
      </c>
      <c r="K33" s="15">
        <f t="shared" si="32"/>
        <v>1.1640333992355161E-2</v>
      </c>
      <c r="L33" s="15">
        <f t="shared" si="32"/>
        <v>1.0167663236416285E-2</v>
      </c>
      <c r="M33" s="15">
        <f t="shared" si="32"/>
        <v>6.7304174949705158E-3</v>
      </c>
      <c r="N33" s="15">
        <f t="shared" si="32"/>
        <v>6.8706953355848034E-3</v>
      </c>
      <c r="O33" s="15">
        <f t="shared" si="32"/>
        <v>7.1158824896186542E-3</v>
      </c>
      <c r="P33" s="15">
        <f t="shared" si="32"/>
        <v>7.5735663295709776E-3</v>
      </c>
      <c r="Q33" s="15">
        <f t="shared" si="32"/>
        <v>8.1367877630432982E-3</v>
      </c>
      <c r="R33" s="15">
        <f t="shared" si="32"/>
        <v>9.3504599419880329E-3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>
      <c r="A34" s="25" t="s">
        <v>266</v>
      </c>
      <c r="D34" s="4">
        <f>D41*D31/D44</f>
        <v>1835.0721140806577</v>
      </c>
      <c r="E34" s="4">
        <f t="shared" ref="E34:Q36" si="33">D34*E31/D31</f>
        <v>1847.3291351299963</v>
      </c>
      <c r="F34" s="4">
        <f t="shared" si="33"/>
        <v>1855.7909276946714</v>
      </c>
      <c r="G34" s="4">
        <f t="shared" si="33"/>
        <v>1868.6514114956926</v>
      </c>
      <c r="H34" s="4">
        <f t="shared" si="33"/>
        <v>1888.9112050080903</v>
      </c>
      <c r="I34" s="4">
        <f t="shared" si="33"/>
        <v>1893.2950308312359</v>
      </c>
      <c r="J34" s="4">
        <f t="shared" si="33"/>
        <v>1940.4234628191327</v>
      </c>
      <c r="K34" s="4">
        <f t="shared" si="33"/>
        <v>1994.7469794675808</v>
      </c>
      <c r="L34" s="4">
        <f t="shared" si="33"/>
        <v>2026.1064971413025</v>
      </c>
      <c r="M34" s="4">
        <f t="shared" si="33"/>
        <v>2058.743292329937</v>
      </c>
      <c r="N34" s="4">
        <f t="shared" si="33"/>
        <v>2105.5262028054099</v>
      </c>
      <c r="O34" s="4">
        <f t="shared" si="33"/>
        <v>2142.8520295978183</v>
      </c>
      <c r="P34" s="4">
        <f t="shared" si="33"/>
        <v>2109.9183888354987</v>
      </c>
      <c r="Q34" s="4">
        <f t="shared" si="33"/>
        <v>2080.9138468988649</v>
      </c>
      <c r="R34" s="4">
        <f>Q34*R31/Q31</f>
        <v>2119.3183784354142</v>
      </c>
      <c r="S34" s="27">
        <f>Q34-P34*Q4/P4</f>
        <v>0</v>
      </c>
      <c r="T34" s="27">
        <f t="shared" ref="S34:T36" si="34">R34-Q34*R4/Q4</f>
        <v>0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>
      <c r="A35" s="25" t="s">
        <v>267</v>
      </c>
      <c r="D35" s="4">
        <f>D42*D32/D45</f>
        <v>0.37190255586069804</v>
      </c>
      <c r="E35" s="4">
        <f t="shared" si="33"/>
        <v>0.52449774947931616</v>
      </c>
      <c r="F35" s="4">
        <f t="shared" si="33"/>
        <v>0.73816205823204295</v>
      </c>
      <c r="G35" s="4">
        <f t="shared" si="33"/>
        <v>1.0412962071578447</v>
      </c>
      <c r="H35" s="4">
        <f t="shared" si="33"/>
        <v>1.4746225065588197</v>
      </c>
      <c r="I35" s="4">
        <f t="shared" si="33"/>
        <v>2.0706701944915138</v>
      </c>
      <c r="J35" s="4">
        <f t="shared" si="33"/>
        <v>2.9731202607620211</v>
      </c>
      <c r="K35" s="4">
        <f t="shared" si="33"/>
        <v>4.2818070932514321</v>
      </c>
      <c r="L35" s="4">
        <f t="shared" si="33"/>
        <v>6.0929115328636341</v>
      </c>
      <c r="M35" s="4">
        <f t="shared" si="33"/>
        <v>8.6733749692065185</v>
      </c>
      <c r="N35" s="4">
        <f t="shared" si="33"/>
        <v>10.348813792167249</v>
      </c>
      <c r="O35" s="4">
        <f t="shared" si="33"/>
        <v>12.651873267910236</v>
      </c>
      <c r="P35" s="4">
        <f t="shared" si="33"/>
        <v>14.667517278422077</v>
      </c>
      <c r="Q35" s="4">
        <f t="shared" si="33"/>
        <v>17.223866619964717</v>
      </c>
      <c r="R35" s="4">
        <f t="shared" ref="R35:R36" si="35">Q35*R32/Q32</f>
        <v>21.474232289838103</v>
      </c>
      <c r="S35" s="27">
        <f t="shared" si="34"/>
        <v>0</v>
      </c>
      <c r="T35" s="27">
        <f t="shared" si="34"/>
        <v>0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>
      <c r="A36" s="25" t="s">
        <v>268</v>
      </c>
      <c r="D36" s="4">
        <f>D43*D33/D46</f>
        <v>2.457365192426372</v>
      </c>
      <c r="E36" s="4">
        <f t="shared" si="33"/>
        <v>8.2717596751086599</v>
      </c>
      <c r="F36" s="4">
        <f t="shared" si="33"/>
        <v>13.738332205144173</v>
      </c>
      <c r="G36" s="4">
        <f t="shared" si="33"/>
        <v>18.739948776610184</v>
      </c>
      <c r="H36" s="4">
        <f t="shared" si="33"/>
        <v>23.108353670039829</v>
      </c>
      <c r="I36" s="4">
        <f t="shared" si="33"/>
        <v>26.219913823584612</v>
      </c>
      <c r="J36" s="4">
        <f t="shared" si="33"/>
        <v>28.401336444168304</v>
      </c>
      <c r="K36" s="4">
        <f t="shared" si="33"/>
        <v>28.454513156763966</v>
      </c>
      <c r="L36" s="4">
        <f t="shared" si="33"/>
        <v>24.854605333847115</v>
      </c>
      <c r="M36" s="4">
        <f t="shared" si="33"/>
        <v>16.452341770169863</v>
      </c>
      <c r="N36" s="4">
        <f t="shared" si="33"/>
        <v>16.795247537648969</v>
      </c>
      <c r="O36" s="4">
        <f t="shared" si="33"/>
        <v>17.394601568633618</v>
      </c>
      <c r="P36" s="4">
        <f t="shared" si="33"/>
        <v>18.513398576873644</v>
      </c>
      <c r="Q36" s="4">
        <f t="shared" si="33"/>
        <v>19.890179664034449</v>
      </c>
      <c r="R36" s="4">
        <f t="shared" si="35"/>
        <v>22.856971768664952</v>
      </c>
      <c r="S36" s="27">
        <f t="shared" si="34"/>
        <v>0</v>
      </c>
      <c r="T36" s="27">
        <f t="shared" si="34"/>
        <v>0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>
      <c r="A37" s="25" t="s">
        <v>272</v>
      </c>
      <c r="D37" s="58">
        <f t="shared" ref="D37:Q37" si="36">E37</f>
        <v>25.149658723881178</v>
      </c>
      <c r="E37" s="14">
        <f t="shared" si="36"/>
        <v>25.149658723881178</v>
      </c>
      <c r="F37" s="14">
        <f t="shared" si="36"/>
        <v>25.149658723881178</v>
      </c>
      <c r="G37" s="14">
        <f t="shared" si="36"/>
        <v>25.149658723881178</v>
      </c>
      <c r="H37" s="14">
        <f t="shared" si="36"/>
        <v>25.149658723881178</v>
      </c>
      <c r="I37" s="14">
        <f t="shared" si="36"/>
        <v>25.149658723881178</v>
      </c>
      <c r="J37" s="14">
        <f t="shared" si="36"/>
        <v>25.149658723881178</v>
      </c>
      <c r="K37" s="14">
        <f t="shared" si="36"/>
        <v>25.149658723881178</v>
      </c>
      <c r="L37" s="14">
        <f t="shared" si="36"/>
        <v>25.149658723881178</v>
      </c>
      <c r="M37" s="14">
        <f t="shared" si="36"/>
        <v>25.149658723881178</v>
      </c>
      <c r="N37" s="14">
        <f t="shared" si="36"/>
        <v>25.149658723881178</v>
      </c>
      <c r="O37" s="14">
        <f t="shared" si="36"/>
        <v>25.149658723881178</v>
      </c>
      <c r="P37" s="14">
        <f t="shared" si="36"/>
        <v>25.149658723881178</v>
      </c>
      <c r="Q37" s="14">
        <f t="shared" si="36"/>
        <v>25.149658723881178</v>
      </c>
      <c r="R37" s="30">
        <f>'sorties PL'!R162</f>
        <v>25.149658723881178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>
      <c r="A38" s="25" t="s">
        <v>273</v>
      </c>
      <c r="D38" s="58">
        <f t="shared" ref="D38:Q38" si="37">E38</f>
        <v>30.678899201992298</v>
      </c>
      <c r="E38" s="14">
        <f t="shared" si="37"/>
        <v>30.678899201992298</v>
      </c>
      <c r="F38" s="14">
        <f t="shared" si="37"/>
        <v>30.678899201992298</v>
      </c>
      <c r="G38" s="14">
        <f t="shared" si="37"/>
        <v>30.678899201992298</v>
      </c>
      <c r="H38" s="14">
        <f t="shared" si="37"/>
        <v>30.678899201992298</v>
      </c>
      <c r="I38" s="14">
        <f t="shared" si="37"/>
        <v>30.678899201992298</v>
      </c>
      <c r="J38" s="14">
        <f t="shared" si="37"/>
        <v>30.678899201992298</v>
      </c>
      <c r="K38" s="14">
        <f t="shared" si="37"/>
        <v>30.678899201992298</v>
      </c>
      <c r="L38" s="14">
        <f t="shared" si="37"/>
        <v>30.678899201992298</v>
      </c>
      <c r="M38" s="14">
        <f t="shared" si="37"/>
        <v>30.678899201992298</v>
      </c>
      <c r="N38" s="14">
        <f t="shared" si="37"/>
        <v>30.678899201992298</v>
      </c>
      <c r="O38" s="14">
        <f t="shared" si="37"/>
        <v>30.678899201992298</v>
      </c>
      <c r="P38" s="14">
        <f t="shared" si="37"/>
        <v>30.678899201992298</v>
      </c>
      <c r="Q38" s="14">
        <f t="shared" si="37"/>
        <v>30.678899201992298</v>
      </c>
      <c r="R38" s="30">
        <f>'sorties PL'!R163</f>
        <v>30.678899201992298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>
      <c r="A39" s="25" t="s">
        <v>274</v>
      </c>
      <c r="D39" s="58">
        <f t="shared" ref="D39:Q39" si="38">E39</f>
        <v>27.749947774553554</v>
      </c>
      <c r="E39" s="58">
        <f t="shared" si="38"/>
        <v>27.749947774553554</v>
      </c>
      <c r="F39" s="14">
        <f t="shared" si="38"/>
        <v>27.749947774553554</v>
      </c>
      <c r="G39" s="14">
        <f t="shared" si="38"/>
        <v>27.749947774553554</v>
      </c>
      <c r="H39" s="14">
        <f t="shared" si="38"/>
        <v>27.749947774553554</v>
      </c>
      <c r="I39" s="14">
        <f t="shared" si="38"/>
        <v>27.749947774553554</v>
      </c>
      <c r="J39" s="14">
        <f t="shared" si="38"/>
        <v>27.749947774553554</v>
      </c>
      <c r="K39" s="14">
        <f t="shared" si="38"/>
        <v>27.749947774553554</v>
      </c>
      <c r="L39" s="14">
        <f t="shared" si="38"/>
        <v>27.749947774553554</v>
      </c>
      <c r="M39" s="14">
        <f t="shared" si="38"/>
        <v>27.749947774553554</v>
      </c>
      <c r="N39" s="14">
        <f t="shared" si="38"/>
        <v>27.749947774553554</v>
      </c>
      <c r="O39" s="14">
        <f t="shared" si="38"/>
        <v>27.749947774553554</v>
      </c>
      <c r="P39" s="14">
        <f t="shared" si="38"/>
        <v>27.749947774553554</v>
      </c>
      <c r="Q39" s="14">
        <f t="shared" si="38"/>
        <v>27.749947774553554</v>
      </c>
      <c r="R39" s="30">
        <f>'sorties PL'!R164</f>
        <v>27.749947774553554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>
      <c r="A40" s="25" t="s">
        <v>275</v>
      </c>
      <c r="D40" s="4">
        <f>résultats!D52</f>
        <v>6991.8920099999996</v>
      </c>
      <c r="E40" s="4">
        <f t="shared" ref="E40:R40" si="39">E41+E42+E43</f>
        <v>7137.0550371185418</v>
      </c>
      <c r="F40" s="4">
        <f t="shared" si="39"/>
        <v>6999.3753389184139</v>
      </c>
      <c r="G40" s="4">
        <f t="shared" si="39"/>
        <v>6636.5345285852354</v>
      </c>
      <c r="H40" s="4">
        <f t="shared" si="39"/>
        <v>6801.1194461929927</v>
      </c>
      <c r="I40" s="4">
        <f t="shared" si="39"/>
        <v>6867.9943925032258</v>
      </c>
      <c r="J40" s="4">
        <f t="shared" si="39"/>
        <v>6787.5797697492162</v>
      </c>
      <c r="K40" s="4">
        <f t="shared" si="39"/>
        <v>6818.9199056166526</v>
      </c>
      <c r="L40" s="4">
        <f t="shared" si="39"/>
        <v>6912.862346005737</v>
      </c>
      <c r="M40" s="4">
        <f t="shared" si="39"/>
        <v>7031.986926929786</v>
      </c>
      <c r="N40" s="4">
        <f t="shared" si="39"/>
        <v>7187.7619003318277</v>
      </c>
      <c r="O40" s="4">
        <f t="shared" si="39"/>
        <v>7482.1153111934027</v>
      </c>
      <c r="P40" s="4">
        <f t="shared" si="39"/>
        <v>7419.71068523949</v>
      </c>
      <c r="Q40" s="4">
        <f t="shared" si="39"/>
        <v>7478.7149750568633</v>
      </c>
      <c r="R40" s="4">
        <f t="shared" si="39"/>
        <v>7554.1587031106001</v>
      </c>
      <c r="S40" s="27">
        <f>D40-SUM(D41:D43)</f>
        <v>-6.8999997893115506E-7</v>
      </c>
      <c r="T40" s="27">
        <f>R40-SUM(R41:R43)</f>
        <v>0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>
      <c r="A41" s="25" t="s">
        <v>304</v>
      </c>
      <c r="D41" s="4">
        <f>résultats!D45</f>
        <v>6849.994044</v>
      </c>
      <c r="E41" s="4">
        <f t="shared" ref="E41:R41" si="40">E16+E25+E34</f>
        <v>6985.7649205162306</v>
      </c>
      <c r="F41" s="4">
        <f t="shared" si="40"/>
        <v>6846.5015490237602</v>
      </c>
      <c r="G41" s="4">
        <f t="shared" si="40"/>
        <v>6488.6365683519525</v>
      </c>
      <c r="H41" s="4">
        <f t="shared" si="40"/>
        <v>6644.6550337729686</v>
      </c>
      <c r="I41" s="4">
        <f t="shared" si="40"/>
        <v>6706.2362330320275</v>
      </c>
      <c r="J41" s="4">
        <f t="shared" si="40"/>
        <v>6626.2624077259024</v>
      </c>
      <c r="K41" s="4">
        <f t="shared" si="40"/>
        <v>6656.8975810202683</v>
      </c>
      <c r="L41" s="4">
        <f t="shared" si="40"/>
        <v>6750.8919003700457</v>
      </c>
      <c r="M41" s="4">
        <f t="shared" si="40"/>
        <v>6873.3475174813684</v>
      </c>
      <c r="N41" s="4">
        <f t="shared" si="40"/>
        <v>7024.2177041355753</v>
      </c>
      <c r="O41" s="4">
        <f t="shared" si="40"/>
        <v>7308.8117125311182</v>
      </c>
      <c r="P41" s="4">
        <f t="shared" si="40"/>
        <v>7244.1524287261072</v>
      </c>
      <c r="Q41" s="4">
        <f t="shared" si="40"/>
        <v>7296.954996796343</v>
      </c>
      <c r="R41" s="4">
        <f t="shared" si="40"/>
        <v>7364.3768872795927</v>
      </c>
      <c r="S41" s="27">
        <f>D41-(D25+D34+D16)</f>
        <v>0</v>
      </c>
      <c r="T41" s="27">
        <f>R41-(R25+R34+R16)</f>
        <v>0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>
      <c r="A42" s="25" t="s">
        <v>305</v>
      </c>
      <c r="D42" s="4">
        <f>résultats!D46</f>
        <v>80.193376369999996</v>
      </c>
      <c r="E42" s="4">
        <f t="shared" ref="E42:R42" si="41">E17+E26+E35</f>
        <v>82.311916022497229</v>
      </c>
      <c r="F42" s="4">
        <f t="shared" si="41"/>
        <v>80.174269487480458</v>
      </c>
      <c r="G42" s="4">
        <f t="shared" si="41"/>
        <v>74.576643192239487</v>
      </c>
      <c r="H42" s="4">
        <f t="shared" si="41"/>
        <v>77.170812158032732</v>
      </c>
      <c r="I42" s="4">
        <f t="shared" si="41"/>
        <v>78.677258593892844</v>
      </c>
      <c r="J42" s="4">
        <f t="shared" si="41"/>
        <v>77.556648352527432</v>
      </c>
      <c r="K42" s="4">
        <f t="shared" si="41"/>
        <v>78.488292729488791</v>
      </c>
      <c r="L42" s="4">
        <f t="shared" si="41"/>
        <v>81.296342336285193</v>
      </c>
      <c r="M42" s="4">
        <f t="shared" si="41"/>
        <v>85.30643336051638</v>
      </c>
      <c r="N42" s="4">
        <f t="shared" si="41"/>
        <v>88.638607802892707</v>
      </c>
      <c r="O42" s="4">
        <f t="shared" si="41"/>
        <v>94.877383718237766</v>
      </c>
      <c r="P42" s="4">
        <f t="shared" si="41"/>
        <v>96.3880572385291</v>
      </c>
      <c r="Q42" s="4">
        <f t="shared" si="41"/>
        <v>100.24651340854811</v>
      </c>
      <c r="R42" s="4">
        <f t="shared" si="41"/>
        <v>104.9587423715469</v>
      </c>
      <c r="S42" s="27">
        <f>D42-(D26+D35+D17)</f>
        <v>0</v>
      </c>
      <c r="T42" s="27">
        <f>R42-(R26+R35+R17)</f>
        <v>0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>
      <c r="A43" s="25" t="s">
        <v>306</v>
      </c>
      <c r="D43" s="4">
        <f>résultats!D47</f>
        <v>61.704590320000001</v>
      </c>
      <c r="E43" s="4">
        <f t="shared" ref="E43:R43" si="42">E18+E27+E36</f>
        <v>68.978200579813887</v>
      </c>
      <c r="F43" s="4">
        <f t="shared" si="42"/>
        <v>72.699520407173281</v>
      </c>
      <c r="G43" s="4">
        <f t="shared" si="42"/>
        <v>73.321317041043727</v>
      </c>
      <c r="H43" s="4">
        <f t="shared" si="42"/>
        <v>79.293600261990946</v>
      </c>
      <c r="I43" s="4">
        <f t="shared" si="42"/>
        <v>83.080900877305581</v>
      </c>
      <c r="J43" s="4">
        <f t="shared" si="42"/>
        <v>83.760713670786188</v>
      </c>
      <c r="K43" s="4">
        <f t="shared" si="42"/>
        <v>83.534031866896186</v>
      </c>
      <c r="L43" s="4">
        <f t="shared" si="42"/>
        <v>80.67410329940553</v>
      </c>
      <c r="M43" s="4">
        <f t="shared" si="42"/>
        <v>73.332976087901287</v>
      </c>
      <c r="N43" s="4">
        <f t="shared" si="42"/>
        <v>74.905588393359636</v>
      </c>
      <c r="O43" s="4">
        <f t="shared" si="42"/>
        <v>78.426214944046762</v>
      </c>
      <c r="P43" s="4">
        <f t="shared" si="42"/>
        <v>79.170199274854411</v>
      </c>
      <c r="Q43" s="4">
        <f t="shared" si="42"/>
        <v>81.513464851972401</v>
      </c>
      <c r="R43" s="4">
        <f t="shared" si="42"/>
        <v>84.823073459461256</v>
      </c>
      <c r="S43" s="27">
        <f>D43-(D27+D36+D18)</f>
        <v>0</v>
      </c>
      <c r="T43" s="27">
        <f>R43-(R27+R36+R18)</f>
        <v>0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>
      <c r="A44" s="25" t="s">
        <v>276</v>
      </c>
      <c r="D44" s="9">
        <f>[7]Donnees_energie!$D$60</f>
        <v>16.473831367701337</v>
      </c>
      <c r="E44" s="35">
        <f t="shared" ref="E44:R44" si="43">E19+E22+E31</f>
        <v>16.425138308244311</v>
      </c>
      <c r="F44" s="35">
        <f t="shared" si="43"/>
        <v>16.157270466251273</v>
      </c>
      <c r="G44" s="35">
        <f t="shared" si="43"/>
        <v>15.641673696920876</v>
      </c>
      <c r="H44" s="35">
        <f t="shared" si="43"/>
        <v>15.560337187041831</v>
      </c>
      <c r="I44" s="35">
        <f t="shared" si="43"/>
        <v>15.507312767176849</v>
      </c>
      <c r="J44" s="35">
        <f t="shared" si="43"/>
        <v>15.366513583166508</v>
      </c>
      <c r="K44" s="35">
        <f t="shared" si="43"/>
        <v>15.133851313655121</v>
      </c>
      <c r="L44" s="35">
        <f t="shared" si="43"/>
        <v>15.02691614617455</v>
      </c>
      <c r="M44" s="35">
        <f t="shared" si="43"/>
        <v>14.89622383747221</v>
      </c>
      <c r="N44" s="35">
        <f t="shared" si="43"/>
        <v>14.882984559859461</v>
      </c>
      <c r="O44" s="35">
        <f t="shared" si="43"/>
        <v>14.945374057767765</v>
      </c>
      <c r="P44" s="35">
        <f t="shared" si="43"/>
        <v>14.746219643362316</v>
      </c>
      <c r="Q44" s="35">
        <f t="shared" si="43"/>
        <v>14.561091941075105</v>
      </c>
      <c r="R44" s="35">
        <f t="shared" si="43"/>
        <v>14.439248436875589</v>
      </c>
      <c r="S44" s="27">
        <f>D44-D19-D31-D22</f>
        <v>0</v>
      </c>
      <c r="T44" s="27">
        <f>R44-R19-R31-R22</f>
        <v>0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>
      <c r="A45" s="25" t="s">
        <v>277</v>
      </c>
      <c r="D45" s="9">
        <f>[7]Donnees_energie!$E$60</f>
        <v>8.3333333333333329E-2</v>
      </c>
      <c r="E45" s="35">
        <f t="shared" ref="E45:R45" si="44">E20+E23+E32</f>
        <v>8.0562280505901501E-2</v>
      </c>
      <c r="F45" s="35">
        <f t="shared" si="44"/>
        <v>7.8421046343413348E-2</v>
      </c>
      <c r="G45" s="35">
        <f t="shared" si="44"/>
        <v>7.2930210391574102E-2</v>
      </c>
      <c r="H45" s="35">
        <f t="shared" si="44"/>
        <v>7.5446113564306055E-2</v>
      </c>
      <c r="I45" s="35">
        <f t="shared" si="44"/>
        <v>7.6922130341687184E-2</v>
      </c>
      <c r="J45" s="35">
        <f t="shared" si="44"/>
        <v>7.5864571331801328E-2</v>
      </c>
      <c r="K45" s="35">
        <f t="shared" si="44"/>
        <v>7.6839345684860685E-2</v>
      </c>
      <c r="L45" s="35">
        <f t="shared" si="44"/>
        <v>7.9679844996933771E-2</v>
      </c>
      <c r="M45" s="35">
        <f t="shared" si="44"/>
        <v>8.3744847124592472E-2</v>
      </c>
      <c r="N45" s="35">
        <f t="shared" si="44"/>
        <v>8.7093225966708321E-2</v>
      </c>
      <c r="O45" s="35">
        <f t="shared" si="44"/>
        <v>9.3317169413787954E-2</v>
      </c>
      <c r="P45" s="35">
        <f t="shared" si="44"/>
        <v>9.4915141629330305E-2</v>
      </c>
      <c r="Q45" s="35">
        <f t="shared" si="44"/>
        <v>9.8837561126869936E-2</v>
      </c>
      <c r="R45" s="35">
        <f t="shared" si="44"/>
        <v>0.10370207389862393</v>
      </c>
      <c r="S45" s="27">
        <f>D45-D20-D32-D23</f>
        <v>-6.9388939039072284E-18</v>
      </c>
      <c r="T45" s="27">
        <f>R45-R20-R32-R23</f>
        <v>-1.943093581001365E-18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>
      <c r="A46" s="25" t="s">
        <v>278</v>
      </c>
      <c r="D46" s="9">
        <f>[7]Donnees_energie!$F$60</f>
        <v>2.5242464568946806E-2</v>
      </c>
      <c r="E46" s="35">
        <f t="shared" ref="E46:R46" si="45">E21+E24+E33</f>
        <v>2.9731511924448187E-2</v>
      </c>
      <c r="F46" s="35">
        <f t="shared" si="45"/>
        <v>3.3758805861786687E-2</v>
      </c>
      <c r="G46" s="35">
        <f t="shared" si="45"/>
        <v>3.7411453007284927E-2</v>
      </c>
      <c r="H46" s="35">
        <f t="shared" si="45"/>
        <v>4.2190391261054019E-2</v>
      </c>
      <c r="I46" s="35">
        <f t="shared" si="45"/>
        <v>4.6655759277230702E-2</v>
      </c>
      <c r="J46" s="35">
        <f t="shared" si="45"/>
        <v>5.0768580949423311E-2</v>
      </c>
      <c r="K46" s="35">
        <f t="shared" si="45"/>
        <v>5.4698765614398209E-2</v>
      </c>
      <c r="L46" s="35">
        <f t="shared" si="45"/>
        <v>5.7850229679429904E-2</v>
      </c>
      <c r="M46" s="35">
        <f t="shared" si="45"/>
        <v>5.9700839917150209E-2</v>
      </c>
      <c r="N46" s="35">
        <f t="shared" si="45"/>
        <v>6.5847497965366417E-2</v>
      </c>
      <c r="O46" s="35">
        <f t="shared" si="45"/>
        <v>7.3181203593794292E-2</v>
      </c>
      <c r="P46" s="35">
        <f t="shared" si="45"/>
        <v>8.1028777679275438E-2</v>
      </c>
      <c r="Q46" s="35">
        <f t="shared" si="45"/>
        <v>9.0227104414958806E-2</v>
      </c>
      <c r="R46" s="35">
        <f t="shared" si="45"/>
        <v>0.10110788424726853</v>
      </c>
      <c r="S46" s="27">
        <f>D46-D21-D33-D24</f>
        <v>0</v>
      </c>
      <c r="T46" s="27">
        <f>R46-R21-R33-R24</f>
        <v>0</v>
      </c>
      <c r="U46" s="27">
        <f>R46-'sorties PL'!R51-'sorties PL'!R45</f>
        <v>-4.8916854471293125E-3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>
      <c r="A47" s="25" t="s">
        <v>279</v>
      </c>
      <c r="C47" s="15">
        <f t="shared" ref="C47:R47" si="46">C4/C$2</f>
        <v>0.99960929983082525</v>
      </c>
      <c r="D47" s="15">
        <f t="shared" si="46"/>
        <v>0.99960929983082514</v>
      </c>
      <c r="E47" s="30">
        <f>D47*($M47/$D47)^(1/(2015-2006))</f>
        <v>0.99907361382670445</v>
      </c>
      <c r="F47" s="30">
        <f t="shared" ref="F47:L47" si="47">E47*($M47/$D47)^(1/(2015-2006))</f>
        <v>0.99853821489423777</v>
      </c>
      <c r="G47" s="30">
        <f t="shared" si="47"/>
        <v>0.9980031028795846</v>
      </c>
      <c r="H47" s="30">
        <f t="shared" si="47"/>
        <v>0.99746827762898715</v>
      </c>
      <c r="I47" s="30">
        <f t="shared" si="47"/>
        <v>0.9969337389887698</v>
      </c>
      <c r="J47" s="30">
        <f t="shared" si="47"/>
        <v>0.99639948680533941</v>
      </c>
      <c r="K47" s="30">
        <f t="shared" si="47"/>
        <v>0.9958655209251851</v>
      </c>
      <c r="L47" s="30">
        <f t="shared" si="47"/>
        <v>0.99533184119487828</v>
      </c>
      <c r="M47" s="60">
        <f t="shared" ref="M47" si="48">M4/M$2</f>
        <v>0.99479844746107282</v>
      </c>
      <c r="N47" s="42">
        <f t="shared" ref="N47:Q47" si="49">N4/N$2</f>
        <v>0.99413099156080842</v>
      </c>
      <c r="O47" s="42">
        <f t="shared" si="49"/>
        <v>0.99316895985780929</v>
      </c>
      <c r="P47" s="42">
        <f t="shared" si="49"/>
        <v>0.99207926838138383</v>
      </c>
      <c r="Q47" s="42">
        <f t="shared" si="49"/>
        <v>0.99071068628014325</v>
      </c>
      <c r="R47" s="60">
        <f t="shared" si="46"/>
        <v>0.98878254627208784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>
      <c r="A48" s="25" t="s">
        <v>280</v>
      </c>
      <c r="C48" s="15">
        <f t="shared" ref="C48:R48" si="50">C5/C$2</f>
        <v>1.9535008458740401E-4</v>
      </c>
      <c r="D48" s="15">
        <f t="shared" si="50"/>
        <v>1.9535008458740398E-4</v>
      </c>
      <c r="E48" s="30">
        <f t="shared" ref="E48" si="51">D48*($M48/$D48)^(1/(2015-2006))</f>
        <v>2.7352947177994595E-4</v>
      </c>
      <c r="F48" s="30">
        <f t="shared" ref="F48:L48" si="52">E48*($M48/$D48)^(1/(2015-2006))</f>
        <v>3.8299636312028745E-4</v>
      </c>
      <c r="G48" s="30">
        <f t="shared" si="52"/>
        <v>5.3627206314855872E-4</v>
      </c>
      <c r="H48" s="30">
        <f t="shared" si="52"/>
        <v>7.5088892064306429E-4</v>
      </c>
      <c r="I48" s="30">
        <f t="shared" si="52"/>
        <v>1.0513957557925445E-3</v>
      </c>
      <c r="J48" s="30">
        <f t="shared" si="52"/>
        <v>1.4721658622314985E-3</v>
      </c>
      <c r="K48" s="30">
        <f t="shared" si="52"/>
        <v>2.0613287755628391E-3</v>
      </c>
      <c r="L48" s="30">
        <f t="shared" si="52"/>
        <v>2.8862755413460502E-3</v>
      </c>
      <c r="M48" s="60">
        <f t="shared" ref="M48" si="53">M5/M$2</f>
        <v>4.0413671993191815E-3</v>
      </c>
      <c r="N48" s="42">
        <f t="shared" ref="N48:Q48" si="54">N5/N$2</f>
        <v>4.711734640558604E-3</v>
      </c>
      <c r="O48" s="42">
        <f t="shared" si="54"/>
        <v>5.6544852620058718E-3</v>
      </c>
      <c r="P48" s="42">
        <f t="shared" si="54"/>
        <v>6.6503517083628472E-3</v>
      </c>
      <c r="Q48" s="42">
        <f t="shared" si="54"/>
        <v>7.9073450339161768E-3</v>
      </c>
      <c r="R48" s="60">
        <f t="shared" si="50"/>
        <v>9.6611655143514514E-3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50">
      <c r="A49" s="25" t="s">
        <v>281</v>
      </c>
      <c r="C49" s="15">
        <f t="shared" ref="C49:R49" si="55">C6/C$2</f>
        <v>1.9535008458740401E-4</v>
      </c>
      <c r="D49" s="15">
        <f t="shared" si="55"/>
        <v>1.9535008458740398E-4</v>
      </c>
      <c r="E49" s="30">
        <f>1-E47-E48</f>
        <v>6.5285670151559989E-4</v>
      </c>
      <c r="F49" s="30">
        <f t="shared" ref="F49:L49" si="56">1-F47-F48</f>
        <v>1.0787887426419382E-3</v>
      </c>
      <c r="G49" s="30">
        <f t="shared" si="56"/>
        <v>1.4606250572668385E-3</v>
      </c>
      <c r="H49" s="30">
        <f t="shared" si="56"/>
        <v>1.7808334503697813E-3</v>
      </c>
      <c r="I49" s="30">
        <f t="shared" si="56"/>
        <v>2.0148652554376535E-3</v>
      </c>
      <c r="J49" s="30">
        <f t="shared" si="56"/>
        <v>2.1283473324290943E-3</v>
      </c>
      <c r="K49" s="30">
        <f t="shared" si="56"/>
        <v>2.0731502992520617E-3</v>
      </c>
      <c r="L49" s="30">
        <f t="shared" si="56"/>
        <v>1.7818832637756746E-3</v>
      </c>
      <c r="M49" s="60">
        <f t="shared" ref="M49" si="57">M6/M$2</f>
        <v>1.1601853396079641E-3</v>
      </c>
      <c r="N49" s="42">
        <f t="shared" ref="N49:Q49" si="58">N6/N$2</f>
        <v>1.1572737986329522E-3</v>
      </c>
      <c r="O49" s="42">
        <f t="shared" si="58"/>
        <v>1.1765548801848228E-3</v>
      </c>
      <c r="P49" s="42">
        <f t="shared" si="58"/>
        <v>1.27037991025335E-3</v>
      </c>
      <c r="Q49" s="42">
        <f t="shared" si="58"/>
        <v>1.3819686859405996E-3</v>
      </c>
      <c r="R49" s="60">
        <f t="shared" si="55"/>
        <v>1.5562882135607017E-3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50">
      <c r="A50" s="25" t="s">
        <v>282</v>
      </c>
      <c r="C50" s="60">
        <f t="shared" ref="C50:R50" si="59">C7/C$3</f>
        <v>0.99654878914066092</v>
      </c>
      <c r="D50" s="60">
        <f t="shared" si="59"/>
        <v>0.99654878914066081</v>
      </c>
      <c r="E50" s="4">
        <f t="shared" si="59"/>
        <v>0.9967603725557368</v>
      </c>
      <c r="F50" s="4">
        <f t="shared" si="59"/>
        <v>0.99680978178084789</v>
      </c>
      <c r="G50" s="4">
        <f t="shared" si="59"/>
        <v>0.99669090395583504</v>
      </c>
      <c r="H50" s="4">
        <f t="shared" si="59"/>
        <v>0.99653562464101475</v>
      </c>
      <c r="I50" s="4">
        <f t="shared" si="59"/>
        <v>0.99633373317210705</v>
      </c>
      <c r="J50" s="4">
        <f t="shared" si="59"/>
        <v>0.99600709949140043</v>
      </c>
      <c r="K50" s="4">
        <f t="shared" si="59"/>
        <v>0.99551429538855263</v>
      </c>
      <c r="L50" s="4">
        <f t="shared" si="59"/>
        <v>0.99500076218279676</v>
      </c>
      <c r="M50" s="4">
        <f t="shared" si="59"/>
        <v>0.99436680067554573</v>
      </c>
      <c r="N50" s="4">
        <f t="shared" si="59"/>
        <v>0.99368925387797002</v>
      </c>
      <c r="O50" s="4">
        <f t="shared" si="59"/>
        <v>0.99294337286716572</v>
      </c>
      <c r="P50" s="4">
        <f t="shared" si="59"/>
        <v>0.99213735495289324</v>
      </c>
      <c r="Q50" s="4">
        <f t="shared" si="59"/>
        <v>0.99117637580769635</v>
      </c>
      <c r="R50" s="4">
        <f t="shared" si="59"/>
        <v>0.98998936945293803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50">
      <c r="A51" s="25" t="s">
        <v>283</v>
      </c>
      <c r="C51" s="60">
        <f t="shared" ref="C51:D52" si="60">C8/C$3</f>
        <v>1.7256054296695901E-3</v>
      </c>
      <c r="D51" s="60">
        <f t="shared" si="60"/>
        <v>1.7256054296695899E-3</v>
      </c>
      <c r="E51" s="4">
        <f t="shared" ref="E51:R51" si="61">E8/E$3</f>
        <v>1.2953640927862598E-3</v>
      </c>
      <c r="F51" s="4">
        <f t="shared" si="61"/>
        <v>9.8075464665988029E-4</v>
      </c>
      <c r="G51" s="4">
        <f t="shared" si="61"/>
        <v>7.5526915471805709E-4</v>
      </c>
      <c r="H51" s="4">
        <f t="shared" si="61"/>
        <v>5.7024901507147477E-4</v>
      </c>
      <c r="I51" s="4">
        <f t="shared" si="61"/>
        <v>4.2544114916622455E-4</v>
      </c>
      <c r="J51" s="4">
        <f t="shared" si="61"/>
        <v>3.2114036008526416E-4</v>
      </c>
      <c r="K51" s="4">
        <f t="shared" si="61"/>
        <v>2.4699653339177886E-4</v>
      </c>
      <c r="L51" s="4">
        <f t="shared" si="61"/>
        <v>1.8683410995600048E-4</v>
      </c>
      <c r="M51" s="4">
        <f t="shared" si="61"/>
        <v>1.4203498208379217E-4</v>
      </c>
      <c r="N51" s="4">
        <f t="shared" si="61"/>
        <v>1.0691233073859055E-4</v>
      </c>
      <c r="O51" s="4">
        <f t="shared" si="61"/>
        <v>8.0102038509265926E-5</v>
      </c>
      <c r="P51" s="4">
        <f t="shared" si="61"/>
        <v>5.9689822442498549E-5</v>
      </c>
      <c r="Q51" s="4">
        <f t="shared" si="61"/>
        <v>4.4742180823345886E-5</v>
      </c>
      <c r="R51" s="4">
        <f t="shared" si="61"/>
        <v>3.3876922325082647E-5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50">
      <c r="A52" s="25" t="s">
        <v>284</v>
      </c>
      <c r="C52" s="60">
        <f t="shared" si="60"/>
        <v>1.7256054296695901E-3</v>
      </c>
      <c r="D52" s="60">
        <f t="shared" si="60"/>
        <v>1.7256054296695899E-3</v>
      </c>
      <c r="E52" s="4">
        <f t="shared" ref="E52:R52" si="62">E9/E$3</f>
        <v>1.944263351476866E-3</v>
      </c>
      <c r="F52" s="4">
        <f t="shared" si="62"/>
        <v>2.2094635724920395E-3</v>
      </c>
      <c r="G52" s="4">
        <f t="shared" si="62"/>
        <v>2.5538268894467892E-3</v>
      </c>
      <c r="H52" s="4">
        <f t="shared" si="62"/>
        <v>2.8941263439137498E-3</v>
      </c>
      <c r="I52" s="4">
        <f t="shared" si="62"/>
        <v>3.2408256787266731E-3</v>
      </c>
      <c r="J52" s="4">
        <f t="shared" si="62"/>
        <v>3.6717601485143489E-3</v>
      </c>
      <c r="K52" s="4">
        <f t="shared" si="62"/>
        <v>4.2387080780557692E-3</v>
      </c>
      <c r="L52" s="4">
        <f t="shared" si="62"/>
        <v>4.81240370724714E-3</v>
      </c>
      <c r="M52" s="4">
        <f t="shared" si="62"/>
        <v>5.4911643423704191E-3</v>
      </c>
      <c r="N52" s="4">
        <f t="shared" si="62"/>
        <v>6.2038337912912536E-3</v>
      </c>
      <c r="O52" s="4">
        <f t="shared" si="62"/>
        <v>6.9765250943249818E-3</v>
      </c>
      <c r="P52" s="4">
        <f t="shared" si="62"/>
        <v>7.802955224664088E-3</v>
      </c>
      <c r="Q52" s="4">
        <f t="shared" si="62"/>
        <v>8.7788820114801189E-3</v>
      </c>
      <c r="R52" s="4">
        <f t="shared" si="62"/>
        <v>9.97675362473684E-3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50">
      <c r="A53" s="25" t="s">
        <v>289</v>
      </c>
      <c r="B53" s="4">
        <f>résultats!B62</f>
        <v>58358.394150187502</v>
      </c>
      <c r="C53" s="4">
        <f>résultats!C62</f>
        <v>59295.357044826203</v>
      </c>
      <c r="D53" s="4">
        <f>[7]Supply_Use_dom!$T$41</f>
        <v>60247.363181807559</v>
      </c>
      <c r="E53" s="4">
        <f>résultats!E62</f>
        <v>60985.596060000003</v>
      </c>
      <c r="F53" s="4">
        <f>résultats!F62</f>
        <v>61402.329760000001</v>
      </c>
      <c r="G53" s="4">
        <f>résultats!G62</f>
        <v>60789.84706</v>
      </c>
      <c r="H53" s="4">
        <f>résultats!H62</f>
        <v>61115.401279999998</v>
      </c>
      <c r="I53" s="4">
        <f>résultats!I62</f>
        <v>62080.520559999997</v>
      </c>
      <c r="J53" s="4">
        <f>résultats!J62</f>
        <v>62495.068039999998</v>
      </c>
      <c r="K53" s="4">
        <f>résultats!K62</f>
        <v>62203.859279999997</v>
      </c>
      <c r="L53" s="4">
        <f>résultats!L62</f>
        <v>62589.728949999997</v>
      </c>
      <c r="M53" s="4">
        <f>résultats!M62</f>
        <v>62961.45448</v>
      </c>
      <c r="N53" s="4">
        <f>résultats!N62</f>
        <v>63508.970909999996</v>
      </c>
      <c r="O53" s="4">
        <f>résultats!O62</f>
        <v>64418.063679999999</v>
      </c>
      <c r="P53" s="4">
        <f>résultats!P62</f>
        <v>65585.387789999906</v>
      </c>
      <c r="Q53" s="4">
        <f>résultats!Q62</f>
        <v>66515.088900000002</v>
      </c>
      <c r="R53" s="4">
        <f>résultats!R62</f>
        <v>67294.467810000002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X53">
        <f>((D56*1000*D3)/1000000*(D64+0.016))/(1-(1/(1+0.016)*(1-D64)))</f>
        <v>42691.865546127141</v>
      </c>
    </row>
    <row r="54" spans="1:50">
      <c r="A54" s="25" t="s">
        <v>285</v>
      </c>
      <c r="B54" s="4"/>
      <c r="C54" s="4"/>
      <c r="D54" s="4">
        <f>D53*D58/D57</f>
        <v>19877.830056298855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50"/>
    </row>
    <row r="55" spans="1:50">
      <c r="A55" s="25" t="s">
        <v>417</v>
      </c>
      <c r="B55" s="4"/>
      <c r="C55" s="4"/>
      <c r="D55" s="4">
        <f>SUMPRODUCT(D37:D39,D4:D6)/D2</f>
        <v>25.151246828162282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50">
      <c r="A56" s="25" t="s">
        <v>418</v>
      </c>
      <c r="B56" s="4"/>
      <c r="C56" s="4"/>
      <c r="D56" s="4">
        <f>SUMPRODUCT(D7:D9,D28:D30)/D3</f>
        <v>72.509168296378945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50">
      <c r="A57" s="25" t="s">
        <v>301</v>
      </c>
      <c r="B57" s="4"/>
      <c r="C57" s="4"/>
      <c r="D57" s="4">
        <f>résultats!D2</f>
        <v>4852.9099839999999</v>
      </c>
      <c r="E57" s="4">
        <f>résultats!C2</f>
        <v>4772.7612403901503</v>
      </c>
      <c r="F57" s="4">
        <f>résultats!D2</f>
        <v>4852.9099839999999</v>
      </c>
      <c r="G57" s="4">
        <f>résultats!E2</f>
        <v>4694.9008370000001</v>
      </c>
      <c r="H57" s="4">
        <f>résultats!F2</f>
        <v>4425.2135740000003</v>
      </c>
      <c r="I57" s="4">
        <f>résultats!G2</f>
        <v>3423.388379</v>
      </c>
      <c r="J57" s="4">
        <f>résultats!H2</f>
        <v>4321.1678449999999</v>
      </c>
      <c r="K57" s="4">
        <f>résultats!I2</f>
        <v>4982.1310240000003</v>
      </c>
      <c r="L57" s="4">
        <f>résultats!J2</f>
        <v>4494.994893</v>
      </c>
      <c r="M57" s="4">
        <f>résultats!K2</f>
        <v>3816.4861500000002</v>
      </c>
      <c r="N57" s="4">
        <f>résultats!L2</f>
        <v>4474.4239239999997</v>
      </c>
      <c r="O57" s="4">
        <f>résultats!M2</f>
        <v>4485.6423370000002</v>
      </c>
      <c r="P57" s="4">
        <f>résultats!N2</f>
        <v>4685.8661309999998</v>
      </c>
      <c r="Q57" s="4">
        <f>résultats!O2</f>
        <v>5083.4298019999997</v>
      </c>
      <c r="R57" s="4">
        <f>résultats!P2</f>
        <v>5401.4142579999998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X57">
        <f>D58+D60+D61+D62-(D56*1000*D3)/1000000*(D64+0.016)</f>
        <v>1415.0808167793912</v>
      </c>
    </row>
    <row r="58" spans="1:50">
      <c r="A58" s="25" t="s">
        <v>302</v>
      </c>
      <c r="B58" s="4"/>
      <c r="C58" s="4"/>
      <c r="D58" s="4">
        <f>[7]INV_MAT!$S$6</f>
        <v>1601.1542222912904</v>
      </c>
      <c r="E58" s="4">
        <f>résultats!C3</f>
        <v>1575.8533864476501</v>
      </c>
      <c r="F58" s="4">
        <f>résultats!D3</f>
        <v>1602.8208529999999</v>
      </c>
      <c r="G58" s="4">
        <f>résultats!E3</f>
        <v>1455.633542</v>
      </c>
      <c r="H58" s="4">
        <f>résultats!F3</f>
        <v>1294.2094999999999</v>
      </c>
      <c r="I58" s="4">
        <f>résultats!G3</f>
        <v>955.9777636</v>
      </c>
      <c r="J58" s="4">
        <f>résultats!H3</f>
        <v>1324.7749080000001</v>
      </c>
      <c r="K58" s="4">
        <f>résultats!I3</f>
        <v>1565.1016540000001</v>
      </c>
      <c r="L58" s="4">
        <f>résultats!J3</f>
        <v>1351.5544560000001</v>
      </c>
      <c r="M58" s="4">
        <f>résultats!K3</f>
        <v>981.75878049999994</v>
      </c>
      <c r="N58" s="4">
        <f>résultats!L3</f>
        <v>1291.874787</v>
      </c>
      <c r="O58" s="4">
        <f>résultats!M3</f>
        <v>1194.0698870000001</v>
      </c>
      <c r="P58" s="4">
        <f>résultats!N3</f>
        <v>1384.8384679999999</v>
      </c>
      <c r="Q58" s="4">
        <f>résultats!O3</f>
        <v>1486.7208009999999</v>
      </c>
      <c r="R58" s="4">
        <f>résultats!P3</f>
        <v>1613.570373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50">
      <c r="A59" s="25" t="s">
        <v>459</v>
      </c>
      <c r="B59" s="4"/>
      <c r="C59" s="4"/>
      <c r="D59" s="4">
        <f>[7]INV_MAT!$S$8</f>
        <v>0.12181852239934135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50">
      <c r="A60" s="25" t="s">
        <v>420</v>
      </c>
      <c r="B60" s="4"/>
      <c r="C60" s="4"/>
      <c r="D60" s="4">
        <f>[7]INV_MAT!$S$15</f>
        <v>1781.0548150269276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50">
      <c r="A61" s="25" t="s">
        <v>421</v>
      </c>
      <c r="B61" s="4"/>
      <c r="C61" s="4"/>
      <c r="D61" s="4">
        <f>[7]INV_MAT!$S$22</f>
        <v>820.70124778552713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50">
      <c r="A62" s="25" t="s">
        <v>422</v>
      </c>
      <c r="B62" s="4"/>
      <c r="C62" s="4"/>
      <c r="D62" s="4">
        <f>[7]INV_MAT!$S$16</f>
        <v>646.35736227184339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50">
      <c r="A63" s="25" t="s">
        <v>297</v>
      </c>
      <c r="B63" s="4">
        <f>résultats!B64</f>
        <v>50367.815966588998</v>
      </c>
      <c r="C63" s="4">
        <f>résultats!C64</f>
        <v>51176.487543864299</v>
      </c>
      <c r="D63" s="4">
        <f>résultats!D64</f>
        <v>51997.840850000001</v>
      </c>
      <c r="E63" s="4">
        <f>résultats!E64</f>
        <v>53278.509599999998</v>
      </c>
      <c r="F63" s="4">
        <f>résultats!F64</f>
        <v>51746.802889999999</v>
      </c>
      <c r="G63" s="4">
        <f>résultats!G64</f>
        <v>47902.889869999999</v>
      </c>
      <c r="H63" s="4">
        <f>résultats!H64</f>
        <v>49310.520519999998</v>
      </c>
      <c r="I63" s="4">
        <f>résultats!I64</f>
        <v>49903.578589999997</v>
      </c>
      <c r="J63" s="4">
        <f>résultats!J64</f>
        <v>48585.703049999996</v>
      </c>
      <c r="K63" s="4">
        <f>résultats!K64</f>
        <v>48340.087520000001</v>
      </c>
      <c r="L63" s="4">
        <f>résultats!L64</f>
        <v>48989.524239999999</v>
      </c>
      <c r="M63" s="4">
        <f>résultats!M64</f>
        <v>49920.82185</v>
      </c>
      <c r="N63" s="4">
        <f>résultats!N64</f>
        <v>51000.063699999999</v>
      </c>
      <c r="O63" s="4">
        <f>résultats!O64</f>
        <v>53563.894549999997</v>
      </c>
      <c r="P63" s="4">
        <f>résultats!P64</f>
        <v>53234.94328</v>
      </c>
      <c r="Q63" s="4">
        <f>résultats!Q64</f>
        <v>54083.170460000001</v>
      </c>
      <c r="R63" s="4">
        <f>résultats!R64</f>
        <v>54384.040549999998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50">
      <c r="A64" s="25" t="s">
        <v>419</v>
      </c>
      <c r="D64" s="67">
        <v>6.5728305269673604E-2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>
      <c r="A65" s="25" t="s">
        <v>454</v>
      </c>
      <c r="D65">
        <v>0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>
      <c r="A66" s="25" t="s">
        <v>455</v>
      </c>
      <c r="D66" s="15">
        <f t="shared" ref="D66:E68" si="63">D7-C7*(1-$D$64)</f>
        <v>46484.277783534257</v>
      </c>
      <c r="E66">
        <f t="shared" si="63"/>
        <v>42345.827031345922</v>
      </c>
      <c r="F66">
        <f t="shared" ref="F66:R66" si="64">F7-E7*(1-$D$64)</f>
        <v>37574.697016246733</v>
      </c>
      <c r="G66">
        <f t="shared" si="64"/>
        <v>27662.333781229449</v>
      </c>
      <c r="H66">
        <f t="shared" si="64"/>
        <v>38318.024544474902</v>
      </c>
      <c r="I66">
        <f t="shared" si="64"/>
        <v>45222.540682748193</v>
      </c>
      <c r="J66">
        <f t="shared" si="64"/>
        <v>38930.198249765905</v>
      </c>
      <c r="K66">
        <f t="shared" si="64"/>
        <v>28106.283298567752</v>
      </c>
      <c r="L66">
        <f t="shared" si="64"/>
        <v>37013.026991244522</v>
      </c>
      <c r="M66">
        <f t="shared" si="64"/>
        <v>34073.513106105616</v>
      </c>
      <c r="N66">
        <f t="shared" si="64"/>
        <v>39456.403724363889</v>
      </c>
      <c r="O66">
        <f t="shared" si="64"/>
        <v>42229.111086104182</v>
      </c>
      <c r="P66">
        <f t="shared" si="64"/>
        <v>45704.451928668655</v>
      </c>
      <c r="Q66">
        <f t="shared" si="64"/>
        <v>42787.521074771881</v>
      </c>
      <c r="R66">
        <f t="shared" si="64"/>
        <v>37078.550376466941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>
      <c r="A67" s="66" t="s">
        <v>456</v>
      </c>
      <c r="D67" s="15">
        <f t="shared" si="63"/>
        <v>80.491314636693005</v>
      </c>
      <c r="E67">
        <f t="shared" si="63"/>
        <v>-178.05719608075583</v>
      </c>
      <c r="F67">
        <f t="shared" ref="F67:R67" si="65">F8-E8*(1-$D$64)</f>
        <v>-134.64943326515709</v>
      </c>
      <c r="G67">
        <f t="shared" si="65"/>
        <v>-101.82385367005963</v>
      </c>
      <c r="H67">
        <f t="shared" si="65"/>
        <v>-77.000674453671309</v>
      </c>
      <c r="I67">
        <f t="shared" si="65"/>
        <v>-58.229026427661864</v>
      </c>
      <c r="J67">
        <f t="shared" si="65"/>
        <v>-44.033634026846897</v>
      </c>
      <c r="K67">
        <f t="shared" si="65"/>
        <v>-33.298872479330697</v>
      </c>
      <c r="L67">
        <f t="shared" si="65"/>
        <v>-25.181090157553058</v>
      </c>
      <c r="M67">
        <f t="shared" si="65"/>
        <v>-19.042305468943624</v>
      </c>
      <c r="N67">
        <f t="shared" si="65"/>
        <v>-14.400067483329174</v>
      </c>
      <c r="O67">
        <f t="shared" si="65"/>
        <v>-10.88953981242576</v>
      </c>
      <c r="P67">
        <f t="shared" si="65"/>
        <v>-8.2348278897780816</v>
      </c>
      <c r="Q67">
        <f t="shared" si="65"/>
        <v>-6.2272962441340383</v>
      </c>
      <c r="R67">
        <f t="shared" si="65"/>
        <v>-4.709171707200202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>
      <c r="A68" s="25" t="s">
        <v>457</v>
      </c>
      <c r="D68" s="15">
        <f t="shared" si="63"/>
        <v>80.491314636693005</v>
      </c>
      <c r="E68">
        <f t="shared" si="63"/>
        <v>200.76064387442614</v>
      </c>
      <c r="F68">
        <f t="shared" ref="F68:R68" si="66">F9-E9*(1-$D$64)</f>
        <v>227.86982311658562</v>
      </c>
      <c r="G68">
        <f t="shared" si="66"/>
        <v>258.63961822946953</v>
      </c>
      <c r="H68">
        <f t="shared" si="66"/>
        <v>293.56433073483504</v>
      </c>
      <c r="I68">
        <f t="shared" si="66"/>
        <v>333.20500884489888</v>
      </c>
      <c r="J68">
        <f t="shared" si="66"/>
        <v>378.19846042404311</v>
      </c>
      <c r="K68">
        <f t="shared" si="66"/>
        <v>429.26748299181827</v>
      </c>
      <c r="L68">
        <f t="shared" si="66"/>
        <v>487.23247510717965</v>
      </c>
      <c r="M68">
        <f t="shared" si="66"/>
        <v>553.02461566508373</v>
      </c>
      <c r="N68">
        <f t="shared" si="66"/>
        <v>627.70082282433486</v>
      </c>
      <c r="O68">
        <f t="shared" si="66"/>
        <v>712.46073287443141</v>
      </c>
      <c r="P68">
        <f t="shared" si="66"/>
        <v>808.66597179852261</v>
      </c>
      <c r="Q68">
        <f t="shared" si="66"/>
        <v>917.8620291205616</v>
      </c>
      <c r="R68">
        <f t="shared" si="66"/>
        <v>1041.8030854292228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>
      <c r="A69" s="25" t="s">
        <v>458</v>
      </c>
      <c r="D69" s="15">
        <f>SUM(D66:D68)</f>
        <v>46645.260412807649</v>
      </c>
      <c r="E69">
        <f t="shared" ref="E69:R69" si="67">E10-D10*(1-$D$64)</f>
        <v>0.74981544339052064</v>
      </c>
      <c r="F69">
        <f t="shared" si="67"/>
        <v>0.72618491797042495</v>
      </c>
      <c r="G69">
        <f t="shared" si="67"/>
        <v>0.70255439255032925</v>
      </c>
      <c r="H69">
        <f t="shared" si="67"/>
        <v>0.67892386713023356</v>
      </c>
      <c r="I69">
        <f t="shared" si="67"/>
        <v>0.65529334171013787</v>
      </c>
      <c r="J69">
        <f t="shared" si="67"/>
        <v>0.63166281629004217</v>
      </c>
      <c r="K69">
        <f t="shared" si="67"/>
        <v>0.6080322908699447</v>
      </c>
      <c r="L69">
        <f t="shared" si="67"/>
        <v>0.58440176544984901</v>
      </c>
      <c r="M69">
        <f t="shared" si="67"/>
        <v>0.56077124002975332</v>
      </c>
      <c r="N69">
        <f t="shared" si="67"/>
        <v>0.53714071460965762</v>
      </c>
      <c r="O69">
        <f t="shared" si="67"/>
        <v>0.51351018918956193</v>
      </c>
      <c r="P69">
        <f t="shared" si="67"/>
        <v>0.48987966376946446</v>
      </c>
      <c r="Q69">
        <f t="shared" si="67"/>
        <v>0.46624913834936876</v>
      </c>
      <c r="R69">
        <f t="shared" si="67"/>
        <v>0.44261861292927129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>
      <c r="A70" s="25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>
      <c r="A71" s="25"/>
      <c r="D71" s="70">
        <f>SUMPRODUCT(D66:D68,D28:D30)*1000/1000000-D58-D60</f>
        <v>1.8247396837978158E-7</v>
      </c>
      <c r="E71" t="s">
        <v>495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>
      <c r="A72" s="25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>
      <c r="A73" s="25"/>
      <c r="D73" s="41">
        <f>1/D64</f>
        <v>15.214145502415535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>
      <c r="A74" s="25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>
      <c r="A75" s="25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>
      <c r="A76" s="25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>
      <c r="B77" s="48" t="e">
        <f t="shared" ref="B77:R77" si="68">B53/A53-1</f>
        <v>#VALUE!</v>
      </c>
      <c r="C77" s="48">
        <f t="shared" si="68"/>
        <v>1.6055323459164939E-2</v>
      </c>
      <c r="D77" s="48">
        <f t="shared" si="68"/>
        <v>1.6055323459164939E-2</v>
      </c>
      <c r="E77" s="48">
        <f t="shared" si="68"/>
        <v>1.225336411760769E-2</v>
      </c>
      <c r="F77" s="48">
        <f t="shared" si="68"/>
        <v>6.8333135514491161E-3</v>
      </c>
      <c r="G77" s="48">
        <f t="shared" si="68"/>
        <v>-9.9749097858986557E-3</v>
      </c>
      <c r="H77" s="48">
        <f t="shared" si="68"/>
        <v>5.355404491784288E-3</v>
      </c>
      <c r="I77" s="48">
        <f t="shared" si="68"/>
        <v>1.579175232079888E-2</v>
      </c>
      <c r="J77" s="48">
        <f t="shared" si="68"/>
        <v>6.6775773827369989E-3</v>
      </c>
      <c r="K77" s="48">
        <f t="shared" si="68"/>
        <v>-4.65970786388481E-3</v>
      </c>
      <c r="L77" s="48">
        <f t="shared" si="68"/>
        <v>6.2033075514347225E-3</v>
      </c>
      <c r="M77" s="48">
        <f t="shared" si="68"/>
        <v>5.9390819585902754E-3</v>
      </c>
      <c r="N77" s="48">
        <f t="shared" si="68"/>
        <v>8.6960575247498895E-3</v>
      </c>
      <c r="O77" s="48">
        <f t="shared" si="68"/>
        <v>1.4314399319873994E-2</v>
      </c>
      <c r="P77" s="48">
        <f t="shared" si="68"/>
        <v>1.8121067963151605E-2</v>
      </c>
      <c r="Q77" s="48">
        <f t="shared" si="68"/>
        <v>1.4175430554393298E-2</v>
      </c>
      <c r="R77" s="48">
        <f t="shared" si="68"/>
        <v>1.171732493918376E-2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>
      <c r="B78" s="48" t="e">
        <f t="shared" ref="B78:R78" si="69">B63/A63-1</f>
        <v>#VALUE!</v>
      </c>
      <c r="C78" s="48">
        <f t="shared" si="69"/>
        <v>1.6055323459165383E-2</v>
      </c>
      <c r="D78" s="48">
        <f t="shared" si="69"/>
        <v>1.604942710129742E-2</v>
      </c>
      <c r="E78" s="48">
        <f t="shared" si="69"/>
        <v>2.4629267851609127E-2</v>
      </c>
      <c r="F78" s="48">
        <f t="shared" si="69"/>
        <v>-2.8749053258051327E-2</v>
      </c>
      <c r="G78" s="48">
        <f t="shared" si="69"/>
        <v>-7.4283101666612006E-2</v>
      </c>
      <c r="H78" s="48">
        <f t="shared" si="69"/>
        <v>2.9385088328075071E-2</v>
      </c>
      <c r="I78" s="48">
        <f t="shared" si="69"/>
        <v>1.2027008917082194E-2</v>
      </c>
      <c r="J78" s="48">
        <f t="shared" si="69"/>
        <v>-2.6408437575738963E-2</v>
      </c>
      <c r="K78" s="48">
        <f t="shared" si="69"/>
        <v>-5.0553046386347944E-3</v>
      </c>
      <c r="L78" s="48">
        <f t="shared" si="69"/>
        <v>1.3434744397831322E-2</v>
      </c>
      <c r="M78" s="48">
        <f t="shared" si="69"/>
        <v>1.9010137870242749E-2</v>
      </c>
      <c r="N78" s="48">
        <f t="shared" si="69"/>
        <v>2.1619072162771369E-2</v>
      </c>
      <c r="O78" s="48">
        <f t="shared" si="69"/>
        <v>5.0271130347627313E-2</v>
      </c>
      <c r="P78" s="48">
        <f t="shared" si="69"/>
        <v>-6.141287387027683E-3</v>
      </c>
      <c r="Q78" s="48">
        <f t="shared" si="69"/>
        <v>1.5933654245456452E-2</v>
      </c>
      <c r="R78" s="48">
        <f t="shared" si="69"/>
        <v>5.563100081614536E-3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</sheetData>
  <phoneticPr fontId="19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8BCA-BCC4-4D27-90A5-6F72A5E9DF11}">
  <dimension ref="A1:AX51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G47" sqref="G47"/>
    </sheetView>
  </sheetViews>
  <sheetFormatPr baseColWidth="10" defaultRowHeight="15"/>
  <cols>
    <col min="1" max="1" width="34.7109375" customWidth="1"/>
  </cols>
  <sheetData>
    <row r="1" spans="1:50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50">
      <c r="A2" t="s">
        <v>163</v>
      </c>
      <c r="B2">
        <v>1562.42671534339</v>
      </c>
      <c r="C2">
        <v>1587.5119816394699</v>
      </c>
      <c r="D2">
        <v>1612.79757</v>
      </c>
      <c r="E2">
        <v>1617.620985</v>
      </c>
      <c r="F2">
        <v>1533.0939450000001</v>
      </c>
      <c r="G2">
        <v>1408.6347599999999</v>
      </c>
      <c r="H2">
        <v>1421.0325969999999</v>
      </c>
      <c r="I2">
        <v>1385.0796809999999</v>
      </c>
      <c r="J2">
        <v>1324.6377520000001</v>
      </c>
      <c r="K2">
        <v>1300.878234</v>
      </c>
      <c r="L2">
        <v>1275.42218</v>
      </c>
      <c r="M2">
        <v>1184.7778249999999</v>
      </c>
      <c r="N2">
        <v>1236.2277309999999</v>
      </c>
      <c r="O2">
        <v>1283.0820880000001</v>
      </c>
      <c r="P2">
        <v>1323.0454500000001</v>
      </c>
      <c r="Q2">
        <v>1368.7858200000001</v>
      </c>
      <c r="R2">
        <v>1384.085337</v>
      </c>
      <c r="S2">
        <v>1386.9055499999999</v>
      </c>
      <c r="T2">
        <v>1389.1813139999999</v>
      </c>
      <c r="U2">
        <v>1391.781667</v>
      </c>
      <c r="V2">
        <v>1391.2317459999999</v>
      </c>
      <c r="W2">
        <v>1390.5924869999999</v>
      </c>
      <c r="X2">
        <v>1391.3184960000001</v>
      </c>
      <c r="Y2">
        <v>1395.3974720000001</v>
      </c>
      <c r="Z2">
        <v>1402.2287940000001</v>
      </c>
      <c r="AA2">
        <v>1410.829923</v>
      </c>
      <c r="AB2">
        <v>1420.5956100000001</v>
      </c>
      <c r="AC2">
        <v>1430.218903</v>
      </c>
      <c r="AD2">
        <v>1439.59448</v>
      </c>
      <c r="AE2">
        <v>1448.6828519999999</v>
      </c>
      <c r="AF2">
        <v>1457.5553190000001</v>
      </c>
      <c r="AG2">
        <v>1466.425853</v>
      </c>
      <c r="AH2">
        <v>1475.287742</v>
      </c>
      <c r="AI2">
        <v>1484.3465269999999</v>
      </c>
      <c r="AJ2">
        <v>1493.702176</v>
      </c>
      <c r="AK2">
        <v>1503.327025</v>
      </c>
      <c r="AL2">
        <v>1513.1713159999999</v>
      </c>
      <c r="AM2">
        <v>1524.18722</v>
      </c>
      <c r="AN2">
        <v>1535.8564429999999</v>
      </c>
      <c r="AO2">
        <v>1547.9225060000001</v>
      </c>
      <c r="AP2">
        <v>1560.3292650000001</v>
      </c>
      <c r="AQ2">
        <v>1572.86833</v>
      </c>
      <c r="AR2">
        <v>1585.466473</v>
      </c>
      <c r="AS2">
        <v>1598.0118319999999</v>
      </c>
      <c r="AT2">
        <v>1610.525122</v>
      </c>
      <c r="AU2">
        <v>1623.0779150000001</v>
      </c>
      <c r="AV2">
        <v>1636.0656260000001</v>
      </c>
      <c r="AW2">
        <f>AV2/U2-1</f>
        <v>0.17551887971520475</v>
      </c>
    </row>
    <row r="3" spans="1:50">
      <c r="A3" t="s">
        <v>164</v>
      </c>
      <c r="B3">
        <v>1562.42671534339</v>
      </c>
      <c r="C3">
        <v>1587.5119816394699</v>
      </c>
      <c r="D3">
        <v>1612.79757</v>
      </c>
      <c r="E3">
        <v>1617.620985</v>
      </c>
      <c r="F3">
        <v>1533.0939450000001</v>
      </c>
      <c r="G3">
        <v>1408.6347599999999</v>
      </c>
      <c r="H3">
        <v>1421.0325969999999</v>
      </c>
      <c r="I3">
        <v>1385.0796809999999</v>
      </c>
      <c r="J3">
        <v>1324.6377520000001</v>
      </c>
      <c r="K3">
        <v>1300.878234</v>
      </c>
      <c r="L3">
        <v>1275.42218</v>
      </c>
      <c r="M3">
        <v>1184.7778249999999</v>
      </c>
      <c r="N3">
        <v>1236.2277309999999</v>
      </c>
      <c r="O3">
        <v>1283.0820880000001</v>
      </c>
      <c r="P3">
        <v>1323.0454500000001</v>
      </c>
      <c r="Q3">
        <v>1368.7858200000001</v>
      </c>
      <c r="R3">
        <v>1384.085337</v>
      </c>
      <c r="S3">
        <v>1386.9055499999999</v>
      </c>
      <c r="T3">
        <v>1389.1813139999999</v>
      </c>
      <c r="U3">
        <v>1391.781667</v>
      </c>
      <c r="V3">
        <v>1348.139381</v>
      </c>
      <c r="W3">
        <v>1305.865579</v>
      </c>
      <c r="X3">
        <v>1264.9173619999999</v>
      </c>
      <c r="Y3">
        <v>1225.253164</v>
      </c>
      <c r="Z3">
        <v>1186.832723</v>
      </c>
      <c r="AA3">
        <v>1149.617037</v>
      </c>
      <c r="AB3">
        <v>1113.5683280000001</v>
      </c>
      <c r="AC3">
        <v>1078.6500040000001</v>
      </c>
      <c r="AD3">
        <v>1044.8266189999999</v>
      </c>
      <c r="AE3">
        <v>1012.063839</v>
      </c>
      <c r="AF3">
        <v>980.32840590000001</v>
      </c>
      <c r="AG3">
        <v>949.58810559999995</v>
      </c>
      <c r="AH3">
        <v>919.81173330000001</v>
      </c>
      <c r="AI3">
        <v>890.96906309999997</v>
      </c>
      <c r="AJ3">
        <v>863.03081659999998</v>
      </c>
      <c r="AK3">
        <v>835.96863380000002</v>
      </c>
      <c r="AL3">
        <v>809.75504379999995</v>
      </c>
      <c r="AM3">
        <v>784.36343720000002</v>
      </c>
      <c r="AN3">
        <v>759.76803889999996</v>
      </c>
      <c r="AO3">
        <v>735.94388200000003</v>
      </c>
      <c r="AP3">
        <v>712.86678270000004</v>
      </c>
      <c r="AQ3">
        <v>690.51331540000001</v>
      </c>
      <c r="AR3">
        <v>668.86078889999999</v>
      </c>
      <c r="AS3">
        <v>647.88722389999998</v>
      </c>
      <c r="AT3">
        <v>627.57133009999995</v>
      </c>
      <c r="AU3">
        <v>607.89248459999999</v>
      </c>
      <c r="AV3">
        <v>588.83071159999997</v>
      </c>
      <c r="AW3">
        <f t="shared" ref="AW3:AW29" si="0">AV3/U3-1</f>
        <v>-0.57692307237439711</v>
      </c>
    </row>
    <row r="4" spans="1:50">
      <c r="A4" t="s">
        <v>165</v>
      </c>
      <c r="B4">
        <v>6772.67767358117</v>
      </c>
      <c r="C4">
        <v>6881.4152043151798</v>
      </c>
      <c r="D4">
        <v>6991.0357130000002</v>
      </c>
      <c r="E4">
        <v>7025.3806400000003</v>
      </c>
      <c r="F4">
        <v>6659.7074629999997</v>
      </c>
      <c r="G4">
        <v>6056.0666520000004</v>
      </c>
      <c r="H4">
        <v>6115.833431</v>
      </c>
      <c r="I4">
        <v>6031.4017400000002</v>
      </c>
      <c r="J4">
        <v>5687.9550520000003</v>
      </c>
      <c r="K4">
        <v>5514.8195009999999</v>
      </c>
      <c r="L4">
        <v>5465.5541110000004</v>
      </c>
      <c r="M4">
        <v>5329.0801629999996</v>
      </c>
      <c r="N4">
        <v>5518.7152669999996</v>
      </c>
      <c r="O4">
        <v>5615.2832269999999</v>
      </c>
      <c r="P4">
        <v>5576.4563909999997</v>
      </c>
      <c r="Q4">
        <v>5622.6014690000002</v>
      </c>
      <c r="R4">
        <v>5620.9118500000004</v>
      </c>
      <c r="S4">
        <v>5577.6166499999999</v>
      </c>
      <c r="T4">
        <v>5534.7548049999996</v>
      </c>
      <c r="U4">
        <v>5495.0817950000001</v>
      </c>
      <c r="V4">
        <v>5424.4358430000002</v>
      </c>
      <c r="W4">
        <v>5347.3403770000004</v>
      </c>
      <c r="X4">
        <v>5293.0988349999998</v>
      </c>
      <c r="Y4">
        <v>5281.0351090000004</v>
      </c>
      <c r="Z4">
        <v>5296.3632349999998</v>
      </c>
      <c r="AA4">
        <v>5333.194767</v>
      </c>
      <c r="AB4">
        <v>5386.9585669999997</v>
      </c>
      <c r="AC4">
        <v>5454.3654640000004</v>
      </c>
      <c r="AD4">
        <v>5530.4687739999999</v>
      </c>
      <c r="AE4">
        <v>5612.802968</v>
      </c>
      <c r="AF4">
        <v>5699.8380820000002</v>
      </c>
      <c r="AG4">
        <v>5791.2893960000001</v>
      </c>
      <c r="AH4">
        <v>5885.3930989999999</v>
      </c>
      <c r="AI4">
        <v>5983.79234</v>
      </c>
      <c r="AJ4">
        <v>6086.4189679999999</v>
      </c>
      <c r="AK4">
        <v>6192.424008</v>
      </c>
      <c r="AL4">
        <v>6301.3728680000004</v>
      </c>
      <c r="AM4">
        <v>6406.9561350000004</v>
      </c>
      <c r="AN4">
        <v>6511.4273540000004</v>
      </c>
      <c r="AO4">
        <v>6614.3216769999999</v>
      </c>
      <c r="AP4">
        <v>6716.4484359999997</v>
      </c>
      <c r="AQ4">
        <v>6816.544742</v>
      </c>
      <c r="AR4">
        <v>6913.7279490000001</v>
      </c>
      <c r="AS4">
        <v>7005.5739800000001</v>
      </c>
      <c r="AT4">
        <v>7093.5083770000001</v>
      </c>
      <c r="AU4">
        <v>7178.2329499999996</v>
      </c>
      <c r="AV4">
        <v>7262.8658809999997</v>
      </c>
      <c r="AW4">
        <f t="shared" si="0"/>
        <v>0.32170296129322673</v>
      </c>
    </row>
    <row r="5" spans="1:50">
      <c r="A5" t="s">
        <v>166</v>
      </c>
      <c r="B5">
        <v>6772.67767358117</v>
      </c>
      <c r="C5">
        <v>6881.4152043151798</v>
      </c>
      <c r="D5">
        <v>6991.0357130000002</v>
      </c>
      <c r="E5">
        <v>7025.3806400000003</v>
      </c>
      <c r="F5">
        <v>6659.7074629999997</v>
      </c>
      <c r="G5">
        <v>6056.0666520000004</v>
      </c>
      <c r="H5">
        <v>6115.833431</v>
      </c>
      <c r="I5">
        <v>6031.4017400000002</v>
      </c>
      <c r="J5">
        <v>5687.9550520000003</v>
      </c>
      <c r="K5">
        <v>5514.8195009999999</v>
      </c>
      <c r="L5">
        <v>5465.5541110000004</v>
      </c>
      <c r="M5">
        <v>5329.0801629999996</v>
      </c>
      <c r="N5">
        <v>5518.7152669999996</v>
      </c>
      <c r="O5">
        <v>5615.2832269999999</v>
      </c>
      <c r="P5">
        <v>5576.4563909999997</v>
      </c>
      <c r="Q5">
        <v>5622.6014690000002</v>
      </c>
      <c r="R5">
        <v>5620.9118500000004</v>
      </c>
      <c r="S5">
        <v>5577.6166499999999</v>
      </c>
      <c r="T5">
        <v>5534.7548049999996</v>
      </c>
      <c r="U5">
        <v>5495.0817950000001</v>
      </c>
      <c r="V5">
        <v>5302.9694390000004</v>
      </c>
      <c r="W5">
        <v>5117.5732449999996</v>
      </c>
      <c r="X5">
        <v>4938.6586539999998</v>
      </c>
      <c r="Y5">
        <v>4765.999065</v>
      </c>
      <c r="Z5">
        <v>4599.3757990000004</v>
      </c>
      <c r="AA5">
        <v>4438.5778190000001</v>
      </c>
      <c r="AB5">
        <v>4283.4014699999998</v>
      </c>
      <c r="AC5">
        <v>4133.6502140000002</v>
      </c>
      <c r="AD5">
        <v>3989.1343860000002</v>
      </c>
      <c r="AE5">
        <v>3849.6709500000002</v>
      </c>
      <c r="AF5">
        <v>3715.0832719999999</v>
      </c>
      <c r="AG5">
        <v>3585.2008900000001</v>
      </c>
      <c r="AH5">
        <v>3459.8593030000002</v>
      </c>
      <c r="AI5">
        <v>3338.899762</v>
      </c>
      <c r="AJ5">
        <v>3222.1690669999998</v>
      </c>
      <c r="AK5">
        <v>3109.5193730000001</v>
      </c>
      <c r="AL5">
        <v>3000.8080049999999</v>
      </c>
      <c r="AM5">
        <v>2895.897277</v>
      </c>
      <c r="AN5">
        <v>2794.6543150000002</v>
      </c>
      <c r="AO5">
        <v>2696.9508900000001</v>
      </c>
      <c r="AP5">
        <v>2602.663258</v>
      </c>
      <c r="AQ5">
        <v>2511.6719990000001</v>
      </c>
      <c r="AR5">
        <v>2423.8618700000002</v>
      </c>
      <c r="AS5">
        <v>2339.1216549999999</v>
      </c>
      <c r="AT5">
        <v>2257.3440289999999</v>
      </c>
      <c r="AU5">
        <v>2178.425416</v>
      </c>
      <c r="AV5">
        <v>2102.2658620000002</v>
      </c>
      <c r="AW5">
        <f t="shared" si="0"/>
        <v>-0.61742773985405242</v>
      </c>
    </row>
    <row r="6" spans="1:50">
      <c r="A6" t="s">
        <v>167</v>
      </c>
      <c r="B6">
        <v>6772.67767358117</v>
      </c>
      <c r="C6">
        <v>6881.4152043151798</v>
      </c>
      <c r="D6">
        <v>6991.0357139999996</v>
      </c>
      <c r="E6">
        <v>7025.3806400000003</v>
      </c>
      <c r="F6">
        <v>6659.7075269999996</v>
      </c>
      <c r="G6">
        <v>6056.0667210000001</v>
      </c>
      <c r="H6">
        <v>6115.8335340000003</v>
      </c>
      <c r="I6">
        <v>6031.4018569999998</v>
      </c>
      <c r="J6">
        <v>5687.9551840000004</v>
      </c>
      <c r="K6">
        <v>5514.8196840000001</v>
      </c>
      <c r="L6">
        <v>5465.5543250000001</v>
      </c>
      <c r="M6">
        <v>5329.0804099999996</v>
      </c>
      <c r="N6">
        <v>5518.7155270000003</v>
      </c>
      <c r="O6">
        <v>5615.2834780000003</v>
      </c>
      <c r="P6">
        <v>5576.4566359999999</v>
      </c>
      <c r="Q6">
        <v>5622.6017330000004</v>
      </c>
      <c r="R6">
        <v>5620.9119270000001</v>
      </c>
      <c r="S6">
        <v>5577.6167740000001</v>
      </c>
      <c r="T6">
        <v>5534.7549859999999</v>
      </c>
      <c r="U6">
        <v>5495.08205</v>
      </c>
      <c r="V6">
        <v>5302.96943948637</v>
      </c>
      <c r="W6">
        <v>5117.5732446299698</v>
      </c>
      <c r="X6">
        <v>4938.6586539878699</v>
      </c>
      <c r="Y6">
        <v>4765.9990653192499</v>
      </c>
      <c r="Z6">
        <v>4599.3757985849497</v>
      </c>
      <c r="AA6">
        <v>4438.5778189807497</v>
      </c>
      <c r="AB6">
        <v>4283.4014696535796</v>
      </c>
      <c r="AC6">
        <v>4133.6502137623102</v>
      </c>
      <c r="AD6">
        <v>3989.13438555624</v>
      </c>
      <c r="AE6">
        <v>3849.6709501560599</v>
      </c>
      <c r="AF6">
        <v>3715.08327173314</v>
      </c>
      <c r="AG6">
        <v>3585.2008897934302</v>
      </c>
      <c r="AH6">
        <v>3459.8593032826402</v>
      </c>
      <c r="AI6">
        <v>3338.8997622392999</v>
      </c>
      <c r="AJ6">
        <v>3222.1690667318298</v>
      </c>
      <c r="AK6">
        <v>3109.5193728248701</v>
      </c>
      <c r="AL6">
        <v>3000.8080053292701</v>
      </c>
      <c r="AM6">
        <v>2895.8972770983801</v>
      </c>
      <c r="AN6">
        <v>2794.6543146420299</v>
      </c>
      <c r="AO6">
        <v>2696.95088983711</v>
      </c>
      <c r="AP6">
        <v>2602.6632575216599</v>
      </c>
      <c r="AQ6">
        <v>2511.6719987668598</v>
      </c>
      <c r="AR6">
        <v>2423.8618696283802</v>
      </c>
      <c r="AS6">
        <v>2339.1216551854</v>
      </c>
      <c r="AT6">
        <v>2257.3440286826999</v>
      </c>
      <c r="AU6">
        <v>2178.4254155970998</v>
      </c>
      <c r="AV6">
        <v>2102.2658624563801</v>
      </c>
      <c r="AW6">
        <f t="shared" si="0"/>
        <v>-0.61742775752431567</v>
      </c>
    </row>
    <row r="7" spans="1:50">
      <c r="A7" t="s">
        <v>168</v>
      </c>
      <c r="B7">
        <v>6772.67767358117</v>
      </c>
      <c r="C7">
        <v>6881.4152043151798</v>
      </c>
      <c r="D7">
        <v>6991.0357130000002</v>
      </c>
      <c r="E7">
        <v>7025.3806400000003</v>
      </c>
      <c r="F7">
        <v>6659.7074629999997</v>
      </c>
      <c r="G7">
        <v>6056.0666520000004</v>
      </c>
      <c r="H7">
        <v>6115.833431</v>
      </c>
      <c r="I7">
        <v>6031.4017400000002</v>
      </c>
      <c r="J7">
        <v>5687.9550520000003</v>
      </c>
      <c r="K7">
        <v>5514.8195009999999</v>
      </c>
      <c r="L7">
        <v>5465.5541110000004</v>
      </c>
      <c r="M7">
        <v>5329.0801629999996</v>
      </c>
      <c r="N7">
        <v>5518.7152669999996</v>
      </c>
      <c r="O7">
        <v>5615.2832269999999</v>
      </c>
      <c r="P7">
        <v>5576.4563909999997</v>
      </c>
      <c r="Q7">
        <v>5622.6014690000002</v>
      </c>
      <c r="R7">
        <v>5620.9118500000004</v>
      </c>
      <c r="S7">
        <v>5577.6166499999999</v>
      </c>
      <c r="T7">
        <v>5534.7548049999996</v>
      </c>
      <c r="U7">
        <v>5495.0817950000001</v>
      </c>
      <c r="V7">
        <v>5302.9694390000004</v>
      </c>
      <c r="W7">
        <v>5117.5732449999996</v>
      </c>
      <c r="X7">
        <v>4938.6586539999998</v>
      </c>
      <c r="Y7">
        <v>4765.999065</v>
      </c>
      <c r="Z7">
        <v>4599.3757990000004</v>
      </c>
      <c r="AA7">
        <v>4438.5778190000001</v>
      </c>
      <c r="AB7">
        <v>4283.4014699999998</v>
      </c>
      <c r="AC7">
        <v>4133.6502140000002</v>
      </c>
      <c r="AD7">
        <v>3989.1343860000002</v>
      </c>
      <c r="AE7">
        <v>3849.6709500000002</v>
      </c>
      <c r="AF7">
        <v>3715.0832719999999</v>
      </c>
      <c r="AG7">
        <v>3585.2008900000001</v>
      </c>
      <c r="AH7">
        <v>3459.8593030000002</v>
      </c>
      <c r="AI7">
        <v>3338.899762</v>
      </c>
      <c r="AJ7">
        <v>3222.1690669999998</v>
      </c>
      <c r="AK7">
        <v>3109.5193730000001</v>
      </c>
      <c r="AL7">
        <v>3000.8080049999999</v>
      </c>
      <c r="AM7">
        <v>2895.897277</v>
      </c>
      <c r="AN7">
        <v>2794.6543150000002</v>
      </c>
      <c r="AO7">
        <v>2696.9508900000001</v>
      </c>
      <c r="AP7">
        <v>2602.663258</v>
      </c>
      <c r="AQ7">
        <v>2511.6719990000001</v>
      </c>
      <c r="AR7">
        <v>2423.8618700000002</v>
      </c>
      <c r="AS7">
        <v>2339.1216549999999</v>
      </c>
      <c r="AT7">
        <v>2257.3440289999999</v>
      </c>
      <c r="AU7">
        <v>2178.425416</v>
      </c>
      <c r="AV7">
        <v>2102.2658620000002</v>
      </c>
      <c r="AW7">
        <f t="shared" si="0"/>
        <v>-0.61742773985405242</v>
      </c>
    </row>
    <row r="8" spans="1:50">
      <c r="A8" t="s">
        <v>169</v>
      </c>
      <c r="B8">
        <v>18.153964517081199</v>
      </c>
      <c r="C8">
        <v>18.4454322894691</v>
      </c>
      <c r="D8">
        <v>18.74157967</v>
      </c>
      <c r="E8">
        <v>18.833813849999999</v>
      </c>
      <c r="F8">
        <v>17.853102310000001</v>
      </c>
      <c r="G8">
        <v>16.23810628</v>
      </c>
      <c r="H8">
        <v>16.397074289999999</v>
      </c>
      <c r="I8">
        <v>16.168848669999999</v>
      </c>
      <c r="J8">
        <v>15.247630259999999</v>
      </c>
      <c r="K8">
        <v>14.78439792</v>
      </c>
      <c r="L8">
        <v>14.65154399</v>
      </c>
      <c r="M8">
        <v>14.28550012</v>
      </c>
      <c r="N8">
        <v>14.792405260000001</v>
      </c>
      <c r="O8">
        <v>15.048505949999999</v>
      </c>
      <c r="P8">
        <v>14.94108875</v>
      </c>
      <c r="Q8">
        <v>15.06728597</v>
      </c>
      <c r="R8">
        <v>15.06662738</v>
      </c>
      <c r="S8">
        <v>14.954179440000001</v>
      </c>
      <c r="T8">
        <v>14.840868009999999</v>
      </c>
      <c r="U8">
        <v>14.73467743</v>
      </c>
      <c r="V8">
        <v>14.00383471</v>
      </c>
      <c r="W8">
        <v>13.309302499999999</v>
      </c>
      <c r="X8">
        <v>12.64621681</v>
      </c>
      <c r="Y8">
        <v>12.01322775</v>
      </c>
      <c r="Z8">
        <v>11.40904138</v>
      </c>
      <c r="AA8">
        <v>10.83241743</v>
      </c>
      <c r="AB8">
        <v>10.28216718</v>
      </c>
      <c r="AC8">
        <v>9.7571513040000006</v>
      </c>
      <c r="AD8">
        <v>9.256277936</v>
      </c>
      <c r="AE8">
        <v>8.7785006909999996</v>
      </c>
      <c r="AF8">
        <v>8.3228168480000004</v>
      </c>
      <c r="AG8">
        <v>7.8882655679999996</v>
      </c>
      <c r="AH8">
        <v>7.4739261910000003</v>
      </c>
      <c r="AI8">
        <v>7.0789166010000004</v>
      </c>
      <c r="AJ8">
        <v>6.7023916589999999</v>
      </c>
      <c r="AK8">
        <v>6.3435416900000003</v>
      </c>
      <c r="AL8">
        <v>6.0015910440000004</v>
      </c>
      <c r="AM8">
        <v>5.6757966980000001</v>
      </c>
      <c r="AN8">
        <v>5.3654469310000001</v>
      </c>
      <c r="AO8">
        <v>5.0698600359999997</v>
      </c>
      <c r="AP8">
        <v>4.7883830979999997</v>
      </c>
      <c r="AQ8">
        <v>4.5203908090000002</v>
      </c>
      <c r="AR8">
        <v>4.2652843369999998</v>
      </c>
      <c r="AS8">
        <v>4.0224902419999999</v>
      </c>
      <c r="AT8">
        <v>3.7914594269999999</v>
      </c>
      <c r="AU8">
        <v>3.5716661420000002</v>
      </c>
      <c r="AV8">
        <v>3.36260702</v>
      </c>
      <c r="AW8">
        <f t="shared" si="0"/>
        <v>-0.77178957354345012</v>
      </c>
    </row>
    <row r="9" spans="1:50">
      <c r="A9" t="s">
        <v>170</v>
      </c>
      <c r="B9">
        <v>2348.6719326174398</v>
      </c>
      <c r="C9">
        <v>2386.3806201950702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 t="e">
        <f t="shared" si="0"/>
        <v>#DIV/0!</v>
      </c>
    </row>
    <row r="10" spans="1:50">
      <c r="A10" t="s">
        <v>171</v>
      </c>
      <c r="B10">
        <v>2348.6719326174398</v>
      </c>
      <c r="C10">
        <v>2386.3806201950702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241.47506129999999</v>
      </c>
      <c r="W10">
        <v>266.16476890000001</v>
      </c>
      <c r="X10">
        <v>284.61245179999997</v>
      </c>
      <c r="Y10">
        <v>314.67820339999997</v>
      </c>
      <c r="Z10">
        <v>337.37619269999999</v>
      </c>
      <c r="AA10">
        <v>354.36959760000002</v>
      </c>
      <c r="AB10">
        <v>361.03291919999998</v>
      </c>
      <c r="AC10">
        <v>426.8463931</v>
      </c>
      <c r="AD10">
        <v>494.99216619999999</v>
      </c>
      <c r="AE10">
        <v>566.85788820000005</v>
      </c>
      <c r="AF10">
        <v>635.50531100000001</v>
      </c>
      <c r="AG10">
        <v>700.93443449999995</v>
      </c>
      <c r="AH10">
        <v>814.40749070000004</v>
      </c>
      <c r="AI10">
        <v>923.62145959999998</v>
      </c>
      <c r="AJ10">
        <v>1028.576341</v>
      </c>
      <c r="AK10">
        <v>1129.272136</v>
      </c>
      <c r="AL10">
        <v>1225.7088429999999</v>
      </c>
      <c r="AM10">
        <v>1271.451748</v>
      </c>
      <c r="AN10">
        <v>1328.0305390000001</v>
      </c>
      <c r="AO10">
        <v>1405.200167</v>
      </c>
      <c r="AP10">
        <v>1479.307303</v>
      </c>
      <c r="AQ10">
        <v>1550.8769460000001</v>
      </c>
      <c r="AR10">
        <v>1611.607589</v>
      </c>
      <c r="AS10">
        <v>1671.5204490000001</v>
      </c>
      <c r="AT10">
        <v>1730.7031449999999</v>
      </c>
      <c r="AU10">
        <v>1789.231213</v>
      </c>
      <c r="AV10">
        <v>1847.1701149999999</v>
      </c>
      <c r="AW10" t="e">
        <f t="shared" si="0"/>
        <v>#DIV/0!</v>
      </c>
    </row>
    <row r="11" spans="1:50">
      <c r="A11" t="s">
        <v>172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61.7327950434237</v>
      </c>
      <c r="T11">
        <v>142.448878416253</v>
      </c>
      <c r="U11">
        <v>215.894225540527</v>
      </c>
      <c r="V11">
        <v>241.47506129990501</v>
      </c>
      <c r="W11">
        <v>266.16476887699201</v>
      </c>
      <c r="X11">
        <v>284.612451754772</v>
      </c>
      <c r="Y11">
        <v>314.67820337446199</v>
      </c>
      <c r="Z11">
        <v>337.37619274451998</v>
      </c>
      <c r="AA11">
        <v>354.36959761283202</v>
      </c>
      <c r="AB11">
        <v>361.03291923056997</v>
      </c>
      <c r="AC11">
        <v>426.84639311156502</v>
      </c>
      <c r="AD11">
        <v>494.99216624185198</v>
      </c>
      <c r="AE11">
        <v>566.85788824608505</v>
      </c>
      <c r="AF11">
        <v>635.50531100102205</v>
      </c>
      <c r="AG11">
        <v>700.93443450666405</v>
      </c>
      <c r="AH11">
        <v>814.40749068619698</v>
      </c>
      <c r="AI11">
        <v>923.62145958640804</v>
      </c>
      <c r="AJ11">
        <v>1028.5763412072899</v>
      </c>
      <c r="AK11">
        <v>1129.27213554885</v>
      </c>
      <c r="AL11">
        <v>1225.7088426110899</v>
      </c>
      <c r="AM11">
        <v>1271.45174816592</v>
      </c>
      <c r="AN11">
        <v>1328.0305385496799</v>
      </c>
      <c r="AO11">
        <v>1405.2001667087</v>
      </c>
      <c r="AP11">
        <v>1479.3073029561201</v>
      </c>
      <c r="AQ11">
        <v>1550.8769459053401</v>
      </c>
      <c r="AR11">
        <v>1611.6075885807099</v>
      </c>
      <c r="AS11">
        <v>1671.5204485499</v>
      </c>
      <c r="AT11">
        <v>1730.70314538856</v>
      </c>
      <c r="AU11">
        <v>1789.2312132136501</v>
      </c>
      <c r="AV11">
        <v>1847.17011492653</v>
      </c>
      <c r="AW11">
        <f t="shared" si="0"/>
        <v>7.555903291539332</v>
      </c>
    </row>
    <row r="12" spans="1:50">
      <c r="A12" t="s">
        <v>173</v>
      </c>
      <c r="B12">
        <v>49312.193034133299</v>
      </c>
      <c r="C12">
        <v>50103.916243777101</v>
      </c>
      <c r="D12">
        <v>50908.350830000003</v>
      </c>
      <c r="E12">
        <v>52153.224009999998</v>
      </c>
      <c r="F12">
        <v>53533.253969999998</v>
      </c>
      <c r="G12">
        <v>53852.080300000001</v>
      </c>
      <c r="H12">
        <v>54537.659780000002</v>
      </c>
      <c r="I12">
        <v>55674.609579999997</v>
      </c>
      <c r="J12">
        <v>56600.623500000002</v>
      </c>
      <c r="K12">
        <v>57791.101840000003</v>
      </c>
      <c r="L12">
        <v>58894.931279999997</v>
      </c>
      <c r="M12">
        <v>60261.628550000001</v>
      </c>
      <c r="N12">
        <v>60532.118880000002</v>
      </c>
      <c r="O12">
        <v>59953.679360000002</v>
      </c>
      <c r="P12">
        <v>58817.734929999999</v>
      </c>
      <c r="Q12">
        <v>57471.674700000003</v>
      </c>
      <c r="R12">
        <v>56307.434359999999</v>
      </c>
      <c r="S12">
        <v>55294.977529999996</v>
      </c>
      <c r="T12">
        <v>54421.179989999997</v>
      </c>
      <c r="U12">
        <v>53679.042540000002</v>
      </c>
      <c r="V12">
        <v>53048.627829999998</v>
      </c>
      <c r="W12">
        <v>52517.135770000001</v>
      </c>
      <c r="X12">
        <v>52068.227359999997</v>
      </c>
      <c r="Y12">
        <v>51701.850509999997</v>
      </c>
      <c r="Z12">
        <v>51420.381869999997</v>
      </c>
      <c r="AA12">
        <v>51227.230109999997</v>
      </c>
      <c r="AB12">
        <v>51126.038919999999</v>
      </c>
      <c r="AC12">
        <v>51120.247089999997</v>
      </c>
      <c r="AD12">
        <v>51211.337959999997</v>
      </c>
      <c r="AE12">
        <v>51399.066980000003</v>
      </c>
      <c r="AF12">
        <v>51681.813069999997</v>
      </c>
      <c r="AG12">
        <v>52057.28759</v>
      </c>
      <c r="AH12">
        <v>52522.028489999997</v>
      </c>
      <c r="AI12">
        <v>53073.356330000002</v>
      </c>
      <c r="AJ12">
        <v>53709.141080000001</v>
      </c>
      <c r="AK12">
        <v>54427.2356</v>
      </c>
      <c r="AL12">
        <v>55225.496879999999</v>
      </c>
      <c r="AM12">
        <v>56102.560019999997</v>
      </c>
      <c r="AN12">
        <v>57057.75243</v>
      </c>
      <c r="AO12">
        <v>58089.847679999999</v>
      </c>
      <c r="AP12">
        <v>59197.185539999999</v>
      </c>
      <c r="AQ12">
        <v>60376.444969999997</v>
      </c>
      <c r="AR12">
        <v>61625.047870000002</v>
      </c>
      <c r="AS12">
        <v>62937.971610000001</v>
      </c>
      <c r="AT12">
        <v>64309.413650000002</v>
      </c>
      <c r="AU12">
        <v>65733.117190000004</v>
      </c>
      <c r="AV12">
        <v>67204.034010000003</v>
      </c>
      <c r="AW12">
        <f t="shared" si="0"/>
        <v>0.25196037093846413</v>
      </c>
    </row>
    <row r="13" spans="1:50">
      <c r="A13" t="s">
        <v>174</v>
      </c>
      <c r="B13">
        <v>49312.193034133299</v>
      </c>
      <c r="C13">
        <v>50103.916243777101</v>
      </c>
      <c r="D13">
        <v>50908.350830000003</v>
      </c>
      <c r="E13">
        <v>52153.224009999998</v>
      </c>
      <c r="F13">
        <v>53533.253969999998</v>
      </c>
      <c r="G13">
        <v>53852.080300000001</v>
      </c>
      <c r="H13">
        <v>54537.659780000002</v>
      </c>
      <c r="I13">
        <v>55674.609579999997</v>
      </c>
      <c r="J13">
        <v>56600.623500000002</v>
      </c>
      <c r="K13">
        <v>57791.101840000003</v>
      </c>
      <c r="L13">
        <v>58894.931279999997</v>
      </c>
      <c r="M13">
        <v>60261.628550000001</v>
      </c>
      <c r="N13">
        <v>60532.118880000002</v>
      </c>
      <c r="O13">
        <v>59953.679360000002</v>
      </c>
      <c r="P13">
        <v>58817.734929999999</v>
      </c>
      <c r="Q13">
        <v>57471.674700000003</v>
      </c>
      <c r="R13">
        <v>58919.904300000002</v>
      </c>
      <c r="S13">
        <v>59979.64372</v>
      </c>
      <c r="T13">
        <v>61084.439480000001</v>
      </c>
      <c r="U13">
        <v>62223.651489999997</v>
      </c>
      <c r="V13">
        <v>63018.625370000002</v>
      </c>
      <c r="W13">
        <v>63739.650990000002</v>
      </c>
      <c r="X13">
        <v>64128.248500000002</v>
      </c>
      <c r="Y13">
        <v>64539.292880000001</v>
      </c>
      <c r="Z13">
        <v>64938.94212</v>
      </c>
      <c r="AA13">
        <v>65375.272720000001</v>
      </c>
      <c r="AB13">
        <v>65876.776830000003</v>
      </c>
      <c r="AC13">
        <v>66457.355219999998</v>
      </c>
      <c r="AD13">
        <v>67085.842749999996</v>
      </c>
      <c r="AE13">
        <v>67744.225890000002</v>
      </c>
      <c r="AF13">
        <v>68416.701610000004</v>
      </c>
      <c r="AG13">
        <v>69099.030450000006</v>
      </c>
      <c r="AH13">
        <v>69771.250889999996</v>
      </c>
      <c r="AI13">
        <v>70460.682090000002</v>
      </c>
      <c r="AJ13">
        <v>71176.26539</v>
      </c>
      <c r="AK13">
        <v>71917.710089999906</v>
      </c>
      <c r="AL13">
        <v>72688.987869999997</v>
      </c>
      <c r="AM13">
        <v>73525.371870000003</v>
      </c>
      <c r="AN13">
        <v>74447.607390000005</v>
      </c>
      <c r="AO13">
        <v>75435.688959999999</v>
      </c>
      <c r="AP13">
        <v>76479.102970000007</v>
      </c>
      <c r="AQ13">
        <v>77542.981589999996</v>
      </c>
      <c r="AR13">
        <v>78654.819409999996</v>
      </c>
      <c r="AS13">
        <v>79765.845329999996</v>
      </c>
      <c r="AT13">
        <v>80870.104099999997</v>
      </c>
      <c r="AU13">
        <v>81957.180559999906</v>
      </c>
      <c r="AV13">
        <v>83044.569480000006</v>
      </c>
      <c r="AW13">
        <f t="shared" si="0"/>
        <v>0.33461421005397196</v>
      </c>
    </row>
    <row r="14" spans="1:50">
      <c r="A14" t="s">
        <v>175</v>
      </c>
      <c r="B14">
        <v>4697.3438652348796</v>
      </c>
      <c r="C14">
        <v>4772.7612403901503</v>
      </c>
      <c r="D14">
        <v>4849.3894659999996</v>
      </c>
      <c r="E14">
        <v>5354.7711259999996</v>
      </c>
      <c r="F14">
        <v>5590.4281520000004</v>
      </c>
      <c r="G14">
        <v>4640.6361440000001</v>
      </c>
      <c r="H14">
        <v>5033.1285660000003</v>
      </c>
      <c r="I14">
        <v>5539.8466209999997</v>
      </c>
      <c r="J14">
        <v>5420.6981770000002</v>
      </c>
      <c r="K14">
        <v>5759.9209300000002</v>
      </c>
      <c r="L14">
        <v>5769.3808980000003</v>
      </c>
      <c r="M14">
        <v>6121.3623310000003</v>
      </c>
      <c r="N14">
        <v>5135.4906520000004</v>
      </c>
      <c r="O14">
        <v>4308.3978379999999</v>
      </c>
      <c r="P14">
        <v>3614.5118729999999</v>
      </c>
      <c r="Q14">
        <v>3032.3792210000001</v>
      </c>
      <c r="R14">
        <v>3097.5309360000001</v>
      </c>
      <c r="S14">
        <v>3149.0214900000001</v>
      </c>
      <c r="T14">
        <v>3199.7542480000002</v>
      </c>
      <c r="U14">
        <v>3254.4263289999999</v>
      </c>
      <c r="V14">
        <v>3300.9493630000002</v>
      </c>
      <c r="W14">
        <v>3344.2046599999999</v>
      </c>
      <c r="X14">
        <v>3380.060301</v>
      </c>
      <c r="Y14">
        <v>3421.8169899999998</v>
      </c>
      <c r="Z14">
        <v>3471.608209</v>
      </c>
      <c r="AA14">
        <v>3530.5090220000002</v>
      </c>
      <c r="AB14">
        <v>3598.96702</v>
      </c>
      <c r="AC14">
        <v>3677.0606899999998</v>
      </c>
      <c r="AD14">
        <v>3763.2965389999999</v>
      </c>
      <c r="AE14">
        <v>3856.2451099999998</v>
      </c>
      <c r="AF14">
        <v>3954.6663950000002</v>
      </c>
      <c r="AG14">
        <v>4057.8540429999998</v>
      </c>
      <c r="AH14">
        <v>4164.6008199999997</v>
      </c>
      <c r="AI14">
        <v>4275.3587299999999</v>
      </c>
      <c r="AJ14">
        <v>4390.4288880000004</v>
      </c>
      <c r="AK14">
        <v>4509.6456070000004</v>
      </c>
      <c r="AL14">
        <v>4632.8605989999996</v>
      </c>
      <c r="AM14">
        <v>4760.6163589999996</v>
      </c>
      <c r="AN14">
        <v>4893.4349000000002</v>
      </c>
      <c r="AO14">
        <v>5030.7773559999996</v>
      </c>
      <c r="AP14">
        <v>5172.1732760000004</v>
      </c>
      <c r="AQ14">
        <v>5316.0265079999999</v>
      </c>
      <c r="AR14">
        <v>5462.7672300000004</v>
      </c>
      <c r="AS14">
        <v>5610.0348819999999</v>
      </c>
      <c r="AT14">
        <v>5756.7776439999998</v>
      </c>
      <c r="AU14">
        <v>5902.1776419999997</v>
      </c>
      <c r="AV14">
        <v>6046.8682529999996</v>
      </c>
      <c r="AW14">
        <f t="shared" si="0"/>
        <v>0.85804428851767689</v>
      </c>
    </row>
    <row r="15" spans="1:50">
      <c r="A15" t="s">
        <v>22</v>
      </c>
      <c r="B15">
        <v>17.8908998340933</v>
      </c>
      <c r="C15">
        <v>18.178144017905201</v>
      </c>
      <c r="D15">
        <v>18.47</v>
      </c>
      <c r="E15">
        <v>18.561656320000001</v>
      </c>
      <c r="F15">
        <v>17.585826879999999</v>
      </c>
      <c r="G15">
        <v>16.007810060000001</v>
      </c>
      <c r="H15">
        <v>16.161356080000001</v>
      </c>
      <c r="I15">
        <v>15.92446662</v>
      </c>
      <c r="J15">
        <v>15.004313209999999</v>
      </c>
      <c r="K15">
        <v>14.54601712</v>
      </c>
      <c r="L15">
        <v>14.415626489999999</v>
      </c>
      <c r="M15">
        <v>14.06463458</v>
      </c>
      <c r="N15">
        <v>14.57142986</v>
      </c>
      <c r="O15">
        <v>14.818077150000001</v>
      </c>
      <c r="P15">
        <v>14.69404054</v>
      </c>
      <c r="Q15">
        <v>14.81650249</v>
      </c>
      <c r="R15">
        <v>14.8141265</v>
      </c>
      <c r="S15">
        <v>14.70248642</v>
      </c>
      <c r="T15">
        <v>14.594506150000001</v>
      </c>
      <c r="U15">
        <v>14.49640874</v>
      </c>
      <c r="V15">
        <v>14.31479086</v>
      </c>
      <c r="W15">
        <v>14.11383663</v>
      </c>
      <c r="X15">
        <v>13.971191729999999</v>
      </c>
      <c r="Y15">
        <v>13.93964448</v>
      </c>
      <c r="Z15">
        <v>13.980608610000001</v>
      </c>
      <c r="AA15">
        <v>14.07862553</v>
      </c>
      <c r="AB15">
        <v>14.22144273</v>
      </c>
      <c r="AC15">
        <v>14.195459659999999</v>
      </c>
      <c r="AD15">
        <v>14.19020293</v>
      </c>
      <c r="AE15">
        <v>14.19862549</v>
      </c>
      <c r="AF15">
        <v>14.216275169999999</v>
      </c>
      <c r="AG15">
        <v>14.24205995</v>
      </c>
      <c r="AH15">
        <v>14.27091671</v>
      </c>
      <c r="AI15">
        <v>14.30666849</v>
      </c>
      <c r="AJ15">
        <v>14.34901653</v>
      </c>
      <c r="AK15">
        <v>14.395788270000001</v>
      </c>
      <c r="AL15">
        <v>14.445852759999999</v>
      </c>
      <c r="AM15">
        <v>14.480322920000001</v>
      </c>
      <c r="AN15">
        <v>14.50587333</v>
      </c>
      <c r="AO15">
        <v>14.522651209999999</v>
      </c>
      <c r="AP15">
        <v>14.533354510000001</v>
      </c>
      <c r="AQ15">
        <v>14.53582842</v>
      </c>
      <c r="AR15">
        <v>14.526773159999999</v>
      </c>
      <c r="AS15">
        <v>14.50286187</v>
      </c>
      <c r="AT15">
        <v>14.46795979</v>
      </c>
      <c r="AU15">
        <v>14.42403013</v>
      </c>
      <c r="AV15">
        <v>14.37793104</v>
      </c>
      <c r="AW15">
        <f t="shared" si="0"/>
        <v>-8.1729000695933696E-3</v>
      </c>
    </row>
    <row r="16" spans="1:50">
      <c r="A16" t="s">
        <v>25</v>
      </c>
      <c r="B16">
        <v>17.8908998340933</v>
      </c>
      <c r="C16">
        <v>18.178144017905201</v>
      </c>
      <c r="D16">
        <v>18.47</v>
      </c>
      <c r="E16">
        <v>18.561656320000001</v>
      </c>
      <c r="F16">
        <v>17.585826879999999</v>
      </c>
      <c r="G16">
        <v>16.007810060000001</v>
      </c>
      <c r="H16">
        <v>16.161356080000001</v>
      </c>
      <c r="I16">
        <v>15.92446662</v>
      </c>
      <c r="J16">
        <v>15.004313209999999</v>
      </c>
      <c r="K16">
        <v>14.54601712</v>
      </c>
      <c r="L16">
        <v>14.415626489999999</v>
      </c>
      <c r="M16">
        <v>14.06463458</v>
      </c>
      <c r="N16">
        <v>14.57142986</v>
      </c>
      <c r="O16">
        <v>14.818077150000001</v>
      </c>
      <c r="P16">
        <v>14.69404054</v>
      </c>
      <c r="Q16">
        <v>14.81650249</v>
      </c>
      <c r="R16">
        <v>14.8141265</v>
      </c>
      <c r="S16">
        <v>14.70248642</v>
      </c>
      <c r="T16">
        <v>14.594506150000001</v>
      </c>
      <c r="U16">
        <v>14.49640874</v>
      </c>
      <c r="V16">
        <v>13.52888501</v>
      </c>
      <c r="W16">
        <v>12.591391160000001</v>
      </c>
      <c r="X16">
        <v>11.702912619999999</v>
      </c>
      <c r="Y16">
        <v>10.861168019999999</v>
      </c>
      <c r="Z16">
        <v>10.063975599999999</v>
      </c>
      <c r="AA16">
        <v>9.3092490330000004</v>
      </c>
      <c r="AB16">
        <v>8.5949934020000001</v>
      </c>
      <c r="AC16">
        <v>7.9193013890000001</v>
      </c>
      <c r="AD16">
        <v>7.2803495659999999</v>
      </c>
      <c r="AE16">
        <v>6.6763948710000003</v>
      </c>
      <c r="AF16">
        <v>6.1057712110000004</v>
      </c>
      <c r="AG16">
        <v>5.5668862140000002</v>
      </c>
      <c r="AH16">
        <v>5.0582181110000004</v>
      </c>
      <c r="AI16">
        <v>4.5783127439999998</v>
      </c>
      <c r="AJ16">
        <v>4.1257806979999998</v>
      </c>
      <c r="AK16">
        <v>3.6992945559999999</v>
      </c>
      <c r="AL16">
        <v>3.2975862550000001</v>
      </c>
      <c r="AM16">
        <v>2.919444565</v>
      </c>
      <c r="AN16">
        <v>2.5637126619999999</v>
      </c>
      <c r="AO16">
        <v>2.2292858029999998</v>
      </c>
      <c r="AP16">
        <v>1.9151091</v>
      </c>
      <c r="AQ16">
        <v>1.620175387</v>
      </c>
      <c r="AR16">
        <v>1.343523166</v>
      </c>
      <c r="AS16">
        <v>1.0842346519999999</v>
      </c>
      <c r="AT16">
        <v>0.84143388500000005</v>
      </c>
      <c r="AU16">
        <v>0.61428493319999999</v>
      </c>
      <c r="AV16">
        <v>0.40199016110000002</v>
      </c>
      <c r="AW16">
        <f t="shared" si="0"/>
        <v>-0.97226967255753582</v>
      </c>
      <c r="AX16">
        <f>AV16/($AV$16+$AV$21+$AV$26)</f>
        <v>0.11954717237940454</v>
      </c>
    </row>
    <row r="17" spans="1:50">
      <c r="A17" t="s">
        <v>117</v>
      </c>
      <c r="B17">
        <v>6635.2281463746303</v>
      </c>
      <c r="C17">
        <v>6741.7588804900297</v>
      </c>
      <c r="D17">
        <v>6849.1445780000004</v>
      </c>
      <c r="E17">
        <v>6883.1330669999998</v>
      </c>
      <c r="F17">
        <v>6521.2707540000001</v>
      </c>
      <c r="G17">
        <v>5936.1020820000003</v>
      </c>
      <c r="H17">
        <v>5993.0408440000001</v>
      </c>
      <c r="I17">
        <v>5905.1962219999996</v>
      </c>
      <c r="J17">
        <v>5563.9799919999996</v>
      </c>
      <c r="K17">
        <v>5394.032177</v>
      </c>
      <c r="L17">
        <v>5345.6800229999999</v>
      </c>
      <c r="M17">
        <v>5215.5233159999998</v>
      </c>
      <c r="N17">
        <v>5403.4558649999999</v>
      </c>
      <c r="O17">
        <v>5494.9189379999998</v>
      </c>
      <c r="P17">
        <v>5448.9230170000001</v>
      </c>
      <c r="Q17">
        <v>5494.3350129999999</v>
      </c>
      <c r="R17">
        <v>5493.4539359999999</v>
      </c>
      <c r="S17">
        <v>5452.0549609999998</v>
      </c>
      <c r="T17">
        <v>5412.0131389999997</v>
      </c>
      <c r="U17">
        <v>5375.6361310000002</v>
      </c>
      <c r="V17">
        <v>5308.2876130000004</v>
      </c>
      <c r="W17">
        <v>5233.7686860000003</v>
      </c>
      <c r="X17">
        <v>5180.8723369999998</v>
      </c>
      <c r="Y17">
        <v>5169.1738189999996</v>
      </c>
      <c r="Z17">
        <v>5184.3643549999997</v>
      </c>
      <c r="AA17">
        <v>5220.7115169999997</v>
      </c>
      <c r="AB17">
        <v>5273.6717559999997</v>
      </c>
      <c r="AC17">
        <v>5264.0365769999999</v>
      </c>
      <c r="AD17">
        <v>5262.0872470000004</v>
      </c>
      <c r="AE17">
        <v>5265.2105469999997</v>
      </c>
      <c r="AF17">
        <v>5271.7554959999998</v>
      </c>
      <c r="AG17">
        <v>5281.3171460000003</v>
      </c>
      <c r="AH17">
        <v>5292.017965</v>
      </c>
      <c r="AI17">
        <v>5305.2756330000002</v>
      </c>
      <c r="AJ17">
        <v>5320.9793609999997</v>
      </c>
      <c r="AK17">
        <v>5338.3235089999998</v>
      </c>
      <c r="AL17">
        <v>5356.8886899999998</v>
      </c>
      <c r="AM17">
        <v>5369.6710990000001</v>
      </c>
      <c r="AN17">
        <v>5379.1458409999996</v>
      </c>
      <c r="AO17">
        <v>5385.3675059999996</v>
      </c>
      <c r="AP17">
        <v>5389.3365590000003</v>
      </c>
      <c r="AQ17">
        <v>5390.2539489999999</v>
      </c>
      <c r="AR17">
        <v>5386.8960260000003</v>
      </c>
      <c r="AS17">
        <v>5378.0291139999999</v>
      </c>
      <c r="AT17">
        <v>5365.0865379999996</v>
      </c>
      <c r="AU17">
        <v>5348.7963040000004</v>
      </c>
      <c r="AV17">
        <v>5331.7015920000003</v>
      </c>
      <c r="AW17">
        <f t="shared" si="0"/>
        <v>-8.1729004585410214E-3</v>
      </c>
    </row>
    <row r="18" spans="1:50">
      <c r="A18" t="s">
        <v>120</v>
      </c>
      <c r="B18">
        <v>6635.2281463746303</v>
      </c>
      <c r="C18">
        <v>6741.7588804900297</v>
      </c>
      <c r="D18">
        <v>6849.1445780000004</v>
      </c>
      <c r="E18">
        <v>6883.1330669999998</v>
      </c>
      <c r="F18">
        <v>6521.2707540000001</v>
      </c>
      <c r="G18">
        <v>5936.1020820000003</v>
      </c>
      <c r="H18">
        <v>5993.0408440000001</v>
      </c>
      <c r="I18">
        <v>5905.1962219999996</v>
      </c>
      <c r="J18">
        <v>5563.9799919999996</v>
      </c>
      <c r="K18">
        <v>5394.032177</v>
      </c>
      <c r="L18">
        <v>5345.6800229999999</v>
      </c>
      <c r="M18">
        <v>5215.5233159999998</v>
      </c>
      <c r="N18">
        <v>5403.4558649999999</v>
      </c>
      <c r="O18">
        <v>5494.9189379999998</v>
      </c>
      <c r="P18">
        <v>5448.9230170000001</v>
      </c>
      <c r="Q18">
        <v>5494.3350129999999</v>
      </c>
      <c r="R18">
        <v>5493.4539359999999</v>
      </c>
      <c r="S18">
        <v>5452.0549609999998</v>
      </c>
      <c r="T18">
        <v>5412.0131389999997</v>
      </c>
      <c r="U18">
        <v>5375.6361310000002</v>
      </c>
      <c r="V18">
        <v>5016.853787</v>
      </c>
      <c r="W18">
        <v>4669.2072820000003</v>
      </c>
      <c r="X18">
        <v>4339.7368990000004</v>
      </c>
      <c r="Y18">
        <v>4027.5966480000002</v>
      </c>
      <c r="Z18">
        <v>3731.9774739999998</v>
      </c>
      <c r="AA18">
        <v>3452.1057139999998</v>
      </c>
      <c r="AB18">
        <v>3187.241606</v>
      </c>
      <c r="AC18">
        <v>2936.6778650000001</v>
      </c>
      <c r="AD18">
        <v>2699.738319</v>
      </c>
      <c r="AE18">
        <v>2475.7765960000002</v>
      </c>
      <c r="AF18">
        <v>2264.1748670000002</v>
      </c>
      <c r="AG18">
        <v>2064.3426380000001</v>
      </c>
      <c r="AH18">
        <v>1875.7156010000001</v>
      </c>
      <c r="AI18">
        <v>1697.754516</v>
      </c>
      <c r="AJ18">
        <v>1529.9441529999999</v>
      </c>
      <c r="AK18">
        <v>1371.792271</v>
      </c>
      <c r="AL18">
        <v>1222.8286419999999</v>
      </c>
      <c r="AM18">
        <v>1082.60411</v>
      </c>
      <c r="AN18">
        <v>950.68969560000005</v>
      </c>
      <c r="AO18">
        <v>826.67573189999996</v>
      </c>
      <c r="AP18">
        <v>710.17104019999999</v>
      </c>
      <c r="AQ18">
        <v>600.80213690000005</v>
      </c>
      <c r="AR18">
        <v>498.21247490000002</v>
      </c>
      <c r="AS18">
        <v>402.06171560000001</v>
      </c>
      <c r="AT18">
        <v>312.02503150000001</v>
      </c>
      <c r="AU18">
        <v>227.79243740000001</v>
      </c>
      <c r="AV18">
        <v>149.0681501</v>
      </c>
      <c r="AW18">
        <f t="shared" si="0"/>
        <v>-0.97226967256203223</v>
      </c>
    </row>
    <row r="19" spans="1:50">
      <c r="A19" t="s">
        <v>176</v>
      </c>
      <c r="B19">
        <v>6635.2281463746303</v>
      </c>
      <c r="C19">
        <v>6741.7588804900297</v>
      </c>
      <c r="D19">
        <v>6849.1445783458603</v>
      </c>
      <c r="E19">
        <v>6883.1330666327303</v>
      </c>
      <c r="F19">
        <v>6521.27075473076</v>
      </c>
      <c r="G19">
        <v>5936.1020821951297</v>
      </c>
      <c r="H19">
        <v>5993.0408435119798</v>
      </c>
      <c r="I19">
        <v>5905.1962225329698</v>
      </c>
      <c r="J19">
        <v>5563.9799923553001</v>
      </c>
      <c r="K19">
        <v>5394.0321771942799</v>
      </c>
      <c r="L19">
        <v>5345.6800228945904</v>
      </c>
      <c r="M19">
        <v>5215.5233171222999</v>
      </c>
      <c r="N19">
        <v>5403.4558649933297</v>
      </c>
      <c r="O19">
        <v>5494.91893754177</v>
      </c>
      <c r="P19">
        <v>5448.9230162455997</v>
      </c>
      <c r="Q19">
        <v>5494.3350132926698</v>
      </c>
      <c r="R19">
        <v>5493.4539358948696</v>
      </c>
      <c r="S19">
        <v>5452.0549609262598</v>
      </c>
      <c r="T19">
        <v>5412.0131385082304</v>
      </c>
      <c r="U19">
        <v>5375.6361306909002</v>
      </c>
      <c r="V19">
        <v>5016.8537863340098</v>
      </c>
      <c r="W19">
        <v>4669.2072828860601</v>
      </c>
      <c r="X19">
        <v>4339.7368994317103</v>
      </c>
      <c r="Y19">
        <v>4027.5966474055599</v>
      </c>
      <c r="Z19">
        <v>3731.97747448379</v>
      </c>
      <c r="AA19">
        <v>3452.1057141055699</v>
      </c>
      <c r="AB19">
        <v>3187.2416063216301</v>
      </c>
      <c r="AC19">
        <v>2936.6778654423101</v>
      </c>
      <c r="AD19">
        <v>2699.7383197597301</v>
      </c>
      <c r="AE19">
        <v>2475.7765961720302</v>
      </c>
      <c r="AF19">
        <v>2264.1748666486601</v>
      </c>
      <c r="AG19">
        <v>2064.3426387265799</v>
      </c>
      <c r="AH19">
        <v>1875.71560095161</v>
      </c>
      <c r="AI19">
        <v>1697.75451558501</v>
      </c>
      <c r="AJ19">
        <v>1529.9441527057299</v>
      </c>
      <c r="AK19">
        <v>1371.7922711240401</v>
      </c>
      <c r="AL19">
        <v>1222.8286420705599</v>
      </c>
      <c r="AM19">
        <v>1082.6041102312599</v>
      </c>
      <c r="AN19">
        <v>950.68969574030996</v>
      </c>
      <c r="AO19">
        <v>826.67573191915801</v>
      </c>
      <c r="AP19">
        <v>710.17104019575197</v>
      </c>
      <c r="AQ19">
        <v>600.802137037443</v>
      </c>
      <c r="AR19">
        <v>498.21247501169103</v>
      </c>
      <c r="AS19">
        <v>402.06171556556501</v>
      </c>
      <c r="AT19">
        <v>312.02503146836699</v>
      </c>
      <c r="AU19">
        <v>227.79243738461301</v>
      </c>
      <c r="AV19">
        <v>149.068150138194</v>
      </c>
      <c r="AW19">
        <f t="shared" si="0"/>
        <v>-0.97226967255333274</v>
      </c>
    </row>
    <row r="20" spans="1:50">
      <c r="A20" t="s">
        <v>23</v>
      </c>
      <c r="B20">
        <v>0.23861365942700699</v>
      </c>
      <c r="C20">
        <v>0.242444678910883</v>
      </c>
      <c r="D20">
        <v>0.24633720670000001</v>
      </c>
      <c r="E20">
        <v>0.24683561740000001</v>
      </c>
      <c r="F20">
        <v>0.2430020809</v>
      </c>
      <c r="G20">
        <v>0.20905960670000001</v>
      </c>
      <c r="H20">
        <v>0.2139798926</v>
      </c>
      <c r="I20">
        <v>0.2223640871</v>
      </c>
      <c r="J20">
        <v>0.22218823709999999</v>
      </c>
      <c r="K20">
        <v>0.217998101</v>
      </c>
      <c r="L20">
        <v>0.21558734700000001</v>
      </c>
      <c r="M20">
        <v>0.20120428230000001</v>
      </c>
      <c r="N20">
        <v>0.20052740190000001</v>
      </c>
      <c r="O20">
        <v>0.20902387950000001</v>
      </c>
      <c r="P20">
        <v>0.22481317079999999</v>
      </c>
      <c r="Q20">
        <v>0.2287763857</v>
      </c>
      <c r="R20">
        <v>0.2311393186</v>
      </c>
      <c r="S20">
        <v>0.23110234769999999</v>
      </c>
      <c r="T20">
        <v>0.22628306710000001</v>
      </c>
      <c r="U20">
        <v>0.21850202799999999</v>
      </c>
      <c r="V20">
        <v>0.2108664868</v>
      </c>
      <c r="W20">
        <v>0.20521192069999999</v>
      </c>
      <c r="X20">
        <v>0.201683684</v>
      </c>
      <c r="Y20">
        <v>0.20037885020000001</v>
      </c>
      <c r="Z20">
        <v>0.20044017119999999</v>
      </c>
      <c r="AA20">
        <v>0.20142144079999999</v>
      </c>
      <c r="AB20">
        <v>0.20317480730000001</v>
      </c>
      <c r="AC20">
        <v>0.2059870623</v>
      </c>
      <c r="AD20">
        <v>0.2096562478</v>
      </c>
      <c r="AE20">
        <v>0.21399961349999999</v>
      </c>
      <c r="AF20">
        <v>0.21891569229999999</v>
      </c>
      <c r="AG20">
        <v>0.22429751940000001</v>
      </c>
      <c r="AH20">
        <v>0.22998348190000001</v>
      </c>
      <c r="AI20">
        <v>0.23601792260000001</v>
      </c>
      <c r="AJ20">
        <v>0.24234357049999999</v>
      </c>
      <c r="AK20">
        <v>0.24895741430000001</v>
      </c>
      <c r="AL20">
        <v>0.2558368647</v>
      </c>
      <c r="AM20">
        <v>0.26352054629999999</v>
      </c>
      <c r="AN20">
        <v>0.27183758819999998</v>
      </c>
      <c r="AO20">
        <v>0.28056305339999998</v>
      </c>
      <c r="AP20">
        <v>0.28956542540000002</v>
      </c>
      <c r="AQ20">
        <v>0.29873666859999998</v>
      </c>
      <c r="AR20">
        <v>0.30795748890000002</v>
      </c>
      <c r="AS20">
        <v>0.3172052977</v>
      </c>
      <c r="AT20">
        <v>0.32652807210000001</v>
      </c>
      <c r="AU20">
        <v>0.33589007650000002</v>
      </c>
      <c r="AV20">
        <v>0.34523929590000002</v>
      </c>
      <c r="AW20">
        <f t="shared" si="0"/>
        <v>0.58002787919204146</v>
      </c>
    </row>
    <row r="21" spans="1:50">
      <c r="A21" t="s">
        <v>26</v>
      </c>
      <c r="B21">
        <v>0.23861365942700699</v>
      </c>
      <c r="C21">
        <v>0.242444678910883</v>
      </c>
      <c r="D21">
        <v>0.24633720670000001</v>
      </c>
      <c r="E21">
        <v>0.24683561740000001</v>
      </c>
      <c r="F21">
        <v>0.2430020809</v>
      </c>
      <c r="G21">
        <v>0.20905960670000001</v>
      </c>
      <c r="H21">
        <v>0.2139798926</v>
      </c>
      <c r="I21">
        <v>0.2223640871</v>
      </c>
      <c r="J21">
        <v>0.22218823709999999</v>
      </c>
      <c r="K21">
        <v>0.217998101</v>
      </c>
      <c r="L21">
        <v>0.21558734700000001</v>
      </c>
      <c r="M21">
        <v>0.20120428230000001</v>
      </c>
      <c r="N21">
        <v>0.20052740190000001</v>
      </c>
      <c r="O21">
        <v>0.20902387950000001</v>
      </c>
      <c r="P21">
        <v>0.22481317079999999</v>
      </c>
      <c r="Q21">
        <v>0.2287763857</v>
      </c>
      <c r="R21">
        <v>0.2311393186</v>
      </c>
      <c r="S21">
        <v>0.23110234769999999</v>
      </c>
      <c r="T21">
        <v>0.22628306710000001</v>
      </c>
      <c r="U21">
        <v>0.21850202799999999</v>
      </c>
      <c r="V21">
        <v>0.41288240999999998</v>
      </c>
      <c r="W21">
        <v>0.61659460290000001</v>
      </c>
      <c r="X21">
        <v>0.80555825309999995</v>
      </c>
      <c r="Y21">
        <v>0.98055561390000001</v>
      </c>
      <c r="Z21">
        <v>1.142332269</v>
      </c>
      <c r="AA21">
        <v>1.2915987390000001</v>
      </c>
      <c r="AB21">
        <v>1.4290320249999999</v>
      </c>
      <c r="AC21">
        <v>1.55527708</v>
      </c>
      <c r="AD21">
        <v>1.6709482229999999</v>
      </c>
      <c r="AE21">
        <v>1.7766304980000001</v>
      </c>
      <c r="AF21">
        <v>1.87288096</v>
      </c>
      <c r="AG21">
        <v>1.960229928</v>
      </c>
      <c r="AH21">
        <v>2.0391821650000002</v>
      </c>
      <c r="AI21">
        <v>2.1102180220000002</v>
      </c>
      <c r="AJ21">
        <v>2.1737945249999999</v>
      </c>
      <c r="AK21">
        <v>2.2303464200000001</v>
      </c>
      <c r="AL21">
        <v>2.280287172</v>
      </c>
      <c r="AM21">
        <v>2.3240099220000001</v>
      </c>
      <c r="AN21">
        <v>2.361888403</v>
      </c>
      <c r="AO21">
        <v>2.3942778150000001</v>
      </c>
      <c r="AP21">
        <v>2.4215156659999999</v>
      </c>
      <c r="AQ21">
        <v>2.443922572</v>
      </c>
      <c r="AR21">
        <v>2.46180303</v>
      </c>
      <c r="AS21">
        <v>2.4754461499999998</v>
      </c>
      <c r="AT21">
        <v>2.485126358</v>
      </c>
      <c r="AU21">
        <v>2.4911040729999998</v>
      </c>
      <c r="AV21">
        <v>2.4936263470000002</v>
      </c>
      <c r="AW21">
        <f t="shared" si="0"/>
        <v>10.41237163711817</v>
      </c>
      <c r="AX21">
        <f>AV21/($AV$16+$AV$21+$AV$26)</f>
        <v>0.74157531104468077</v>
      </c>
    </row>
    <row r="22" spans="1:50">
      <c r="A22" t="s">
        <v>118</v>
      </c>
      <c r="B22">
        <v>77.679449232489503</v>
      </c>
      <c r="C22">
        <v>78.926617916046894</v>
      </c>
      <c r="D22">
        <v>80.194053299999894</v>
      </c>
      <c r="E22">
        <v>80.356308850000005</v>
      </c>
      <c r="F22">
        <v>79.108316990000006</v>
      </c>
      <c r="G22">
        <v>68.058485640000001</v>
      </c>
      <c r="H22">
        <v>69.660264269999999</v>
      </c>
      <c r="I22">
        <v>72.389703909999994</v>
      </c>
      <c r="J22">
        <v>72.332456669999999</v>
      </c>
      <c r="K22">
        <v>70.968375280000004</v>
      </c>
      <c r="L22">
        <v>70.183564340000004</v>
      </c>
      <c r="M22">
        <v>65.501217449999999</v>
      </c>
      <c r="N22">
        <v>65.280861849999994</v>
      </c>
      <c r="O22">
        <v>68.046854809999999</v>
      </c>
      <c r="P22">
        <v>73.186992919999994</v>
      </c>
      <c r="Q22">
        <v>74.47720108</v>
      </c>
      <c r="R22">
        <v>75.246444030000006</v>
      </c>
      <c r="S22">
        <v>75.234408299999998</v>
      </c>
      <c r="T22">
        <v>73.665511550000005</v>
      </c>
      <c r="U22">
        <v>71.132426640000006</v>
      </c>
      <c r="V22">
        <v>68.646707960000001</v>
      </c>
      <c r="W22">
        <v>66.80588745</v>
      </c>
      <c r="X22">
        <v>65.657284689999997</v>
      </c>
      <c r="Y22">
        <v>65.232501459999995</v>
      </c>
      <c r="Z22">
        <v>65.252464270000004</v>
      </c>
      <c r="AA22">
        <v>65.571912479999995</v>
      </c>
      <c r="AB22">
        <v>66.142713659999998</v>
      </c>
      <c r="AC22">
        <v>67.058231599999999</v>
      </c>
      <c r="AD22">
        <v>68.252719679999998</v>
      </c>
      <c r="AE22">
        <v>69.666684309999894</v>
      </c>
      <c r="AF22">
        <v>71.267093320000001</v>
      </c>
      <c r="AG22">
        <v>73.019124779999999</v>
      </c>
      <c r="AH22">
        <v>74.870166209999894</v>
      </c>
      <c r="AI22">
        <v>76.834653290000006</v>
      </c>
      <c r="AJ22">
        <v>78.893941650000002</v>
      </c>
      <c r="AK22">
        <v>81.047050999999996</v>
      </c>
      <c r="AL22">
        <v>83.286627469999999</v>
      </c>
      <c r="AM22">
        <v>85.788018070000007</v>
      </c>
      <c r="AN22">
        <v>88.495596469999995</v>
      </c>
      <c r="AO22">
        <v>91.336135400000003</v>
      </c>
      <c r="AP22">
        <v>94.266820170000003</v>
      </c>
      <c r="AQ22">
        <v>97.252480250000005</v>
      </c>
      <c r="AR22">
        <v>100.25427999999999</v>
      </c>
      <c r="AS22">
        <v>103.2648657</v>
      </c>
      <c r="AT22">
        <v>106.2998561</v>
      </c>
      <c r="AU22">
        <v>109.3476177</v>
      </c>
      <c r="AV22">
        <v>112.3912172</v>
      </c>
      <c r="AW22">
        <f t="shared" si="0"/>
        <v>0.58002787911074694</v>
      </c>
    </row>
    <row r="23" spans="1:50">
      <c r="A23" t="s">
        <v>121</v>
      </c>
      <c r="B23">
        <v>77.679449232489503</v>
      </c>
      <c r="C23">
        <v>78.926617916046894</v>
      </c>
      <c r="D23">
        <v>80.194053299999894</v>
      </c>
      <c r="E23">
        <v>80.356308850000005</v>
      </c>
      <c r="F23">
        <v>79.108316990000006</v>
      </c>
      <c r="G23">
        <v>68.058485640000001</v>
      </c>
      <c r="H23">
        <v>69.660264269999999</v>
      </c>
      <c r="I23">
        <v>72.389703909999994</v>
      </c>
      <c r="J23">
        <v>72.332456669999999</v>
      </c>
      <c r="K23">
        <v>70.968375280000004</v>
      </c>
      <c r="L23">
        <v>70.183564340000004</v>
      </c>
      <c r="M23">
        <v>65.501217449999999</v>
      </c>
      <c r="N23">
        <v>65.280861849999994</v>
      </c>
      <c r="O23">
        <v>68.046854809999999</v>
      </c>
      <c r="P23">
        <v>73.186992919999994</v>
      </c>
      <c r="Q23">
        <v>74.47720108</v>
      </c>
      <c r="R23">
        <v>75.246444030000006</v>
      </c>
      <c r="S23">
        <v>75.234408299999998</v>
      </c>
      <c r="T23">
        <v>73.665511550000005</v>
      </c>
      <c r="U23">
        <v>71.132426640000006</v>
      </c>
      <c r="V23">
        <v>134.41215170000001</v>
      </c>
      <c r="W23">
        <v>200.72980899999999</v>
      </c>
      <c r="X23">
        <v>262.24613959999999</v>
      </c>
      <c r="Y23">
        <v>319.21580269999998</v>
      </c>
      <c r="Z23">
        <v>371.88152000000002</v>
      </c>
      <c r="AA23">
        <v>420.47459880000002</v>
      </c>
      <c r="AB23">
        <v>465.21543350000002</v>
      </c>
      <c r="AC23">
        <v>506.31398610000002</v>
      </c>
      <c r="AD23">
        <v>543.97024590000001</v>
      </c>
      <c r="AE23">
        <v>578.37467079999999</v>
      </c>
      <c r="AF23">
        <v>609.70860870000001</v>
      </c>
      <c r="AG23">
        <v>638.14470200000005</v>
      </c>
      <c r="AH23">
        <v>663.84727459999999</v>
      </c>
      <c r="AI23">
        <v>686.9727024</v>
      </c>
      <c r="AJ23">
        <v>707.66976850000003</v>
      </c>
      <c r="AK23">
        <v>726.08000279999999</v>
      </c>
      <c r="AL23">
        <v>742.33800689999998</v>
      </c>
      <c r="AM23">
        <v>756.57176649999997</v>
      </c>
      <c r="AN23">
        <v>768.90294840000001</v>
      </c>
      <c r="AO23">
        <v>779.44718680000005</v>
      </c>
      <c r="AP23">
        <v>788.31435569999996</v>
      </c>
      <c r="AQ23">
        <v>795.60883090000004</v>
      </c>
      <c r="AR23">
        <v>801.42973970000003</v>
      </c>
      <c r="AS23">
        <v>805.87120059999995</v>
      </c>
      <c r="AT23">
        <v>809.02255209999998</v>
      </c>
      <c r="AU23">
        <v>810.96857230000001</v>
      </c>
      <c r="AV23">
        <v>811.78968810000003</v>
      </c>
      <c r="AW23">
        <f t="shared" si="0"/>
        <v>10.412371634788361</v>
      </c>
    </row>
    <row r="24" spans="1:50">
      <c r="A24" t="s">
        <v>177</v>
      </c>
      <c r="B24">
        <v>77.679449232489503</v>
      </c>
      <c r="C24">
        <v>78.926617916046894</v>
      </c>
      <c r="D24">
        <v>80.194053214422993</v>
      </c>
      <c r="E24">
        <v>80.356308678086407</v>
      </c>
      <c r="F24">
        <v>79.108316740125503</v>
      </c>
      <c r="G24">
        <v>68.058485819674999</v>
      </c>
      <c r="H24">
        <v>69.660264435187997</v>
      </c>
      <c r="I24">
        <v>72.389703954116598</v>
      </c>
      <c r="J24">
        <v>72.332456551102894</v>
      </c>
      <c r="K24">
        <v>70.968375171993202</v>
      </c>
      <c r="L24">
        <v>70.183564567805007</v>
      </c>
      <c r="M24">
        <v>65.501217491694604</v>
      </c>
      <c r="N24">
        <v>65.280861922224901</v>
      </c>
      <c r="O24">
        <v>68.046854544779805</v>
      </c>
      <c r="P24">
        <v>73.1869929279339</v>
      </c>
      <c r="Q24">
        <v>74.477201151131993</v>
      </c>
      <c r="R24">
        <v>75.246443759877494</v>
      </c>
      <c r="S24">
        <v>75.234408389212803</v>
      </c>
      <c r="T24">
        <v>73.665511474973599</v>
      </c>
      <c r="U24">
        <v>71.1324265458273</v>
      </c>
      <c r="V24">
        <v>134.412151850295</v>
      </c>
      <c r="W24">
        <v>200.72980918316799</v>
      </c>
      <c r="X24">
        <v>262.24613972940602</v>
      </c>
      <c r="Y24">
        <v>319.21580284522099</v>
      </c>
      <c r="Z24">
        <v>371.88152020521898</v>
      </c>
      <c r="AA24">
        <v>420.47459894742099</v>
      </c>
      <c r="AB24">
        <v>465.21543367701202</v>
      </c>
      <c r="AC24">
        <v>506.313986209473</v>
      </c>
      <c r="AD24">
        <v>543.97024611281495</v>
      </c>
      <c r="AE24">
        <v>578.37467093381895</v>
      </c>
      <c r="AF24">
        <v>609.70860889826895</v>
      </c>
      <c r="AG24">
        <v>638.144702176652</v>
      </c>
      <c r="AH24">
        <v>663.84727464509399</v>
      </c>
      <c r="AI24">
        <v>686.97270248943198</v>
      </c>
      <c r="AJ24">
        <v>707.66976872523605</v>
      </c>
      <c r="AK24">
        <v>726.08000291709004</v>
      </c>
      <c r="AL24">
        <v>742.33800697141203</v>
      </c>
      <c r="AM24">
        <v>756.57176657076695</v>
      </c>
      <c r="AN24">
        <v>768.90294863824704</v>
      </c>
      <c r="AO24">
        <v>779.44718695452002</v>
      </c>
      <c r="AP24">
        <v>788.31435599029498</v>
      </c>
      <c r="AQ24">
        <v>795.60883110005204</v>
      </c>
      <c r="AR24">
        <v>801.42973993952899</v>
      </c>
      <c r="AS24">
        <v>805.87120061009102</v>
      </c>
      <c r="AT24">
        <v>809.02255233129404</v>
      </c>
      <c r="AU24">
        <v>810.96857255614998</v>
      </c>
      <c r="AV24">
        <v>811.78968805537795</v>
      </c>
      <c r="AW24">
        <f t="shared" si="0"/>
        <v>10.412371649269968</v>
      </c>
    </row>
    <row r="25" spans="1:50">
      <c r="A25" t="s">
        <v>24</v>
      </c>
      <c r="B25">
        <v>2.4451023560838E-2</v>
      </c>
      <c r="C25">
        <v>2.48435926530149E-2</v>
      </c>
      <c r="D25">
        <v>2.52424646E-2</v>
      </c>
      <c r="E25">
        <v>2.5321911700000001E-2</v>
      </c>
      <c r="F25">
        <v>2.4273349600000001E-2</v>
      </c>
      <c r="G25">
        <v>2.12366202E-2</v>
      </c>
      <c r="H25">
        <v>2.1738318199999999E-2</v>
      </c>
      <c r="I25">
        <v>2.2017958300000001E-2</v>
      </c>
      <c r="J25">
        <v>2.11288208E-2</v>
      </c>
      <c r="K25">
        <v>2.0382699099999999E-2</v>
      </c>
      <c r="L25">
        <v>2.0330155999999999E-2</v>
      </c>
      <c r="M25">
        <v>1.9661262400000001E-2</v>
      </c>
      <c r="N25">
        <v>2.0447993800000001E-2</v>
      </c>
      <c r="O25">
        <v>2.14049184E-2</v>
      </c>
      <c r="P25">
        <v>2.2235032500000002E-2</v>
      </c>
      <c r="Q25">
        <v>2.20070921E-2</v>
      </c>
      <c r="R25">
        <v>2.1361564400000001E-2</v>
      </c>
      <c r="S25">
        <v>2.0590675900000001E-2</v>
      </c>
      <c r="T25">
        <v>2.00787958E-2</v>
      </c>
      <c r="U25">
        <v>1.9766659299999999E-2</v>
      </c>
      <c r="V25">
        <v>1.9434557700000001E-2</v>
      </c>
      <c r="W25">
        <v>1.9133549199999999E-2</v>
      </c>
      <c r="X25">
        <v>1.9053117299999998E-2</v>
      </c>
      <c r="Y25">
        <v>1.90774916E-2</v>
      </c>
      <c r="Z25">
        <v>1.9125617000000001E-2</v>
      </c>
      <c r="AA25">
        <v>1.9193092500000002E-2</v>
      </c>
      <c r="AB25">
        <v>1.9288322600000001E-2</v>
      </c>
      <c r="AC25">
        <v>5.0434398200000001E-2</v>
      </c>
      <c r="AD25">
        <v>8.18797941E-2</v>
      </c>
      <c r="AE25">
        <v>0.113709278</v>
      </c>
      <c r="AF25">
        <v>0.1459858755</v>
      </c>
      <c r="AG25">
        <v>0.17877302349999999</v>
      </c>
      <c r="AH25">
        <v>0.21213877519999999</v>
      </c>
      <c r="AI25">
        <v>0.246169472</v>
      </c>
      <c r="AJ25">
        <v>0.28089018539999999</v>
      </c>
      <c r="AK25">
        <v>0.3162835886</v>
      </c>
      <c r="AL25">
        <v>0.35234646759999999</v>
      </c>
      <c r="AM25">
        <v>0.38929118270000002</v>
      </c>
      <c r="AN25">
        <v>0.42704984480000002</v>
      </c>
      <c r="AO25">
        <v>0.46543989349999998</v>
      </c>
      <c r="AP25">
        <v>0.50440064569999998</v>
      </c>
      <c r="AQ25">
        <v>0.54375671910000001</v>
      </c>
      <c r="AR25">
        <v>0.58366351920000004</v>
      </c>
      <c r="AS25">
        <v>0.62363701930000004</v>
      </c>
      <c r="AT25">
        <v>0.66366764550000001</v>
      </c>
      <c r="AU25">
        <v>0.70374943899999998</v>
      </c>
      <c r="AV25">
        <v>0.74412458130000003</v>
      </c>
      <c r="AW25">
        <f t="shared" si="0"/>
        <v>36.645439727895756</v>
      </c>
    </row>
    <row r="26" spans="1:50">
      <c r="A26" t="s">
        <v>27</v>
      </c>
      <c r="B26">
        <v>2.4451023560838E-2</v>
      </c>
      <c r="C26">
        <v>2.48435926530149E-2</v>
      </c>
      <c r="D26">
        <v>2.52424646E-2</v>
      </c>
      <c r="E26">
        <v>2.5321911700000001E-2</v>
      </c>
      <c r="F26">
        <v>2.4273349600000001E-2</v>
      </c>
      <c r="G26">
        <v>2.12366202E-2</v>
      </c>
      <c r="H26">
        <v>2.1738318199999999E-2</v>
      </c>
      <c r="I26">
        <v>2.2017958300000001E-2</v>
      </c>
      <c r="J26">
        <v>2.11288208E-2</v>
      </c>
      <c r="K26">
        <v>2.0382699099999999E-2</v>
      </c>
      <c r="L26">
        <v>2.0330155999999999E-2</v>
      </c>
      <c r="M26">
        <v>1.9661262400000001E-2</v>
      </c>
      <c r="N26">
        <v>2.0447993800000001E-2</v>
      </c>
      <c r="O26">
        <v>2.14049184E-2</v>
      </c>
      <c r="P26">
        <v>2.2235032500000002E-2</v>
      </c>
      <c r="Q26">
        <v>2.20070921E-2</v>
      </c>
      <c r="R26">
        <v>2.1361564400000001E-2</v>
      </c>
      <c r="S26">
        <v>2.0590675900000001E-2</v>
      </c>
      <c r="T26">
        <v>2.00787958E-2</v>
      </c>
      <c r="U26">
        <v>1.9766659299999999E-2</v>
      </c>
      <c r="V26">
        <v>6.2067283600000002E-2</v>
      </c>
      <c r="W26">
        <v>0.1013167348</v>
      </c>
      <c r="X26">
        <v>0.13774593709999999</v>
      </c>
      <c r="Y26">
        <v>0.17150411409999999</v>
      </c>
      <c r="Z26">
        <v>0.20273350230000001</v>
      </c>
      <c r="AA26">
        <v>0.2315696575</v>
      </c>
      <c r="AB26">
        <v>0.25814174810000001</v>
      </c>
      <c r="AC26">
        <v>0.2825728361</v>
      </c>
      <c r="AD26">
        <v>0.30498014579999999</v>
      </c>
      <c r="AE26">
        <v>0.32547532200000001</v>
      </c>
      <c r="AF26">
        <v>0.34416467680000001</v>
      </c>
      <c r="AG26">
        <v>0.36114942579999998</v>
      </c>
      <c r="AH26">
        <v>0.3765259145</v>
      </c>
      <c r="AI26">
        <v>0.3903858355</v>
      </c>
      <c r="AJ26">
        <v>0.40281643550000001</v>
      </c>
      <c r="AK26">
        <v>0.4139007146</v>
      </c>
      <c r="AL26">
        <v>0.4237176165</v>
      </c>
      <c r="AM26">
        <v>0.43234221029999997</v>
      </c>
      <c r="AN26">
        <v>0.43984586539999998</v>
      </c>
      <c r="AO26">
        <v>0.4462964183</v>
      </c>
      <c r="AP26">
        <v>0.45175833199999998</v>
      </c>
      <c r="AQ26">
        <v>0.45629284980000001</v>
      </c>
      <c r="AR26">
        <v>0.45995814070000002</v>
      </c>
      <c r="AS26">
        <v>0.46280944010000002</v>
      </c>
      <c r="AT26">
        <v>0.46489918390000001</v>
      </c>
      <c r="AU26">
        <v>0.46627713609999999</v>
      </c>
      <c r="AV26">
        <v>0.46699051219999999</v>
      </c>
      <c r="AW26">
        <f t="shared" si="0"/>
        <v>22.625161192513698</v>
      </c>
      <c r="AX26">
        <f>AV26/($AV$16+$AV$21+$AV$26)</f>
        <v>0.13887751657591457</v>
      </c>
    </row>
    <row r="27" spans="1:50">
      <c r="A27" t="s">
        <v>119</v>
      </c>
      <c r="B27">
        <v>59.770077974045002</v>
      </c>
      <c r="C27">
        <v>60.729705909097802</v>
      </c>
      <c r="D27">
        <v>61.697081320000002</v>
      </c>
      <c r="E27">
        <v>61.891264300000003</v>
      </c>
      <c r="F27">
        <v>59.328391570000001</v>
      </c>
      <c r="G27">
        <v>51.906084010000001</v>
      </c>
      <c r="H27">
        <v>53.132323159999999</v>
      </c>
      <c r="I27">
        <v>53.815813519999999</v>
      </c>
      <c r="J27">
        <v>51.642603010000002</v>
      </c>
      <c r="K27">
        <v>49.818948509999998</v>
      </c>
      <c r="L27">
        <v>49.690523759999998</v>
      </c>
      <c r="M27">
        <v>48.055628599999999</v>
      </c>
      <c r="N27">
        <v>49.978540389999999</v>
      </c>
      <c r="O27">
        <v>52.317434579999997</v>
      </c>
      <c r="P27">
        <v>54.346381569999998</v>
      </c>
      <c r="Q27">
        <v>53.789254479999997</v>
      </c>
      <c r="R27">
        <v>52.211469880000003</v>
      </c>
      <c r="S27">
        <v>50.327280819999999</v>
      </c>
      <c r="T27">
        <v>49.076154729999999</v>
      </c>
      <c r="U27">
        <v>48.313237610000002</v>
      </c>
      <c r="V27">
        <v>47.501521949999997</v>
      </c>
      <c r="W27">
        <v>46.765803699999999</v>
      </c>
      <c r="X27">
        <v>46.569213789999999</v>
      </c>
      <c r="Y27">
        <v>46.628788819999997</v>
      </c>
      <c r="Z27">
        <v>46.746415810000002</v>
      </c>
      <c r="AA27">
        <v>46.911338170000001</v>
      </c>
      <c r="AB27">
        <v>47.144097469999998</v>
      </c>
      <c r="AC27">
        <v>123.2706561</v>
      </c>
      <c r="AD27">
        <v>200.1288069</v>
      </c>
      <c r="AE27">
        <v>277.92573709999999</v>
      </c>
      <c r="AF27">
        <v>356.81549280000002</v>
      </c>
      <c r="AG27">
        <v>436.95312469999999</v>
      </c>
      <c r="AH27">
        <v>518.50496740000006</v>
      </c>
      <c r="AI27">
        <v>601.68205420000004</v>
      </c>
      <c r="AJ27">
        <v>686.54566460000001</v>
      </c>
      <c r="AK27">
        <v>773.05344860000002</v>
      </c>
      <c r="AL27">
        <v>861.19755099999998</v>
      </c>
      <c r="AM27">
        <v>951.49701770000001</v>
      </c>
      <c r="AN27">
        <v>1043.785916</v>
      </c>
      <c r="AO27">
        <v>1137.6180360000001</v>
      </c>
      <c r="AP27">
        <v>1232.845057</v>
      </c>
      <c r="AQ27">
        <v>1329.038313</v>
      </c>
      <c r="AR27">
        <v>1426.5776430000001</v>
      </c>
      <c r="AS27">
        <v>1524.28</v>
      </c>
      <c r="AT27">
        <v>1622.1219840000001</v>
      </c>
      <c r="AU27">
        <v>1720.089029</v>
      </c>
      <c r="AV27">
        <v>1818.7730710000001</v>
      </c>
      <c r="AW27">
        <f t="shared" si="0"/>
        <v>36.645439655311897</v>
      </c>
    </row>
    <row r="28" spans="1:50">
      <c r="A28" t="s">
        <v>122</v>
      </c>
      <c r="B28">
        <v>59.770077974045002</v>
      </c>
      <c r="C28">
        <v>60.729705909097802</v>
      </c>
      <c r="D28">
        <v>61.697081320000002</v>
      </c>
      <c r="E28">
        <v>61.891264300000003</v>
      </c>
      <c r="F28">
        <v>59.328391570000001</v>
      </c>
      <c r="G28">
        <v>51.906084010000001</v>
      </c>
      <c r="H28">
        <v>53.132323159999999</v>
      </c>
      <c r="I28">
        <v>53.815813519999999</v>
      </c>
      <c r="J28">
        <v>51.642603010000002</v>
      </c>
      <c r="K28">
        <v>49.818948509999998</v>
      </c>
      <c r="L28">
        <v>49.690523759999998</v>
      </c>
      <c r="M28">
        <v>48.055628599999999</v>
      </c>
      <c r="N28">
        <v>49.978540389999999</v>
      </c>
      <c r="O28">
        <v>52.317434579999997</v>
      </c>
      <c r="P28">
        <v>54.346381569999998</v>
      </c>
      <c r="Q28">
        <v>53.789254479999997</v>
      </c>
      <c r="R28">
        <v>52.211469880000003</v>
      </c>
      <c r="S28">
        <v>50.327280819999999</v>
      </c>
      <c r="T28">
        <v>49.076154729999999</v>
      </c>
      <c r="U28">
        <v>48.313237610000002</v>
      </c>
      <c r="V28">
        <v>151.7035008</v>
      </c>
      <c r="W28">
        <v>247.63615329999999</v>
      </c>
      <c r="X28">
        <v>336.67561510000002</v>
      </c>
      <c r="Y28">
        <v>419.1866149</v>
      </c>
      <c r="Z28">
        <v>495.51680429999999</v>
      </c>
      <c r="AA28">
        <v>565.99750589999996</v>
      </c>
      <c r="AB28">
        <v>630.94443030000002</v>
      </c>
      <c r="AC28">
        <v>690.65836249999995</v>
      </c>
      <c r="AD28">
        <v>745.42582019999998</v>
      </c>
      <c r="AE28">
        <v>795.51968299999999</v>
      </c>
      <c r="AF28">
        <v>841.19979639999997</v>
      </c>
      <c r="AG28">
        <v>882.71354929999995</v>
      </c>
      <c r="AH28">
        <v>920.29642769999998</v>
      </c>
      <c r="AI28">
        <v>954.17254409999998</v>
      </c>
      <c r="AJ28">
        <v>984.55514559999995</v>
      </c>
      <c r="AK28">
        <v>1011.647099</v>
      </c>
      <c r="AL28">
        <v>1035.6413560000001</v>
      </c>
      <c r="AM28">
        <v>1056.7213999999999</v>
      </c>
      <c r="AN28">
        <v>1075.0616709999999</v>
      </c>
      <c r="AO28">
        <v>1090.8279709999999</v>
      </c>
      <c r="AP28">
        <v>1104.177862</v>
      </c>
      <c r="AQ28">
        <v>1115.261031</v>
      </c>
      <c r="AR28">
        <v>1124.2196550000001</v>
      </c>
      <c r="AS28">
        <v>1131.1887389999999</v>
      </c>
      <c r="AT28">
        <v>1136.2964449999999</v>
      </c>
      <c r="AU28">
        <v>1139.6644060000001</v>
      </c>
      <c r="AV28">
        <v>1141.4080240000001</v>
      </c>
      <c r="AW28">
        <f t="shared" si="0"/>
        <v>22.625161145560412</v>
      </c>
    </row>
    <row r="29" spans="1:50">
      <c r="A29" t="s">
        <v>178</v>
      </c>
      <c r="B29">
        <v>59.770077974045002</v>
      </c>
      <c r="C29">
        <v>60.729705909097802</v>
      </c>
      <c r="D29">
        <v>61.697081299889703</v>
      </c>
      <c r="E29">
        <v>61.891264337915899</v>
      </c>
      <c r="F29">
        <v>59.328391595706897</v>
      </c>
      <c r="G29">
        <v>51.906083985193099</v>
      </c>
      <c r="H29">
        <v>53.132323175145402</v>
      </c>
      <c r="I29">
        <v>53.815813512912101</v>
      </c>
      <c r="J29">
        <v>51.642603036717098</v>
      </c>
      <c r="K29">
        <v>49.818948523430301</v>
      </c>
      <c r="L29">
        <v>49.690523756218298</v>
      </c>
      <c r="M29">
        <v>48.055628599163498</v>
      </c>
      <c r="N29">
        <v>49.978540415562399</v>
      </c>
      <c r="O29">
        <v>52.317434576526601</v>
      </c>
      <c r="P29">
        <v>54.346381547643603</v>
      </c>
      <c r="Q29">
        <v>53.789254499968997</v>
      </c>
      <c r="R29">
        <v>52.211469895579697</v>
      </c>
      <c r="S29">
        <v>50.3272807960726</v>
      </c>
      <c r="T29">
        <v>49.076154740049397</v>
      </c>
      <c r="U29">
        <v>48.313237598411803</v>
      </c>
      <c r="V29">
        <v>151.70350081569299</v>
      </c>
      <c r="W29">
        <v>247.63615344252199</v>
      </c>
      <c r="X29">
        <v>336.67561533274198</v>
      </c>
      <c r="Y29">
        <v>419.18661474921498</v>
      </c>
      <c r="Z29">
        <v>495.51680431098202</v>
      </c>
      <c r="AA29">
        <v>565.99750594700095</v>
      </c>
      <c r="AB29">
        <v>630.94443042969101</v>
      </c>
      <c r="AC29">
        <v>690.65836276157302</v>
      </c>
      <c r="AD29">
        <v>745.42582012745299</v>
      </c>
      <c r="AE29">
        <v>795.51968289414503</v>
      </c>
      <c r="AF29">
        <v>841.19979645306705</v>
      </c>
      <c r="AG29">
        <v>882.71354945528697</v>
      </c>
      <c r="AH29">
        <v>920.29642774927504</v>
      </c>
      <c r="AI29">
        <v>954.17254392554901</v>
      </c>
      <c r="AJ29">
        <v>984.55514556903199</v>
      </c>
      <c r="AK29">
        <v>1011.6470989588601</v>
      </c>
      <c r="AL29">
        <v>1035.6413562580999</v>
      </c>
      <c r="AM29">
        <v>1056.72140048755</v>
      </c>
      <c r="AN29">
        <v>1075.06167062144</v>
      </c>
      <c r="AO29">
        <v>1090.8279711263201</v>
      </c>
      <c r="AP29">
        <v>1104.1778618139499</v>
      </c>
      <c r="AQ29">
        <v>1115.26103111367</v>
      </c>
      <c r="AR29">
        <v>1124.2196552911601</v>
      </c>
      <c r="AS29">
        <v>1131.1887388243399</v>
      </c>
      <c r="AT29">
        <v>1136.29644520033</v>
      </c>
      <c r="AU29">
        <v>1139.66440605923</v>
      </c>
      <c r="AV29">
        <v>1141.40802401665</v>
      </c>
      <c r="AW29">
        <f t="shared" si="0"/>
        <v>22.625161151571664</v>
      </c>
    </row>
    <row r="30" spans="1:50">
      <c r="AW30" s="30">
        <f>(AV16+AV21+AV26)/(U16+U21+U26)-1</f>
        <v>-0.77178957348127242</v>
      </c>
    </row>
    <row r="31" spans="1:50">
      <c r="AW31">
        <f>(AV28+AV23+AV18)/(U28+U23+U18)-1</f>
        <v>-0.61742773983506161</v>
      </c>
    </row>
    <row r="32" spans="1:50">
      <c r="A32" t="s">
        <v>179</v>
      </c>
      <c r="B32">
        <v>80</v>
      </c>
      <c r="G32">
        <v>8</v>
      </c>
      <c r="H32">
        <f t="shared" ref="H32:H37" si="1">G32/B32-1</f>
        <v>-0.9</v>
      </c>
      <c r="I32">
        <f>SUM(G32:G34)/SUM(B32:B34)-1</f>
        <v>-0.21999999999999997</v>
      </c>
      <c r="J32">
        <f>(1+I35)*B35/SUM(B35:B37)-1</f>
        <v>-0.57530864197530862</v>
      </c>
    </row>
    <row r="33" spans="1:9">
      <c r="B33">
        <v>10</v>
      </c>
      <c r="G33">
        <v>50</v>
      </c>
      <c r="H33">
        <f t="shared" si="1"/>
        <v>4</v>
      </c>
    </row>
    <row r="34" spans="1:9">
      <c r="B34">
        <v>10</v>
      </c>
      <c r="G34">
        <v>20</v>
      </c>
      <c r="H34">
        <f t="shared" si="1"/>
        <v>1</v>
      </c>
    </row>
    <row r="35" spans="1:9">
      <c r="A35" t="s">
        <v>180</v>
      </c>
      <c r="B35">
        <f>B32*2</f>
        <v>160</v>
      </c>
      <c r="G35">
        <f>G32*2</f>
        <v>16</v>
      </c>
      <c r="H35">
        <f>G35/B35-1</f>
        <v>-0.9</v>
      </c>
      <c r="I35">
        <f>SUM(G35:G37)/SUM(B35:B37)-1</f>
        <v>-0.52222222222222214</v>
      </c>
    </row>
    <row r="36" spans="1:9">
      <c r="B36">
        <f>B33*1</f>
        <v>10</v>
      </c>
      <c r="G36">
        <f t="shared" ref="G36" si="2">G33*1</f>
        <v>50</v>
      </c>
      <c r="H36">
        <f t="shared" si="1"/>
        <v>4</v>
      </c>
    </row>
    <row r="37" spans="1:9">
      <c r="B37">
        <f>B34*1</f>
        <v>10</v>
      </c>
      <c r="G37">
        <f t="shared" ref="G37" si="3">G34*1</f>
        <v>20</v>
      </c>
      <c r="H37">
        <f t="shared" si="1"/>
        <v>1</v>
      </c>
    </row>
    <row r="38" spans="1:9">
      <c r="A38" t="s">
        <v>86</v>
      </c>
      <c r="B38">
        <f>SUM(B35:B37)</f>
        <v>180</v>
      </c>
      <c r="G38">
        <f>B38*(1+G41)</f>
        <v>86.000000000000014</v>
      </c>
    </row>
    <row r="40" spans="1:9">
      <c r="A40" t="s">
        <v>181</v>
      </c>
      <c r="G40">
        <f>SUM(G32:G34)/SUM(B32:B34)-1</f>
        <v>-0.21999999999999997</v>
      </c>
    </row>
    <row r="41" spans="1:9">
      <c r="A41" t="s">
        <v>182</v>
      </c>
      <c r="G41" s="15">
        <f>SUM(G35:G37)/SUM(B35:B37)-1</f>
        <v>-0.52222222222222214</v>
      </c>
    </row>
    <row r="42" spans="1:9">
      <c r="A42" t="s">
        <v>184</v>
      </c>
      <c r="F42">
        <f>G32*B35/B32</f>
        <v>16</v>
      </c>
      <c r="G42" s="15">
        <f>F42/SUM($F$42:$F$44)</f>
        <v>0.18604651162790697</v>
      </c>
    </row>
    <row r="43" spans="1:9">
      <c r="F43">
        <f t="shared" ref="F43:F44" si="4">G33*B36/B33</f>
        <v>50</v>
      </c>
      <c r="G43" s="15">
        <f t="shared" ref="G43:G44" si="5">F43/SUM($F$42:$F$44)</f>
        <v>0.58139534883720934</v>
      </c>
    </row>
    <row r="44" spans="1:9">
      <c r="F44">
        <f t="shared" si="4"/>
        <v>20</v>
      </c>
      <c r="G44" s="15">
        <f t="shared" si="5"/>
        <v>0.23255813953488372</v>
      </c>
    </row>
    <row r="45" spans="1:9">
      <c r="A45" t="s">
        <v>183</v>
      </c>
      <c r="B45">
        <f>B35</f>
        <v>160</v>
      </c>
      <c r="G45" s="4">
        <f>$G$38*G42</f>
        <v>16.000000000000004</v>
      </c>
    </row>
    <row r="46" spans="1:9">
      <c r="B46">
        <f t="shared" ref="B46:B47" si="6">B36</f>
        <v>10</v>
      </c>
      <c r="G46" s="4">
        <f>$G$38*G43</f>
        <v>50.000000000000014</v>
      </c>
    </row>
    <row r="47" spans="1:9">
      <c r="B47">
        <f t="shared" si="6"/>
        <v>10</v>
      </c>
      <c r="G47" s="4">
        <f t="shared" ref="G47" si="7">$G$38*G44</f>
        <v>20.000000000000004</v>
      </c>
    </row>
    <row r="48" spans="1:9">
      <c r="A48" t="s">
        <v>185</v>
      </c>
    </row>
    <row r="49" spans="2:7">
      <c r="B49">
        <f>B32</f>
        <v>80</v>
      </c>
      <c r="G49">
        <f>B49*(G45/B45)</f>
        <v>8.0000000000000018</v>
      </c>
    </row>
    <row r="50" spans="2:7">
      <c r="B50">
        <f t="shared" ref="B50:B51" si="8">B33</f>
        <v>10</v>
      </c>
      <c r="G50">
        <f t="shared" ref="G50:G51" si="9">B50*(G46/B46)</f>
        <v>50.000000000000014</v>
      </c>
    </row>
    <row r="51" spans="2:7">
      <c r="B51">
        <f t="shared" si="8"/>
        <v>10</v>
      </c>
      <c r="G51">
        <f t="shared" si="9"/>
        <v>20.000000000000004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AA22-C306-4A68-9A29-3EFD456A2D61}">
  <dimension ref="A1:AT14"/>
  <sheetViews>
    <sheetView workbookViewId="0">
      <selection sqref="A1:A14"/>
    </sheetView>
  </sheetViews>
  <sheetFormatPr baseColWidth="10" defaultRowHeight="15"/>
  <sheetData>
    <row r="1" spans="1:46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>
      <c r="A2" t="s">
        <v>468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59">
        <v>-2.9765312399999999E-8</v>
      </c>
      <c r="R2" s="59">
        <v>-1.6135792700000001E-8</v>
      </c>
      <c r="S2" s="59">
        <v>6.6058714099999999E-8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>
      <c r="A3" t="s">
        <v>469</v>
      </c>
      <c r="B3">
        <v>5.4352909400000001E-4</v>
      </c>
      <c r="C3">
        <v>-1.0500147E-3</v>
      </c>
      <c r="D3">
        <v>-2.75259328E-3</v>
      </c>
      <c r="E3">
        <v>1.27805705E-2</v>
      </c>
      <c r="F3">
        <v>1.31775101E-2</v>
      </c>
      <c r="G3">
        <v>4.1350586700000004E-3</v>
      </c>
      <c r="H3">
        <v>1.79689466E-3</v>
      </c>
      <c r="I3">
        <v>-4.1880348900000001E-3</v>
      </c>
      <c r="J3">
        <v>6.1922179199999997E-4</v>
      </c>
      <c r="K3">
        <v>-4.9864755300000002E-3</v>
      </c>
      <c r="L3">
        <v>-4.9999007500000003E-3</v>
      </c>
      <c r="M3">
        <v>-7.7698040799999996E-3</v>
      </c>
      <c r="N3">
        <v>-2.2690083900000001E-3</v>
      </c>
      <c r="O3">
        <v>-1.9228120000000001E-3</v>
      </c>
      <c r="P3">
        <v>1.2591276000000001E-3</v>
      </c>
      <c r="Q3">
        <v>2.7450353299999998E-3</v>
      </c>
      <c r="R3">
        <v>3.9463646899999998E-3</v>
      </c>
      <c r="S3">
        <v>3.1576432900000001E-3</v>
      </c>
      <c r="T3">
        <v>3.03186466E-3</v>
      </c>
      <c r="U3">
        <v>5.7575720000000005E-4</v>
      </c>
      <c r="V3">
        <v>-3.9335904500000001E-4</v>
      </c>
      <c r="W3">
        <v>-3.6663029299999999E-3</v>
      </c>
      <c r="X3">
        <v>-7.8424589300000007E-3</v>
      </c>
      <c r="Y3">
        <v>-1.2056036500000001E-2</v>
      </c>
      <c r="Z3">
        <v>-1.58533813E-2</v>
      </c>
      <c r="AA3">
        <v>-1.9301750699999998E-2</v>
      </c>
      <c r="AB3">
        <v>-2.1992775199999998E-2</v>
      </c>
      <c r="AC3">
        <v>-2.3835907900000002E-2</v>
      </c>
      <c r="AD3">
        <v>-2.4891074499999999E-2</v>
      </c>
      <c r="AE3">
        <v>-2.5377968000000001E-2</v>
      </c>
      <c r="AF3">
        <v>-2.4962827100000001E-2</v>
      </c>
      <c r="AG3">
        <v>-2.4025289700000001E-2</v>
      </c>
      <c r="AH3">
        <v>-2.3005384899999998E-2</v>
      </c>
      <c r="AI3">
        <v>-2.1951471100000002E-2</v>
      </c>
      <c r="AJ3">
        <v>-2.08973036E-2</v>
      </c>
      <c r="AK3">
        <v>-1.94155482E-2</v>
      </c>
      <c r="AL3">
        <v>-1.7968021800000001E-2</v>
      </c>
      <c r="AM3">
        <v>-1.6744814399999999E-2</v>
      </c>
      <c r="AN3">
        <v>-1.5901902700000001E-2</v>
      </c>
      <c r="AO3">
        <v>-1.52097741E-2</v>
      </c>
      <c r="AP3">
        <v>-1.46220285E-2</v>
      </c>
      <c r="AQ3">
        <v>-1.415405E-2</v>
      </c>
      <c r="AR3">
        <v>-1.37456409E-2</v>
      </c>
      <c r="AS3">
        <v>-1.3442296100000001E-2</v>
      </c>
      <c r="AT3">
        <v>-1.38450654E-2</v>
      </c>
    </row>
    <row r="4" spans="1:46">
      <c r="A4" t="s">
        <v>470</v>
      </c>
      <c r="B4" s="59">
        <v>5.8507487700000001E-8</v>
      </c>
      <c r="C4">
        <v>1.2051047899999999E-3</v>
      </c>
      <c r="D4">
        <v>1.31572973E-3</v>
      </c>
      <c r="E4">
        <v>1.32576809E-3</v>
      </c>
      <c r="F4">
        <v>1.31547157E-3</v>
      </c>
      <c r="G4">
        <v>1.32385919E-3</v>
      </c>
      <c r="H4">
        <v>1.3262837700000001E-3</v>
      </c>
      <c r="I4">
        <v>1.31812204E-3</v>
      </c>
      <c r="J4">
        <v>1.2919946399999999E-3</v>
      </c>
      <c r="K4">
        <v>1.2601938799999999E-3</v>
      </c>
      <c r="L4">
        <v>1.2525785799999999E-3</v>
      </c>
      <c r="M4">
        <v>1.25507344E-3</v>
      </c>
      <c r="N4">
        <v>1.2598164600000001E-3</v>
      </c>
      <c r="O4">
        <v>1.2077826700000001E-3</v>
      </c>
      <c r="P4">
        <v>1.1930238200000001E-3</v>
      </c>
      <c r="Q4">
        <v>1.17554111E-3</v>
      </c>
      <c r="R4">
        <v>1.1555413899999999E-3</v>
      </c>
      <c r="S4">
        <v>1.1331564600000001E-3</v>
      </c>
      <c r="T4">
        <v>1.1172896E-3</v>
      </c>
      <c r="U4">
        <v>1.1016485599999999E-3</v>
      </c>
      <c r="V4">
        <v>1.0789039000000001E-3</v>
      </c>
      <c r="W4">
        <v>1.0567437900000001E-3</v>
      </c>
      <c r="X4">
        <v>1.03675764E-3</v>
      </c>
      <c r="Y4">
        <v>1.0186943E-3</v>
      </c>
      <c r="Z4">
        <v>1.0022370699999999E-3</v>
      </c>
      <c r="AA4">
        <v>9.8699069699999904E-4</v>
      </c>
      <c r="AB4">
        <v>9.7292261400000002E-4</v>
      </c>
      <c r="AC4">
        <v>9.5962497899999995E-4</v>
      </c>
      <c r="AD4">
        <v>9.4707112999999998E-4</v>
      </c>
      <c r="AE4">
        <v>9.3501071399999997E-4</v>
      </c>
      <c r="AF4">
        <v>9.2334064700000005E-4</v>
      </c>
      <c r="AG4">
        <v>9.1197647900000004E-4</v>
      </c>
      <c r="AH4">
        <v>9.0067242699999996E-4</v>
      </c>
      <c r="AI4">
        <v>8.8946856600000004E-4</v>
      </c>
      <c r="AJ4">
        <v>8.7836249800000001E-4</v>
      </c>
      <c r="AK4">
        <v>8.6859872499999997E-4</v>
      </c>
      <c r="AL4">
        <v>8.5870452000000005E-4</v>
      </c>
      <c r="AM4">
        <v>8.4879011299999997E-4</v>
      </c>
      <c r="AN4">
        <v>8.3872632400000004E-4</v>
      </c>
      <c r="AO4">
        <v>8.2868843900000004E-4</v>
      </c>
      <c r="AP4">
        <v>8.1879798E-4</v>
      </c>
      <c r="AQ4">
        <v>8.0886756000000005E-4</v>
      </c>
      <c r="AR4">
        <v>7.9887399699999999E-4</v>
      </c>
      <c r="AS4">
        <v>7.8878600199999997E-4</v>
      </c>
      <c r="AT4">
        <v>7.7817640300000001E-4</v>
      </c>
    </row>
    <row r="5" spans="1:46">
      <c r="A5" t="s">
        <v>471</v>
      </c>
      <c r="B5">
        <v>5.4352891499999997E-4</v>
      </c>
      <c r="C5">
        <v>-1.05001431E-3</v>
      </c>
      <c r="D5">
        <v>-2.7525919899999999E-3</v>
      </c>
      <c r="E5">
        <v>1.27805707E-2</v>
      </c>
      <c r="F5">
        <v>1.3177509800000001E-2</v>
      </c>
      <c r="G5">
        <v>4.1350585100000002E-3</v>
      </c>
      <c r="H5">
        <v>1.79689467E-3</v>
      </c>
      <c r="I5">
        <v>-4.1880347999999996E-3</v>
      </c>
      <c r="J5">
        <v>6.1922212900000003E-4</v>
      </c>
      <c r="K5">
        <v>-4.9864751699999999E-3</v>
      </c>
      <c r="L5">
        <v>-4.9998962300000001E-3</v>
      </c>
      <c r="M5">
        <v>-7.76980593E-3</v>
      </c>
      <c r="N5">
        <v>-2.2690098399999999E-3</v>
      </c>
      <c r="O5">
        <v>-1.9228139399999999E-3</v>
      </c>
      <c r="P5">
        <v>1.2591276000000001E-3</v>
      </c>
      <c r="Q5">
        <v>2.7450650900000002E-3</v>
      </c>
      <c r="R5">
        <v>3.9463808200000004E-3</v>
      </c>
      <c r="S5">
        <v>3.1575772299999999E-3</v>
      </c>
      <c r="T5">
        <v>3.0318615700000002E-3</v>
      </c>
      <c r="U5">
        <v>5.7575605799999995E-4</v>
      </c>
      <c r="V5">
        <v>-3.9335896899999999E-4</v>
      </c>
      <c r="W5">
        <v>-3.66630182E-3</v>
      </c>
      <c r="X5">
        <v>-7.8424583800000003E-3</v>
      </c>
      <c r="Y5">
        <v>-1.2056036500000001E-2</v>
      </c>
      <c r="Z5">
        <v>-1.58533813E-2</v>
      </c>
      <c r="AA5">
        <v>-1.9301750699999998E-2</v>
      </c>
      <c r="AB5">
        <v>-2.19927751E-2</v>
      </c>
      <c r="AC5">
        <v>-2.3835907900000002E-2</v>
      </c>
      <c r="AD5">
        <v>-2.4891074499999999E-2</v>
      </c>
      <c r="AE5">
        <v>-2.5377967899999999E-2</v>
      </c>
      <c r="AF5">
        <v>-2.4962826099999998E-2</v>
      </c>
      <c r="AG5">
        <v>-2.4025288200000001E-2</v>
      </c>
      <c r="AH5">
        <v>-2.30053832E-2</v>
      </c>
      <c r="AI5">
        <v>-2.1951471E-2</v>
      </c>
      <c r="AJ5">
        <v>-2.08973036E-2</v>
      </c>
      <c r="AK5">
        <v>-1.9415548099999999E-2</v>
      </c>
      <c r="AL5">
        <v>-1.7968021800000001E-2</v>
      </c>
      <c r="AM5">
        <v>-1.6744814399999999E-2</v>
      </c>
      <c r="AN5">
        <v>-1.5901902700000001E-2</v>
      </c>
      <c r="AO5">
        <v>-1.52097741E-2</v>
      </c>
      <c r="AP5">
        <v>-1.46220285E-2</v>
      </c>
      <c r="AQ5">
        <v>-1.415405E-2</v>
      </c>
      <c r="AR5">
        <v>-1.37456414E-2</v>
      </c>
      <c r="AS5">
        <v>-1.34422963E-2</v>
      </c>
      <c r="AT5">
        <v>-1.38450655E-2</v>
      </c>
    </row>
    <row r="6" spans="1:46">
      <c r="A6" t="s">
        <v>472</v>
      </c>
      <c r="B6">
        <v>-5.4352596099999995E-4</v>
      </c>
      <c r="C6">
        <v>1.0500253399999999E-3</v>
      </c>
      <c r="D6">
        <v>2.7526677599999999E-3</v>
      </c>
      <c r="E6">
        <v>-1.2778937400000001E-2</v>
      </c>
      <c r="F6">
        <v>-1.31757735E-2</v>
      </c>
      <c r="G6">
        <v>-4.1348875299999999E-3</v>
      </c>
      <c r="H6">
        <v>-1.79686238E-3</v>
      </c>
      <c r="I6">
        <v>4.1882102100000004E-3</v>
      </c>
      <c r="J6">
        <v>-6.1921829499999995E-4</v>
      </c>
      <c r="K6">
        <v>4.9867238300000004E-3</v>
      </c>
      <c r="L6">
        <v>5.0001462400000004E-3</v>
      </c>
      <c r="M6">
        <v>7.7704096799999997E-3</v>
      </c>
      <c r="N6">
        <v>2.2690613300000002E-3</v>
      </c>
      <c r="O6">
        <v>1.9228509100000001E-3</v>
      </c>
      <c r="P6">
        <v>-1.2591117399999999E-3</v>
      </c>
      <c r="Q6">
        <v>-2.7449897399999998E-3</v>
      </c>
      <c r="R6">
        <v>-3.9462250899999999E-3</v>
      </c>
      <c r="S6">
        <v>-3.1574775300000002E-3</v>
      </c>
      <c r="T6">
        <v>-3.0317696600000001E-3</v>
      </c>
      <c r="U6">
        <v>-5.7575274299999997E-4</v>
      </c>
      <c r="V6">
        <v>3.9336051699999998E-4</v>
      </c>
      <c r="W6">
        <v>3.6664362500000002E-3</v>
      </c>
      <c r="X6">
        <v>7.8430734699999997E-3</v>
      </c>
      <c r="Y6">
        <v>1.20574901E-2</v>
      </c>
      <c r="Z6">
        <v>1.5855894999999998E-2</v>
      </c>
      <c r="AA6">
        <v>1.9305477000000001E-2</v>
      </c>
      <c r="AB6">
        <v>2.1997612999999999E-2</v>
      </c>
      <c r="AC6">
        <v>2.3841590700000002E-2</v>
      </c>
      <c r="AD6">
        <v>2.4897271700000001E-2</v>
      </c>
      <c r="AE6">
        <v>2.5384409899999998E-2</v>
      </c>
      <c r="AF6">
        <v>2.49690591E-2</v>
      </c>
      <c r="AG6">
        <v>2.4031061699999998E-2</v>
      </c>
      <c r="AH6">
        <v>2.3010676899999999E-2</v>
      </c>
      <c r="AI6">
        <v>2.19562908E-2</v>
      </c>
      <c r="AJ6">
        <v>2.09016715E-2</v>
      </c>
      <c r="AK6">
        <v>1.9419318500000001E-2</v>
      </c>
      <c r="AL6">
        <v>1.7971250899999999E-2</v>
      </c>
      <c r="AM6">
        <v>1.6747618700000001E-2</v>
      </c>
      <c r="AN6">
        <v>1.59044318E-2</v>
      </c>
      <c r="AO6">
        <v>1.5212087799999999E-2</v>
      </c>
      <c r="AP6">
        <v>1.4624166900000001E-2</v>
      </c>
      <c r="AQ6">
        <v>1.4156053599999999E-2</v>
      </c>
      <c r="AR6">
        <v>1.3747531E-2</v>
      </c>
      <c r="AS6">
        <v>1.34441035E-2</v>
      </c>
      <c r="AT6">
        <v>1.38469826E-2</v>
      </c>
    </row>
    <row r="7" spans="1:46">
      <c r="A7" t="s">
        <v>473</v>
      </c>
      <c r="B7" s="59">
        <v>-8.0387174700000005E-8</v>
      </c>
      <c r="C7">
        <v>1.04971584E-3</v>
      </c>
      <c r="D7">
        <v>2.7522963800000002E-3</v>
      </c>
      <c r="E7">
        <v>-1.2778902199999999E-2</v>
      </c>
      <c r="F7">
        <v>-1.3175683000000001E-2</v>
      </c>
      <c r="G7">
        <v>-4.1348875299999999E-3</v>
      </c>
      <c r="H7">
        <v>-1.7969083800000001E-3</v>
      </c>
      <c r="I7">
        <v>4.1881986599999997E-3</v>
      </c>
      <c r="J7">
        <v>-6.1923764500000005E-4</v>
      </c>
      <c r="K7">
        <v>4.98672436E-3</v>
      </c>
      <c r="L7">
        <v>5.0001509099999999E-3</v>
      </c>
      <c r="M7">
        <v>7.7703881999999997E-3</v>
      </c>
      <c r="N7">
        <v>2.26908524E-3</v>
      </c>
      <c r="O7">
        <v>1.9229607299999999E-3</v>
      </c>
      <c r="P7">
        <v>-1.25910999E-3</v>
      </c>
      <c r="Q7">
        <v>-2.7449643E-3</v>
      </c>
      <c r="R7">
        <v>-3.9462681499999996E-3</v>
      </c>
      <c r="S7">
        <v>-3.1573487000000002E-3</v>
      </c>
      <c r="T7">
        <v>-3.0317545800000001E-3</v>
      </c>
      <c r="U7">
        <v>-5.7575985099999998E-4</v>
      </c>
      <c r="V7">
        <v>3.9334033400000002E-4</v>
      </c>
      <c r="W7">
        <v>3.6664100599999999E-3</v>
      </c>
      <c r="X7">
        <v>7.8430629199999994E-3</v>
      </c>
      <c r="Y7">
        <v>1.2057490000000001E-2</v>
      </c>
      <c r="Z7">
        <v>1.58558949E-2</v>
      </c>
      <c r="AA7">
        <v>1.9305476299999999E-2</v>
      </c>
      <c r="AB7">
        <v>2.1997612600000001E-2</v>
      </c>
      <c r="AC7">
        <v>2.3841590499999999E-2</v>
      </c>
      <c r="AD7">
        <v>2.4897271499999998E-2</v>
      </c>
      <c r="AE7">
        <v>2.53844098E-2</v>
      </c>
      <c r="AF7">
        <v>2.49690586E-2</v>
      </c>
      <c r="AG7">
        <v>2.40310621E-2</v>
      </c>
      <c r="AH7">
        <v>2.3010677699999999E-2</v>
      </c>
      <c r="AI7">
        <v>2.1956290699999999E-2</v>
      </c>
      <c r="AJ7">
        <v>2.09016715E-2</v>
      </c>
      <c r="AK7">
        <v>1.9419318500000001E-2</v>
      </c>
      <c r="AL7">
        <v>1.7971250899999999E-2</v>
      </c>
      <c r="AM7">
        <v>1.6747618799999999E-2</v>
      </c>
      <c r="AN7">
        <v>1.59044318E-2</v>
      </c>
      <c r="AO7">
        <v>1.5212087799999999E-2</v>
      </c>
      <c r="AP7">
        <v>1.4624166399999999E-2</v>
      </c>
      <c r="AQ7">
        <v>1.41560535E-2</v>
      </c>
      <c r="AR7">
        <v>1.37475299E-2</v>
      </c>
      <c r="AS7">
        <v>1.3444102600000001E-2</v>
      </c>
      <c r="AT7">
        <v>1.3846982000000001E-2</v>
      </c>
    </row>
    <row r="8" spans="1:46">
      <c r="A8" t="s">
        <v>474</v>
      </c>
      <c r="B8">
        <v>5.4344870599999998E-4</v>
      </c>
      <c r="C8" s="59">
        <v>-3.0987776800000002E-7</v>
      </c>
      <c r="D8" s="59">
        <v>-3.72659648E-7</v>
      </c>
      <c r="E8" s="59">
        <v>3.5107205999999997E-8</v>
      </c>
      <c r="F8" s="59">
        <v>9.0826524099999999E-8</v>
      </c>
      <c r="G8">
        <v>0</v>
      </c>
      <c r="H8" s="59">
        <v>-4.6009796000000001E-8</v>
      </c>
      <c r="I8" s="59">
        <v>-1.1640433099999999E-8</v>
      </c>
      <c r="J8" s="59">
        <v>-1.9687440600000001E-8</v>
      </c>
      <c r="K8">
        <v>0</v>
      </c>
      <c r="L8">
        <v>0</v>
      </c>
      <c r="M8" s="59">
        <v>-1.96238359E-8</v>
      </c>
      <c r="N8" s="59">
        <v>2.53680632E-8</v>
      </c>
      <c r="O8" s="59">
        <v>1.11757581E-7</v>
      </c>
      <c r="P8">
        <v>0</v>
      </c>
      <c r="Q8">
        <v>0</v>
      </c>
      <c r="R8" s="59">
        <v>-5.9194660299999998E-8</v>
      </c>
      <c r="S8" s="59">
        <v>1.94891059E-7</v>
      </c>
      <c r="T8" s="59">
        <v>1.8163204299999999E-8</v>
      </c>
      <c r="U8">
        <v>0</v>
      </c>
      <c r="V8" s="59">
        <v>-2.0257828699999998E-8</v>
      </c>
      <c r="W8" s="59">
        <v>-2.7292457200000001E-8</v>
      </c>
      <c r="X8" s="59">
        <v>-1.1096612500000001E-8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>
      <c r="A9" t="s">
        <v>475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>
      <c r="A10" t="s">
        <v>476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>
      <c r="A11" t="s">
        <v>477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>
      <c r="A12" t="s">
        <v>478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>
      <c r="A13" t="s">
        <v>479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>
      <c r="A14" t="s">
        <v>480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résultats</vt:lpstr>
      <vt:lpstr>calibration CI bus</vt:lpstr>
      <vt:lpstr>sorties bus</vt:lpstr>
      <vt:lpstr>calibration bloc bus</vt:lpstr>
      <vt:lpstr>calibration CI PL</vt:lpstr>
      <vt:lpstr>sorties PL</vt:lpstr>
      <vt:lpstr>calibrage bloc PL</vt:lpstr>
      <vt:lpstr>Feuil1</vt:lpstr>
      <vt:lpstr>Feuil13</vt:lpstr>
      <vt:lpstr>Feuil2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Gael</dc:creator>
  <cp:lastModifiedBy>CALLONNEC Gaël</cp:lastModifiedBy>
  <dcterms:created xsi:type="dcterms:W3CDTF">2023-10-04T07:52:21Z</dcterms:created>
  <dcterms:modified xsi:type="dcterms:W3CDTF">2024-03-28T12:32:05Z</dcterms:modified>
</cp:coreProperties>
</file>